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3.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tables/table5.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omments6.xml" ContentType="application/vnd.openxmlformats-officedocument.spreadsheetml.comments+xml"/>
  <Override PartName="/xl/threadedComments/threadedComment1.xml" ContentType="application/vnd.ms-excel.threadedcomments+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omments7.xml" ContentType="application/vnd.openxmlformats-officedocument.spreadsheetml.comments+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31.xml" ContentType="application/vnd.openxmlformats-officedocument.spreadsheetml.table+xml"/>
  <Override PartName="/xl/drawings/drawing10.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1.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comments8.xml" ContentType="application/vnd.openxmlformats-officedocument.spreadsheetml.comments+xml"/>
  <Override PartName="/xl/drawings/drawing12.xml" ContentType="application/vnd.openxmlformats-officedocument.drawing+xml"/>
  <Override PartName="/xl/ctrlProps/ctrlProp7.xml" ContentType="application/vnd.ms-excel.controlproperties+xml"/>
  <Override PartName="/xl/comments9.xml" ContentType="application/vnd.openxmlformats-officedocument.spreadsheetml.comments+xml"/>
  <Override PartName="/xl/tables/table36.xml" ContentType="application/vnd.openxmlformats-officedocument.spreadsheetml.table+xml"/>
  <Override PartName="/xl/comments1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A:\Users\kyleg\PycharmProjects\eQuest-Simulation-Extraction\output_files\"/>
    </mc:Choice>
  </mc:AlternateContent>
  <xr:revisionPtr revIDLastSave="0" documentId="8_{19112D89-2933-4AA5-A731-7FACC2F34D40}" xr6:coauthVersionLast="47" xr6:coauthVersionMax="47" xr10:uidLastSave="{00000000-0000-0000-0000-000000000000}"/>
  <bookViews>
    <workbookView xWindow="-120" yWindow="-120" windowWidth="51840" windowHeight="21120" tabRatio="839" xr2:uid="{CC9C072C-2CA9-4F46-BF0E-F62B7A3ADD9E}"/>
  </bookViews>
  <sheets>
    <sheet name="Master Room List" sheetId="1" r:id="rId1"/>
    <sheet name="Weather" sheetId="2" r:id="rId2"/>
    <sheet name="Setpoints" sheetId="17" r:id="rId3"/>
    <sheet name="Architectural" sheetId="3" r:id="rId4"/>
    <sheet name="OCC_Airflow" sheetId="4" r:id="rId5"/>
    <sheet name="Lighting" sheetId="5" r:id="rId6"/>
    <sheet name="Utilities" sheetId="25" r:id="rId7"/>
    <sheet name="Report Summary Table" sheetId="19" state="hidden" r:id="rId8"/>
    <sheet name="Summary Table 2" sheetId="22" state="hidden" r:id="rId9"/>
    <sheet name="ECM Reports" sheetId="6" r:id="rId10"/>
    <sheet name="ECM Data" sheetId="18" r:id="rId11"/>
    <sheet name="ECM Description" sheetId="20" r:id="rId12"/>
    <sheet name="Equip - Dry" sheetId="7" r:id="rId13"/>
    <sheet name="Equip - Wet" sheetId="8" r:id="rId14"/>
    <sheet name="eQuest Schedules" sheetId="23" r:id="rId15"/>
    <sheet name="eQuest Schedule Importer" sheetId="24" r:id="rId16"/>
    <sheet name="IES Schedules" sheetId="9" r:id="rId17"/>
    <sheet name="IES Schedule Importer" sheetId="10" r:id="rId18"/>
    <sheet name="LEED Baseline Sys. Selector" sheetId="11" r:id="rId19"/>
    <sheet name="LEED ApacheHVAC Check" sheetId="12" r:id="rId20"/>
    <sheet name="Water Efficiency" sheetId="16" r:id="rId21"/>
    <sheet name="Raw Data - Lighting" sheetId="14" r:id="rId22"/>
    <sheet name="Raw Data - Occupancy" sheetId="15" r:id="rId23"/>
  </sheets>
  <externalReferences>
    <externalReference r:id="rId24"/>
  </externalReferences>
  <definedNames>
    <definedName name="_xleta.HOUR" hidden="1" xlm="1">#NAME?</definedName>
    <definedName name="_xleta.N" hidden="1" xlm="1">#NAME?</definedName>
    <definedName name="_xleta.POWER" hidden="1" xlm="1">#NAME?</definedName>
    <definedName name="_xleta.SUM" hidden="1" xlm="1">#NAME?</definedName>
    <definedName name="_xleta.T" hidden="1" xlm="1">#NAME?</definedName>
    <definedName name="_xleta.TYPE" hidden="1" xlm="1">#NAME?</definedName>
    <definedName name="FlowFixture">[1]Instructions!$C$48:$C$53</definedName>
    <definedName name="FlushFixture">[1]Instructions!$C$45:$C$47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6" i="1" l="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M19" i="6"/>
  <c r="M20" i="6"/>
  <c r="M21" i="6"/>
  <c r="M22" i="6"/>
  <c r="AC22" i="6" s="1"/>
  <c r="M23" i="6"/>
  <c r="M24" i="6"/>
  <c r="M25" i="6"/>
  <c r="M26" i="6"/>
  <c r="AG26" i="6" s="1"/>
  <c r="M18" i="6"/>
  <c r="N13" i="1"/>
  <c r="W16" i="1"/>
  <c r="V16" i="1"/>
  <c r="T16" i="1"/>
  <c r="U16" i="1" s="1"/>
  <c r="S16" i="1"/>
  <c r="H9" i="6"/>
  <c r="H11" i="6"/>
  <c r="AK6" i="6"/>
  <c r="AJ6" i="6"/>
  <c r="BR14" i="6"/>
  <c r="BQ14" i="6"/>
  <c r="BS14" i="6" s="1"/>
  <c r="BR13" i="6"/>
  <c r="BQ13" i="6"/>
  <c r="BR12" i="6"/>
  <c r="BQ12" i="6"/>
  <c r="BR11" i="6"/>
  <c r="BQ11" i="6"/>
  <c r="BR10" i="6"/>
  <c r="BQ10" i="6"/>
  <c r="BS10" i="6" s="1"/>
  <c r="BR9" i="6"/>
  <c r="BQ9" i="6"/>
  <c r="BR8" i="6"/>
  <c r="BQ8" i="6"/>
  <c r="BR7" i="6"/>
  <c r="BQ7" i="6"/>
  <c r="BR6" i="6"/>
  <c r="BQ6" i="6"/>
  <c r="BS6" i="6" s="1"/>
  <c r="BO14" i="6"/>
  <c r="BN14" i="6"/>
  <c r="BO13" i="6"/>
  <c r="BN13" i="6"/>
  <c r="BO12" i="6"/>
  <c r="BN12" i="6"/>
  <c r="BO11" i="6"/>
  <c r="BN11" i="6"/>
  <c r="BO10" i="6"/>
  <c r="BN10" i="6"/>
  <c r="BO9" i="6"/>
  <c r="BN9" i="6"/>
  <c r="BO8" i="6"/>
  <c r="BN8" i="6"/>
  <c r="BO7" i="6"/>
  <c r="BN7" i="6"/>
  <c r="BP7" i="6" s="1"/>
  <c r="BO6" i="6"/>
  <c r="BN6" i="6"/>
  <c r="BL14" i="6"/>
  <c r="BK14" i="6"/>
  <c r="BL13" i="6"/>
  <c r="BK13" i="6"/>
  <c r="BL12" i="6"/>
  <c r="BK12" i="6"/>
  <c r="BL11" i="6"/>
  <c r="BK11" i="6"/>
  <c r="BL10" i="6"/>
  <c r="BK10" i="6"/>
  <c r="BL9" i="6"/>
  <c r="BK9" i="6"/>
  <c r="BL8" i="6"/>
  <c r="BK8" i="6"/>
  <c r="BM8" i="6" s="1"/>
  <c r="BL7" i="6"/>
  <c r="BK7" i="6"/>
  <c r="BL6" i="6"/>
  <c r="BK6" i="6"/>
  <c r="BI14" i="6"/>
  <c r="BH14" i="6"/>
  <c r="BI13" i="6"/>
  <c r="BH13" i="6"/>
  <c r="BI12" i="6"/>
  <c r="BH12" i="6"/>
  <c r="BI11" i="6"/>
  <c r="BH11" i="6"/>
  <c r="BI10" i="6"/>
  <c r="BH10" i="6"/>
  <c r="BI9" i="6"/>
  <c r="BH9" i="6"/>
  <c r="BJ9" i="6" s="1"/>
  <c r="BI8" i="6"/>
  <c r="BH8" i="6"/>
  <c r="BI7" i="6"/>
  <c r="BH7" i="6"/>
  <c r="BI6" i="6"/>
  <c r="BH6" i="6"/>
  <c r="BF14" i="6"/>
  <c r="BE14" i="6"/>
  <c r="BF13" i="6"/>
  <c r="BE13" i="6"/>
  <c r="BF12" i="6"/>
  <c r="BE12" i="6"/>
  <c r="BG12" i="6" s="1"/>
  <c r="BF11" i="6"/>
  <c r="BE11" i="6"/>
  <c r="BF10" i="6"/>
  <c r="BE10" i="6"/>
  <c r="BG10" i="6" s="1"/>
  <c r="BF9" i="6"/>
  <c r="BE9" i="6"/>
  <c r="BF8" i="6"/>
  <c r="BE8" i="6"/>
  <c r="BF7" i="6"/>
  <c r="BE7" i="6"/>
  <c r="BF6" i="6"/>
  <c r="BE6" i="6"/>
  <c r="BC14" i="6"/>
  <c r="BB14" i="6"/>
  <c r="BC13" i="6"/>
  <c r="BB13" i="6"/>
  <c r="BC12" i="6"/>
  <c r="BB12" i="6"/>
  <c r="BC11" i="6"/>
  <c r="BB11" i="6"/>
  <c r="BD11" i="6" s="1"/>
  <c r="BC10" i="6"/>
  <c r="BB10" i="6"/>
  <c r="BC9" i="6"/>
  <c r="BB9" i="6"/>
  <c r="BC8" i="6"/>
  <c r="BB8" i="6"/>
  <c r="BC7" i="6"/>
  <c r="BB7" i="6"/>
  <c r="BC6" i="6"/>
  <c r="BB6" i="6"/>
  <c r="AZ14" i="6"/>
  <c r="AY14" i="6"/>
  <c r="AZ13" i="6"/>
  <c r="AY13" i="6"/>
  <c r="AZ12" i="6"/>
  <c r="AY12" i="6"/>
  <c r="BA12" i="6" s="1"/>
  <c r="AZ11" i="6"/>
  <c r="AY11" i="6"/>
  <c r="AZ10" i="6"/>
  <c r="AY10" i="6"/>
  <c r="AZ9" i="6"/>
  <c r="AY9" i="6"/>
  <c r="AZ8" i="6"/>
  <c r="AY8" i="6"/>
  <c r="AZ7" i="6"/>
  <c r="AY7" i="6"/>
  <c r="AZ6" i="6"/>
  <c r="AY6" i="6"/>
  <c r="AW14" i="6"/>
  <c r="AV14" i="6"/>
  <c r="AW13" i="6"/>
  <c r="AV13" i="6"/>
  <c r="AX13" i="6" s="1"/>
  <c r="AW12" i="6"/>
  <c r="AV12" i="6"/>
  <c r="AW11" i="6"/>
  <c r="AV11" i="6"/>
  <c r="AW10" i="6"/>
  <c r="AV10" i="6"/>
  <c r="AW9" i="6"/>
  <c r="AV9" i="6"/>
  <c r="AW8" i="6"/>
  <c r="AV8" i="6"/>
  <c r="AW7" i="6"/>
  <c r="AV7" i="6"/>
  <c r="AW6" i="6"/>
  <c r="AV6" i="6"/>
  <c r="AT14" i="6"/>
  <c r="AS14" i="6"/>
  <c r="AU14" i="6" s="1"/>
  <c r="AT13" i="6"/>
  <c r="AS13" i="6"/>
  <c r="AT12" i="6"/>
  <c r="AS12" i="6"/>
  <c r="AT11" i="6"/>
  <c r="AS11" i="6"/>
  <c r="AT10" i="6"/>
  <c r="AS10" i="6"/>
  <c r="AT9" i="6"/>
  <c r="AS9" i="6"/>
  <c r="AT8" i="6"/>
  <c r="AS8" i="6"/>
  <c r="AT7" i="6"/>
  <c r="AS7" i="6"/>
  <c r="AT6" i="6"/>
  <c r="AS6" i="6"/>
  <c r="AU6" i="6" s="1"/>
  <c r="AQ14" i="6"/>
  <c r="AP14" i="6"/>
  <c r="AQ13" i="6"/>
  <c r="AP13" i="6"/>
  <c r="AQ12" i="6"/>
  <c r="AP12" i="6"/>
  <c r="AQ11" i="6"/>
  <c r="AP11" i="6"/>
  <c r="AQ10" i="6"/>
  <c r="AP10" i="6"/>
  <c r="AQ9" i="6"/>
  <c r="AP9" i="6"/>
  <c r="AR9" i="6" s="1"/>
  <c r="AQ8" i="6"/>
  <c r="AP8" i="6"/>
  <c r="AQ7" i="6"/>
  <c r="AP7" i="6"/>
  <c r="AR7" i="6" s="1"/>
  <c r="AQ6" i="6"/>
  <c r="AP6" i="6"/>
  <c r="AN14" i="6"/>
  <c r="AM14" i="6"/>
  <c r="AN13" i="6"/>
  <c r="AM13" i="6"/>
  <c r="AN12" i="6"/>
  <c r="AM12" i="6"/>
  <c r="AN11" i="6"/>
  <c r="AM11" i="6"/>
  <c r="AN10" i="6"/>
  <c r="AM10" i="6"/>
  <c r="AN9" i="6"/>
  <c r="AM9" i="6"/>
  <c r="AN8" i="6"/>
  <c r="AM8" i="6"/>
  <c r="AO8" i="6" s="1"/>
  <c r="AN7" i="6"/>
  <c r="AM7" i="6"/>
  <c r="AN6" i="6"/>
  <c r="AM6" i="6"/>
  <c r="AK14" i="6"/>
  <c r="AJ14" i="6"/>
  <c r="AK13" i="6"/>
  <c r="AJ13" i="6"/>
  <c r="AK12" i="6"/>
  <c r="AJ12" i="6"/>
  <c r="AK11" i="6"/>
  <c r="AJ11" i="6"/>
  <c r="AK10" i="6"/>
  <c r="AJ10" i="6"/>
  <c r="AK9" i="6"/>
  <c r="AJ9" i="6"/>
  <c r="AL9" i="6" s="1"/>
  <c r="AK8" i="6"/>
  <c r="AJ8" i="6"/>
  <c r="AK7" i="6"/>
  <c r="AJ7" i="6"/>
  <c r="AH14" i="6"/>
  <c r="AG14" i="6"/>
  <c r="AH13" i="6"/>
  <c r="AG13" i="6"/>
  <c r="AH12" i="6"/>
  <c r="AG12" i="6"/>
  <c r="AH11" i="6"/>
  <c r="AG11" i="6"/>
  <c r="AH10" i="6"/>
  <c r="AG10" i="6"/>
  <c r="AH9" i="6"/>
  <c r="AG9" i="6"/>
  <c r="AI9" i="6" s="1"/>
  <c r="AH8" i="6"/>
  <c r="AG8" i="6"/>
  <c r="AH7" i="6"/>
  <c r="AG7" i="6"/>
  <c r="AH6" i="6"/>
  <c r="AG6" i="6"/>
  <c r="AE14" i="6"/>
  <c r="AD14" i="6"/>
  <c r="AE13" i="6"/>
  <c r="AD13" i="6"/>
  <c r="AE12" i="6"/>
  <c r="AD12" i="6"/>
  <c r="AE11" i="6"/>
  <c r="AD11" i="6"/>
  <c r="AE10" i="6"/>
  <c r="AD10" i="6"/>
  <c r="AF10" i="6" s="1"/>
  <c r="AE9" i="6"/>
  <c r="AD9" i="6"/>
  <c r="AE8" i="6"/>
  <c r="AD8" i="6"/>
  <c r="AE7" i="6"/>
  <c r="AD7" i="6"/>
  <c r="AE6" i="6"/>
  <c r="AD6" i="6"/>
  <c r="AB14" i="6"/>
  <c r="AA14" i="6"/>
  <c r="AB13" i="6"/>
  <c r="AA13" i="6"/>
  <c r="AB12" i="6"/>
  <c r="AA12" i="6"/>
  <c r="AB11" i="6"/>
  <c r="AA11" i="6"/>
  <c r="AC11" i="6" s="1"/>
  <c r="AB10" i="6"/>
  <c r="AA10" i="6"/>
  <c r="AB9" i="6"/>
  <c r="AA9" i="6"/>
  <c r="AB8" i="6"/>
  <c r="AA8" i="6"/>
  <c r="AB7" i="6"/>
  <c r="AA7" i="6"/>
  <c r="AB6" i="6"/>
  <c r="AA6" i="6"/>
  <c r="Y14" i="6"/>
  <c r="X14" i="6"/>
  <c r="Y13" i="6"/>
  <c r="X13" i="6"/>
  <c r="Y12" i="6"/>
  <c r="X12" i="6"/>
  <c r="Z12" i="6" s="1"/>
  <c r="Y11" i="6"/>
  <c r="X11" i="6"/>
  <c r="Y10" i="6"/>
  <c r="X10" i="6"/>
  <c r="Y9" i="6"/>
  <c r="X9" i="6"/>
  <c r="Y8" i="6"/>
  <c r="X8" i="6"/>
  <c r="Y7" i="6"/>
  <c r="X7" i="6"/>
  <c r="Y6" i="6"/>
  <c r="X6" i="6"/>
  <c r="V14" i="6"/>
  <c r="U14" i="6"/>
  <c r="V13" i="6"/>
  <c r="U13" i="6"/>
  <c r="W13" i="6" s="1"/>
  <c r="V12" i="6"/>
  <c r="U12" i="6"/>
  <c r="V11" i="6"/>
  <c r="U11" i="6"/>
  <c r="V10" i="6"/>
  <c r="U10" i="6"/>
  <c r="V9" i="6"/>
  <c r="U9" i="6"/>
  <c r="V8" i="6"/>
  <c r="U8" i="6"/>
  <c r="V7" i="6"/>
  <c r="U7" i="6"/>
  <c r="V6" i="6"/>
  <c r="U6" i="6"/>
  <c r="R6" i="6"/>
  <c r="S6" i="6"/>
  <c r="R7" i="6"/>
  <c r="S7" i="6"/>
  <c r="R8" i="6"/>
  <c r="S8" i="6"/>
  <c r="R9" i="6"/>
  <c r="S9" i="6"/>
  <c r="R10" i="6"/>
  <c r="S10" i="6"/>
  <c r="R11" i="6"/>
  <c r="S11" i="6"/>
  <c r="R12" i="6"/>
  <c r="S12" i="6"/>
  <c r="R13" i="6"/>
  <c r="S13" i="6"/>
  <c r="R14" i="6"/>
  <c r="S14" i="6"/>
  <c r="P14" i="6"/>
  <c r="P13" i="6"/>
  <c r="P12" i="6"/>
  <c r="P11" i="6"/>
  <c r="P10" i="6"/>
  <c r="P9" i="6"/>
  <c r="P8" i="6"/>
  <c r="P7" i="6"/>
  <c r="P6" i="6"/>
  <c r="O13" i="6"/>
  <c r="O12" i="6"/>
  <c r="O11" i="6"/>
  <c r="O10" i="6"/>
  <c r="O9" i="6"/>
  <c r="O8" i="6"/>
  <c r="O7" i="6"/>
  <c r="O14" i="6"/>
  <c r="Q14" i="6" s="1"/>
  <c r="O6" i="6"/>
  <c r="M14" i="6"/>
  <c r="B100" i="18"/>
  <c r="D13" i="6" s="1"/>
  <c r="B99" i="18"/>
  <c r="C13" i="6" s="1"/>
  <c r="B89" i="18"/>
  <c r="B88" i="18"/>
  <c r="B78" i="18"/>
  <c r="D78" i="18" s="1"/>
  <c r="B77" i="18"/>
  <c r="B67" i="18"/>
  <c r="B68" i="18" s="1"/>
  <c r="E10" i="6" s="1"/>
  <c r="B66" i="18"/>
  <c r="B56" i="18"/>
  <c r="D56" i="18" s="1"/>
  <c r="D55" i="18"/>
  <c r="G9" i="6" s="1"/>
  <c r="B55" i="18"/>
  <c r="B57" i="18" s="1"/>
  <c r="E9" i="6" s="1"/>
  <c r="B45" i="18"/>
  <c r="B44" i="18"/>
  <c r="B46" i="18" s="1"/>
  <c r="E8" i="6" s="1"/>
  <c r="B34" i="18"/>
  <c r="D34" i="18" s="1"/>
  <c r="H7" i="6" s="1"/>
  <c r="B33" i="18"/>
  <c r="B35" i="18" s="1"/>
  <c r="E7" i="6" s="1"/>
  <c r="B23" i="18"/>
  <c r="D23" i="18" s="1"/>
  <c r="H14" i="6" s="1"/>
  <c r="B22" i="18"/>
  <c r="D22" i="18" s="1"/>
  <c r="G14" i="6" s="1"/>
  <c r="E2" i="25"/>
  <c r="E3" i="25"/>
  <c r="E4" i="25"/>
  <c r="E5" i="25"/>
  <c r="E6" i="25"/>
  <c r="E7" i="25"/>
  <c r="E8" i="25"/>
  <c r="E9" i="25"/>
  <c r="E10" i="25"/>
  <c r="C16" i="25"/>
  <c r="C17" i="25"/>
  <c r="C8" i="6"/>
  <c r="D8" i="6"/>
  <c r="C9" i="6"/>
  <c r="D9" i="6"/>
  <c r="C10" i="6"/>
  <c r="B12" i="18"/>
  <c r="D12" i="18" s="1"/>
  <c r="H6" i="6" s="1"/>
  <c r="B11" i="18"/>
  <c r="D11" i="18" s="1"/>
  <c r="G6" i="6" s="1"/>
  <c r="AA67" i="23"/>
  <c r="Z67" i="23"/>
  <c r="Y67" i="23"/>
  <c r="X67" i="23"/>
  <c r="W67" i="23"/>
  <c r="V67" i="23"/>
  <c r="U67" i="23"/>
  <c r="T67" i="23"/>
  <c r="S67" i="23"/>
  <c r="R67" i="23"/>
  <c r="Q67" i="23"/>
  <c r="P67" i="23"/>
  <c r="O67" i="23"/>
  <c r="N67" i="23"/>
  <c r="M67" i="23"/>
  <c r="L67" i="23"/>
  <c r="K67" i="23"/>
  <c r="J67" i="23"/>
  <c r="I67" i="23"/>
  <c r="H67" i="23"/>
  <c r="G67" i="23"/>
  <c r="F67" i="23"/>
  <c r="E67" i="23"/>
  <c r="D67" i="23"/>
  <c r="AA66" i="23"/>
  <c r="Z66" i="23"/>
  <c r="Y66" i="23"/>
  <c r="X66" i="23"/>
  <c r="W66" i="23"/>
  <c r="V66" i="23"/>
  <c r="U66" i="23"/>
  <c r="T66" i="23"/>
  <c r="S66" i="23"/>
  <c r="R66" i="23"/>
  <c r="Q66" i="23"/>
  <c r="P66" i="23"/>
  <c r="O66" i="23"/>
  <c r="N66" i="23"/>
  <c r="M66" i="23"/>
  <c r="L66" i="23"/>
  <c r="K66" i="23"/>
  <c r="J66" i="23"/>
  <c r="I66" i="23"/>
  <c r="H66" i="23"/>
  <c r="G66" i="23"/>
  <c r="F66" i="23"/>
  <c r="E66" i="23"/>
  <c r="D66" i="23"/>
  <c r="AA65" i="23"/>
  <c r="Z65" i="23"/>
  <c r="Y65" i="23"/>
  <c r="X65" i="23"/>
  <c r="W65" i="23"/>
  <c r="V65" i="23"/>
  <c r="U65" i="23"/>
  <c r="T65" i="23"/>
  <c r="S65" i="23"/>
  <c r="R65" i="23"/>
  <c r="Q65" i="23"/>
  <c r="P65" i="23"/>
  <c r="O65" i="23"/>
  <c r="N65" i="23"/>
  <c r="M65" i="23"/>
  <c r="L65" i="23"/>
  <c r="K65" i="23"/>
  <c r="J65" i="23"/>
  <c r="I65" i="23"/>
  <c r="H65" i="23"/>
  <c r="G65" i="23"/>
  <c r="F65" i="23"/>
  <c r="E65" i="23"/>
  <c r="D65" i="23"/>
  <c r="AA46" i="23"/>
  <c r="Z46" i="23"/>
  <c r="Y46" i="23"/>
  <c r="X46" i="23"/>
  <c r="W46" i="23"/>
  <c r="V46" i="23"/>
  <c r="U46" i="23"/>
  <c r="T46" i="23"/>
  <c r="S46" i="23"/>
  <c r="R46" i="23"/>
  <c r="Q46" i="23"/>
  <c r="P46" i="23"/>
  <c r="O46" i="23"/>
  <c r="N46" i="23"/>
  <c r="M46" i="23"/>
  <c r="L46" i="23"/>
  <c r="K46" i="23"/>
  <c r="J46" i="23"/>
  <c r="I46" i="23"/>
  <c r="H46" i="23"/>
  <c r="G46" i="23"/>
  <c r="F46" i="23"/>
  <c r="E46" i="23"/>
  <c r="D46" i="23"/>
  <c r="AA45" i="23"/>
  <c r="Z45" i="23"/>
  <c r="Y45" i="23"/>
  <c r="X45" i="23"/>
  <c r="W45" i="23"/>
  <c r="V45" i="23"/>
  <c r="U45" i="23"/>
  <c r="T45" i="23"/>
  <c r="S45" i="23"/>
  <c r="R45" i="23"/>
  <c r="Q45" i="23"/>
  <c r="P45" i="23"/>
  <c r="O45" i="23"/>
  <c r="N45" i="23"/>
  <c r="M45" i="23"/>
  <c r="L45" i="23"/>
  <c r="K45" i="23"/>
  <c r="J45" i="23"/>
  <c r="I45" i="23"/>
  <c r="H45" i="23"/>
  <c r="G45" i="23"/>
  <c r="F45" i="23"/>
  <c r="E45" i="23"/>
  <c r="D45" i="23"/>
  <c r="AA44" i="23"/>
  <c r="Z44" i="23"/>
  <c r="Y44" i="23"/>
  <c r="X44" i="23"/>
  <c r="W44" i="23"/>
  <c r="V44" i="23"/>
  <c r="U44" i="23"/>
  <c r="T44" i="23"/>
  <c r="S44" i="23"/>
  <c r="R44" i="23"/>
  <c r="Q44" i="23"/>
  <c r="P44" i="23"/>
  <c r="O44" i="23"/>
  <c r="N44" i="23"/>
  <c r="M44" i="23"/>
  <c r="L44" i="23"/>
  <c r="K44" i="23"/>
  <c r="J44" i="23"/>
  <c r="I44" i="23"/>
  <c r="H44" i="23"/>
  <c r="G44" i="23"/>
  <c r="F44" i="23"/>
  <c r="E44" i="23"/>
  <c r="D44" i="23"/>
  <c r="AA88" i="23"/>
  <c r="Z88" i="23"/>
  <c r="Y88" i="23"/>
  <c r="X88" i="23"/>
  <c r="W88" i="23"/>
  <c r="V88" i="23"/>
  <c r="U88" i="23"/>
  <c r="T88" i="23"/>
  <c r="S88" i="23"/>
  <c r="R88" i="23"/>
  <c r="Q88" i="23"/>
  <c r="P88" i="23"/>
  <c r="O88" i="23"/>
  <c r="N88" i="23"/>
  <c r="M88" i="23"/>
  <c r="L88" i="23"/>
  <c r="K88" i="23"/>
  <c r="J88" i="23"/>
  <c r="I88" i="23"/>
  <c r="H88" i="23"/>
  <c r="G88" i="23"/>
  <c r="F88" i="23"/>
  <c r="E88" i="23"/>
  <c r="D88" i="23"/>
  <c r="AA87" i="23"/>
  <c r="Z87" i="23"/>
  <c r="Y87" i="23"/>
  <c r="X87" i="23"/>
  <c r="W87" i="23"/>
  <c r="V87" i="23"/>
  <c r="U87" i="23"/>
  <c r="T87" i="23"/>
  <c r="S87" i="23"/>
  <c r="R87" i="23"/>
  <c r="Q87" i="23"/>
  <c r="P87" i="23"/>
  <c r="O87" i="23"/>
  <c r="N87" i="23"/>
  <c r="M87" i="23"/>
  <c r="L87" i="23"/>
  <c r="K87" i="23"/>
  <c r="J87" i="23"/>
  <c r="I87" i="23"/>
  <c r="H87" i="23"/>
  <c r="G87" i="23"/>
  <c r="F87" i="23"/>
  <c r="E87" i="23"/>
  <c r="D87" i="23"/>
  <c r="AA86" i="23"/>
  <c r="Z86" i="23"/>
  <c r="Y86" i="23"/>
  <c r="X86" i="23"/>
  <c r="W86" i="23"/>
  <c r="V86" i="23"/>
  <c r="U86" i="23"/>
  <c r="T86" i="23"/>
  <c r="S86" i="23"/>
  <c r="R86" i="23"/>
  <c r="Q86" i="23"/>
  <c r="P86" i="23"/>
  <c r="O86" i="23"/>
  <c r="N86" i="23"/>
  <c r="M86" i="23"/>
  <c r="L86" i="23"/>
  <c r="K86" i="23"/>
  <c r="J86" i="23"/>
  <c r="I86" i="23"/>
  <c r="H86" i="23"/>
  <c r="G86" i="23"/>
  <c r="F86" i="23"/>
  <c r="E86" i="23"/>
  <c r="D86" i="23"/>
  <c r="AA109" i="23"/>
  <c r="Z109" i="23"/>
  <c r="Y109" i="23"/>
  <c r="X109" i="23"/>
  <c r="W109" i="23"/>
  <c r="V109" i="23"/>
  <c r="U109" i="23"/>
  <c r="T109" i="23"/>
  <c r="S109" i="23"/>
  <c r="R109" i="23"/>
  <c r="Q109" i="23"/>
  <c r="P109" i="23"/>
  <c r="O109" i="23"/>
  <c r="N109" i="23"/>
  <c r="M109" i="23"/>
  <c r="L109" i="23"/>
  <c r="K109" i="23"/>
  <c r="J109" i="23"/>
  <c r="I109" i="23"/>
  <c r="H109" i="23"/>
  <c r="G109" i="23"/>
  <c r="F109" i="23"/>
  <c r="E109" i="23"/>
  <c r="D109" i="23"/>
  <c r="AA108" i="23"/>
  <c r="Z108" i="23"/>
  <c r="Y108" i="23"/>
  <c r="X108" i="23"/>
  <c r="W108" i="23"/>
  <c r="V108" i="23"/>
  <c r="U108" i="23"/>
  <c r="T108" i="23"/>
  <c r="S108" i="23"/>
  <c r="R108" i="23"/>
  <c r="Q108" i="23"/>
  <c r="P108" i="23"/>
  <c r="O108" i="23"/>
  <c r="N108" i="23"/>
  <c r="M108" i="23"/>
  <c r="L108" i="23"/>
  <c r="K108" i="23"/>
  <c r="J108" i="23"/>
  <c r="I108" i="23"/>
  <c r="H108" i="23"/>
  <c r="G108" i="23"/>
  <c r="F108" i="23"/>
  <c r="E108" i="23"/>
  <c r="D108" i="23"/>
  <c r="AA107" i="23"/>
  <c r="Z107" i="23"/>
  <c r="Y107" i="23"/>
  <c r="X107" i="23"/>
  <c r="W107" i="23"/>
  <c r="V107" i="23"/>
  <c r="U107" i="23"/>
  <c r="T107" i="23"/>
  <c r="S107" i="23"/>
  <c r="R107" i="23"/>
  <c r="Q107" i="23"/>
  <c r="P107" i="23"/>
  <c r="O107" i="23"/>
  <c r="N107" i="23"/>
  <c r="M107" i="23"/>
  <c r="L107" i="23"/>
  <c r="K107" i="23"/>
  <c r="J107" i="23"/>
  <c r="I107" i="23"/>
  <c r="H107" i="23"/>
  <c r="G107" i="23"/>
  <c r="F107" i="23"/>
  <c r="E107" i="23"/>
  <c r="D107" i="23"/>
  <c r="AA130" i="23"/>
  <c r="Z130" i="23"/>
  <c r="Y130" i="23"/>
  <c r="X130" i="23"/>
  <c r="W130" i="23"/>
  <c r="V130" i="23"/>
  <c r="U130" i="23"/>
  <c r="T130" i="23"/>
  <c r="S130" i="23"/>
  <c r="R130" i="23"/>
  <c r="Q130" i="23"/>
  <c r="P130" i="23"/>
  <c r="O130" i="23"/>
  <c r="N130" i="23"/>
  <c r="M130" i="23"/>
  <c r="L130" i="23"/>
  <c r="K130" i="23"/>
  <c r="J130" i="23"/>
  <c r="I130" i="23"/>
  <c r="H130" i="23"/>
  <c r="G130" i="23"/>
  <c r="F130" i="23"/>
  <c r="E130" i="23"/>
  <c r="D130" i="23"/>
  <c r="AA129" i="23"/>
  <c r="Z129" i="23"/>
  <c r="Y129" i="23"/>
  <c r="X129" i="23"/>
  <c r="W129" i="23"/>
  <c r="V129" i="23"/>
  <c r="U129" i="23"/>
  <c r="T129" i="23"/>
  <c r="S129" i="23"/>
  <c r="R129" i="23"/>
  <c r="Q129" i="23"/>
  <c r="P129" i="23"/>
  <c r="O129" i="23"/>
  <c r="N129" i="23"/>
  <c r="M129" i="23"/>
  <c r="L129" i="23"/>
  <c r="K129" i="23"/>
  <c r="J129" i="23"/>
  <c r="I129" i="23"/>
  <c r="H129" i="23"/>
  <c r="G129" i="23"/>
  <c r="F129" i="23"/>
  <c r="E129" i="23"/>
  <c r="D129" i="23"/>
  <c r="AA128" i="23"/>
  <c r="Z128" i="23"/>
  <c r="Y128" i="23"/>
  <c r="X128" i="23"/>
  <c r="W128" i="23"/>
  <c r="V128" i="23"/>
  <c r="U128" i="23"/>
  <c r="T128" i="23"/>
  <c r="S128" i="23"/>
  <c r="R128" i="23"/>
  <c r="Q128" i="23"/>
  <c r="P128" i="23"/>
  <c r="O128" i="23"/>
  <c r="N128" i="23"/>
  <c r="M128" i="23"/>
  <c r="L128" i="23"/>
  <c r="K128" i="23"/>
  <c r="J128" i="23"/>
  <c r="I128" i="23"/>
  <c r="H128" i="23"/>
  <c r="G128" i="23"/>
  <c r="F128" i="23"/>
  <c r="E128" i="23"/>
  <c r="D128" i="23"/>
  <c r="M2" i="24"/>
  <c r="M3" i="24"/>
  <c r="M4" i="24"/>
  <c r="M5" i="24"/>
  <c r="M6" i="24"/>
  <c r="M7"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AA25" i="23"/>
  <c r="Z25" i="23"/>
  <c r="Y25" i="23"/>
  <c r="X25" i="23"/>
  <c r="W25" i="23"/>
  <c r="V25" i="23"/>
  <c r="U25" i="23"/>
  <c r="T25" i="23"/>
  <c r="S25" i="23"/>
  <c r="R25" i="23"/>
  <c r="Q25" i="23"/>
  <c r="P25" i="23"/>
  <c r="O25" i="23"/>
  <c r="N25" i="23"/>
  <c r="M25" i="23"/>
  <c r="L25" i="23"/>
  <c r="K25" i="23"/>
  <c r="J25" i="23"/>
  <c r="I25" i="23"/>
  <c r="H25" i="23"/>
  <c r="G25" i="23"/>
  <c r="F25" i="23"/>
  <c r="E25" i="23"/>
  <c r="D25" i="23"/>
  <c r="X24" i="23"/>
  <c r="W24" i="23"/>
  <c r="V24" i="23"/>
  <c r="U24" i="23"/>
  <c r="P24" i="23"/>
  <c r="O24" i="23"/>
  <c r="N24" i="23"/>
  <c r="H24" i="23"/>
  <c r="G24" i="23"/>
  <c r="F24" i="23"/>
  <c r="E24" i="23"/>
  <c r="L2" i="24"/>
  <c r="S24" i="23" s="1"/>
  <c r="L3" i="24"/>
  <c r="L4" i="24"/>
  <c r="L5" i="24"/>
  <c r="L6" i="24"/>
  <c r="L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36" i="24"/>
  <c r="L37" i="24"/>
  <c r="L38" i="24"/>
  <c r="L39" i="24"/>
  <c r="L40" i="24"/>
  <c r="L41" i="24"/>
  <c r="L42" i="24"/>
  <c r="L43" i="24"/>
  <c r="L44" i="24"/>
  <c r="L45" i="24"/>
  <c r="L46" i="24"/>
  <c r="L47" i="24"/>
  <c r="L48" i="24"/>
  <c r="L49" i="24"/>
  <c r="L50" i="24"/>
  <c r="L51" i="24"/>
  <c r="L52" i="24"/>
  <c r="L53" i="24"/>
  <c r="L54" i="24"/>
  <c r="L55" i="24"/>
  <c r="L56" i="24"/>
  <c r="L57" i="24"/>
  <c r="L58" i="24"/>
  <c r="L59" i="24"/>
  <c r="L60" i="24"/>
  <c r="L61" i="24"/>
  <c r="L62" i="24"/>
  <c r="L63" i="24"/>
  <c r="L64" i="24"/>
  <c r="L65" i="24"/>
  <c r="L66" i="24"/>
  <c r="L67" i="24"/>
  <c r="L68" i="24"/>
  <c r="L69" i="24"/>
  <c r="L70" i="24"/>
  <c r="L71" i="24"/>
  <c r="L72" i="24"/>
  <c r="L73" i="24"/>
  <c r="L74" i="24"/>
  <c r="L75" i="24"/>
  <c r="L76" i="24"/>
  <c r="L77" i="24"/>
  <c r="L78" i="24"/>
  <c r="L79" i="24"/>
  <c r="L80" i="24"/>
  <c r="K2" i="24"/>
  <c r="AA23" i="23" s="1"/>
  <c r="K3" i="24"/>
  <c r="K4" i="24"/>
  <c r="K5" i="24"/>
  <c r="K6" i="24"/>
  <c r="K7" i="24"/>
  <c r="K8" i="24"/>
  <c r="K9" i="24"/>
  <c r="K10" i="24"/>
  <c r="K11" i="24"/>
  <c r="K12" i="24"/>
  <c r="K13" i="24"/>
  <c r="K14" i="24"/>
  <c r="K15" i="24"/>
  <c r="K16" i="24"/>
  <c r="K17" i="24"/>
  <c r="K18" i="24"/>
  <c r="K19" i="24"/>
  <c r="K20" i="24"/>
  <c r="K21" i="24"/>
  <c r="K22" i="24"/>
  <c r="K23" i="24"/>
  <c r="K24" i="24"/>
  <c r="K25" i="24"/>
  <c r="K26" i="24"/>
  <c r="K27" i="24"/>
  <c r="K28" i="24"/>
  <c r="K29" i="24"/>
  <c r="K30" i="24"/>
  <c r="K31" i="24"/>
  <c r="K32" i="24"/>
  <c r="K33" i="24"/>
  <c r="K34" i="24"/>
  <c r="K35" i="24"/>
  <c r="K36" i="24"/>
  <c r="K37" i="24"/>
  <c r="K38" i="24"/>
  <c r="K39" i="24"/>
  <c r="K40" i="24"/>
  <c r="K41" i="24"/>
  <c r="K42" i="24"/>
  <c r="K43" i="24"/>
  <c r="K44" i="24"/>
  <c r="K45" i="24"/>
  <c r="K46" i="24"/>
  <c r="K47" i="24"/>
  <c r="K48" i="24"/>
  <c r="K49" i="24"/>
  <c r="K50" i="24"/>
  <c r="K51" i="24"/>
  <c r="K52" i="24"/>
  <c r="K53" i="24"/>
  <c r="K54" i="24"/>
  <c r="K55" i="24"/>
  <c r="K56" i="24"/>
  <c r="K57" i="24"/>
  <c r="K58" i="24"/>
  <c r="K59" i="24"/>
  <c r="K60" i="24"/>
  <c r="K61" i="24"/>
  <c r="K62" i="24"/>
  <c r="K63" i="24"/>
  <c r="K64" i="24"/>
  <c r="K65" i="24"/>
  <c r="K66" i="24"/>
  <c r="K67" i="24"/>
  <c r="K68" i="24"/>
  <c r="K69" i="24"/>
  <c r="K70" i="24"/>
  <c r="K71" i="24"/>
  <c r="K72" i="24"/>
  <c r="K73" i="24"/>
  <c r="K74" i="24"/>
  <c r="K75" i="24"/>
  <c r="K76" i="24"/>
  <c r="K77" i="24"/>
  <c r="K78" i="24"/>
  <c r="K79" i="24"/>
  <c r="K80" i="24"/>
  <c r="D9" i="23"/>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T19" i="1"/>
  <c r="EV3" i="6"/>
  <c r="EV2" i="6" s="1"/>
  <c r="EU3" i="6"/>
  <c r="EU2" i="6" s="1"/>
  <c r="ET3" i="6"/>
  <c r="ET2" i="6" s="1"/>
  <c r="ES3" i="6"/>
  <c r="ES2" i="6" s="1"/>
  <c r="ER3" i="6"/>
  <c r="ER2" i="6" s="1"/>
  <c r="EQ3" i="6"/>
  <c r="EQ2" i="6" s="1"/>
  <c r="EP3" i="6"/>
  <c r="EP2" i="6" s="1"/>
  <c r="EO3" i="6"/>
  <c r="EO2" i="6" s="1"/>
  <c r="EN3" i="6"/>
  <c r="EN2" i="6" s="1"/>
  <c r="EM3" i="6"/>
  <c r="EM2" i="6" s="1"/>
  <c r="EL3" i="6"/>
  <c r="EL2" i="6" s="1"/>
  <c r="EK3" i="6"/>
  <c r="EK2" i="6" s="1"/>
  <c r="EJ3" i="6"/>
  <c r="EJ2" i="6" s="1"/>
  <c r="EI3" i="6"/>
  <c r="EI2" i="6" s="1"/>
  <c r="EH3" i="6"/>
  <c r="EH2" i="6" s="1"/>
  <c r="EG3" i="6"/>
  <c r="EG2" i="6" s="1"/>
  <c r="EF3" i="6"/>
  <c r="EF2" i="6" s="1"/>
  <c r="EE3" i="6"/>
  <c r="EE2" i="6" s="1"/>
  <c r="ED3" i="6"/>
  <c r="ED2" i="6" s="1"/>
  <c r="EV5" i="6"/>
  <c r="EU5" i="6"/>
  <c r="ET5" i="6"/>
  <c r="ES5" i="6"/>
  <c r="ER5" i="6"/>
  <c r="EQ5" i="6"/>
  <c r="EP5" i="6"/>
  <c r="EO5" i="6"/>
  <c r="EN5" i="6"/>
  <c r="EM5" i="6"/>
  <c r="EL5" i="6"/>
  <c r="EK5" i="6"/>
  <c r="EJ5" i="6"/>
  <c r="EI5" i="6"/>
  <c r="EH5" i="6"/>
  <c r="EG5" i="6"/>
  <c r="EF5" i="6"/>
  <c r="EE5" i="6"/>
  <c r="ED5" i="6"/>
  <c r="EV4" i="6"/>
  <c r="EU4" i="6"/>
  <c r="ET4" i="6"/>
  <c r="ES4" i="6"/>
  <c r="ER4" i="6"/>
  <c r="EQ4" i="6"/>
  <c r="EP4" i="6"/>
  <c r="EO4" i="6"/>
  <c r="EN4" i="6"/>
  <c r="EM4" i="6"/>
  <c r="EL4" i="6"/>
  <c r="EK4" i="6"/>
  <c r="EJ4" i="6"/>
  <c r="EI4" i="6"/>
  <c r="EH4" i="6"/>
  <c r="EG4" i="6"/>
  <c r="EF4" i="6"/>
  <c r="EE4" i="6"/>
  <c r="ED4" i="6"/>
  <c r="EB16" i="6"/>
  <c r="EB15" i="6"/>
  <c r="EB14" i="6"/>
  <c r="EB13" i="6"/>
  <c r="EB12" i="6"/>
  <c r="EB11" i="6"/>
  <c r="EB10" i="6"/>
  <c r="EB9" i="6"/>
  <c r="EB8" i="6"/>
  <c r="EB7" i="6"/>
  <c r="EB6" i="6"/>
  <c r="M31" i="6"/>
  <c r="M32" i="6"/>
  <c r="M33" i="6"/>
  <c r="M34" i="6"/>
  <c r="M35" i="6"/>
  <c r="M36" i="6"/>
  <c r="M37" i="6"/>
  <c r="M38" i="6"/>
  <c r="M30" i="6"/>
  <c r="P2" i="6"/>
  <c r="Q2" i="6"/>
  <c r="R2" i="6"/>
  <c r="S2" i="6"/>
  <c r="T2" i="6"/>
  <c r="U2" i="6"/>
  <c r="V2" i="6"/>
  <c r="W2" i="6"/>
  <c r="X2" i="6"/>
  <c r="Y2" i="6"/>
  <c r="Z2" i="6"/>
  <c r="AA2" i="6"/>
  <c r="AB2" i="6"/>
  <c r="AC2" i="6"/>
  <c r="AD2" i="6"/>
  <c r="AE2" i="6"/>
  <c r="AF2" i="6"/>
  <c r="AG2" i="6"/>
  <c r="O2" i="6"/>
  <c r="M48" i="12"/>
  <c r="M49" i="12"/>
  <c r="M50" i="12"/>
  <c r="M51" i="12"/>
  <c r="M52" i="12"/>
  <c r="L48" i="12"/>
  <c r="L49" i="12"/>
  <c r="L50" i="12"/>
  <c r="L51" i="12"/>
  <c r="L52" i="12"/>
  <c r="I48" i="12"/>
  <c r="I49" i="12"/>
  <c r="I50" i="12"/>
  <c r="I51" i="12"/>
  <c r="I52" i="12"/>
  <c r="H48" i="12"/>
  <c r="H49" i="12"/>
  <c r="H50" i="12"/>
  <c r="H51" i="12"/>
  <c r="H52" i="12"/>
  <c r="G48" i="12"/>
  <c r="G49" i="12"/>
  <c r="G50" i="12"/>
  <c r="G51" i="12"/>
  <c r="G52" i="12"/>
  <c r="F48" i="12"/>
  <c r="F49" i="12"/>
  <c r="F50" i="12"/>
  <c r="F51" i="12"/>
  <c r="F52" i="12"/>
  <c r="E48" i="12"/>
  <c r="E49" i="12"/>
  <c r="E50" i="12"/>
  <c r="E51" i="12"/>
  <c r="E52" i="12"/>
  <c r="L34" i="7"/>
  <c r="M34" i="7" s="1"/>
  <c r="N34" i="7" s="1"/>
  <c r="L35" i="7"/>
  <c r="M35" i="7" s="1"/>
  <c r="N35" i="7" s="1"/>
  <c r="L36" i="7"/>
  <c r="M36" i="7" s="1"/>
  <c r="L37" i="7"/>
  <c r="M37" i="7" s="1"/>
  <c r="N37" i="7" s="1"/>
  <c r="L38" i="7"/>
  <c r="M38" i="7"/>
  <c r="N38" i="7"/>
  <c r="L39" i="7"/>
  <c r="M39" i="7" s="1"/>
  <c r="N39" i="7" s="1"/>
  <c r="L40" i="7"/>
  <c r="M40" i="7" s="1"/>
  <c r="N40" i="7" s="1"/>
  <c r="L41" i="7"/>
  <c r="M41" i="7" s="1"/>
  <c r="L42" i="7"/>
  <c r="M42" i="7" s="1"/>
  <c r="N42" i="7" s="1"/>
  <c r="L43" i="7"/>
  <c r="M43" i="7" s="1"/>
  <c r="N43" i="7" s="1"/>
  <c r="L44" i="7"/>
  <c r="M44" i="7"/>
  <c r="N44" i="7" s="1"/>
  <c r="L45" i="7"/>
  <c r="M45" i="7" s="1"/>
  <c r="L46" i="7"/>
  <c r="M46" i="7" s="1"/>
  <c r="N46" i="7" s="1"/>
  <c r="L47" i="7"/>
  <c r="M47" i="7"/>
  <c r="N47" i="7" s="1"/>
  <c r="L48" i="7"/>
  <c r="M48" i="7" s="1"/>
  <c r="N48" i="7" s="1"/>
  <c r="L49" i="7"/>
  <c r="M49" i="7" s="1"/>
  <c r="N49" i="7" s="1"/>
  <c r="L50" i="7"/>
  <c r="M50" i="7" s="1"/>
  <c r="N50" i="7" s="1"/>
  <c r="L51" i="7"/>
  <c r="M51" i="7" s="1"/>
  <c r="N51" i="7" s="1"/>
  <c r="L52" i="7"/>
  <c r="M52" i="7" s="1"/>
  <c r="N52" i="7" s="1"/>
  <c r="L53" i="7"/>
  <c r="M53" i="7" s="1"/>
  <c r="N53" i="7" s="1"/>
  <c r="L54" i="7"/>
  <c r="M54" i="7" s="1"/>
  <c r="N54" i="7" s="1"/>
  <c r="L33" i="7"/>
  <c r="M33" i="7" s="1"/>
  <c r="H41" i="8"/>
  <c r="H52" i="8"/>
  <c r="H53" i="8"/>
  <c r="H54" i="8"/>
  <c r="H55" i="8"/>
  <c r="H56" i="8"/>
  <c r="AG19" i="4"/>
  <c r="AI19" i="4" s="1"/>
  <c r="AG20" i="4"/>
  <c r="AI20" i="4" s="1"/>
  <c r="AG21" i="4"/>
  <c r="AI21" i="4" s="1"/>
  <c r="AG22" i="4"/>
  <c r="AI22" i="4" s="1"/>
  <c r="AG23" i="4"/>
  <c r="AI23" i="4" s="1"/>
  <c r="AG24" i="4"/>
  <c r="AI24" i="4" s="1"/>
  <c r="AG25" i="4"/>
  <c r="AI25" i="4" s="1"/>
  <c r="AG26" i="4"/>
  <c r="AI26" i="4"/>
  <c r="AG27" i="4"/>
  <c r="AI27" i="4" s="1"/>
  <c r="AG28" i="4"/>
  <c r="AI28" i="4" s="1"/>
  <c r="AG29" i="4"/>
  <c r="AI29" i="4" s="1"/>
  <c r="AG30" i="4"/>
  <c r="AI30" i="4" s="1"/>
  <c r="AG31" i="4"/>
  <c r="AI31" i="4" s="1"/>
  <c r="AG32" i="4"/>
  <c r="AI32" i="4" s="1"/>
  <c r="AG33" i="4"/>
  <c r="AI33" i="4" s="1"/>
  <c r="AG34" i="4"/>
  <c r="AI34" i="4" s="1"/>
  <c r="AG35" i="4"/>
  <c r="AI35" i="4" s="1"/>
  <c r="AG36" i="4"/>
  <c r="AI36" i="4" s="1"/>
  <c r="AG37" i="4"/>
  <c r="AI37" i="4"/>
  <c r="AG38" i="4"/>
  <c r="AI38" i="4" s="1"/>
  <c r="AG39" i="4"/>
  <c r="AI39" i="4" s="1"/>
  <c r="AG40" i="4"/>
  <c r="AI40" i="4" s="1"/>
  <c r="AG41" i="4"/>
  <c r="AI41" i="4" s="1"/>
  <c r="AG42" i="4"/>
  <c r="AI42" i="4"/>
  <c r="AG43" i="4"/>
  <c r="AI43" i="4" s="1"/>
  <c r="AG44" i="4"/>
  <c r="AI44" i="4" s="1"/>
  <c r="AG45" i="4"/>
  <c r="AI45" i="4" s="1"/>
  <c r="AG46" i="4"/>
  <c r="AI46" i="4" s="1"/>
  <c r="AG47" i="4"/>
  <c r="AI47" i="4" s="1"/>
  <c r="AG48" i="4"/>
  <c r="AI48" i="4" s="1"/>
  <c r="AG49" i="4"/>
  <c r="AI49" i="4" s="1"/>
  <c r="AG50" i="4"/>
  <c r="AI50" i="4"/>
  <c r="AG51" i="4"/>
  <c r="AI51" i="4" s="1"/>
  <c r="AG52" i="4"/>
  <c r="AI52" i="4" s="1"/>
  <c r="AG53" i="4"/>
  <c r="AI53" i="4"/>
  <c r="AG54" i="4"/>
  <c r="AI54" i="4" s="1"/>
  <c r="AG55" i="4"/>
  <c r="AI55" i="4" s="1"/>
  <c r="AG56" i="4"/>
  <c r="AI56" i="4" s="1"/>
  <c r="AG57" i="4"/>
  <c r="AI57" i="4" s="1"/>
  <c r="AG58" i="4"/>
  <c r="AI58" i="4" s="1"/>
  <c r="AG59" i="4"/>
  <c r="AI59" i="4" s="1"/>
  <c r="AG60" i="4"/>
  <c r="AI60" i="4" s="1"/>
  <c r="AG61" i="4"/>
  <c r="AI61" i="4" s="1"/>
  <c r="AG62" i="4"/>
  <c r="AI62" i="4" s="1"/>
  <c r="AG63" i="4"/>
  <c r="AI63" i="4" s="1"/>
  <c r="AG64" i="4"/>
  <c r="AI64" i="4" s="1"/>
  <c r="AG65" i="4"/>
  <c r="AI65" i="4" s="1"/>
  <c r="AG66" i="4"/>
  <c r="AG67" i="4"/>
  <c r="AI67" i="4" s="1"/>
  <c r="AF19" i="4"/>
  <c r="AF20" i="4"/>
  <c r="AF21" i="4"/>
  <c r="AF22" i="4"/>
  <c r="AF23" i="4"/>
  <c r="AF24" i="4"/>
  <c r="AF25" i="4"/>
  <c r="AF26" i="4"/>
  <c r="AF27" i="4"/>
  <c r="AF28" i="4"/>
  <c r="AF29" i="4"/>
  <c r="AF30" i="4"/>
  <c r="AF31" i="4"/>
  <c r="AF32" i="4"/>
  <c r="AF33" i="4"/>
  <c r="AF34" i="4"/>
  <c r="AF35" i="4"/>
  <c r="AF36" i="4"/>
  <c r="AF37" i="4"/>
  <c r="AF38" i="4"/>
  <c r="AF39" i="4"/>
  <c r="AF40" i="4"/>
  <c r="AF41" i="4"/>
  <c r="AF42" i="4"/>
  <c r="AF43" i="4"/>
  <c r="AF44" i="4"/>
  <c r="AF45" i="4"/>
  <c r="AF46" i="4"/>
  <c r="AF47" i="4"/>
  <c r="AF48" i="4"/>
  <c r="AF49" i="4"/>
  <c r="AF50" i="4"/>
  <c r="AF51" i="4"/>
  <c r="AF52" i="4"/>
  <c r="AF53" i="4"/>
  <c r="AF54" i="4"/>
  <c r="AF55" i="4"/>
  <c r="AF56" i="4"/>
  <c r="AF57" i="4"/>
  <c r="AF58" i="4"/>
  <c r="AF59" i="4"/>
  <c r="AF60" i="4"/>
  <c r="AF61" i="4"/>
  <c r="AF62" i="4"/>
  <c r="AF63" i="4"/>
  <c r="AF64" i="4"/>
  <c r="AF65" i="4"/>
  <c r="AF66" i="4"/>
  <c r="AF67" i="4"/>
  <c r="AE19" i="4"/>
  <c r="AE20" i="4"/>
  <c r="AE21" i="4"/>
  <c r="AE22" i="4"/>
  <c r="AE23" i="4"/>
  <c r="AE24" i="4"/>
  <c r="AE25" i="4"/>
  <c r="AE26" i="4"/>
  <c r="AE27" i="4"/>
  <c r="AE28" i="4"/>
  <c r="AE29" i="4"/>
  <c r="AE30" i="4"/>
  <c r="AE31" i="4"/>
  <c r="AE32" i="4"/>
  <c r="AE33" i="4"/>
  <c r="AE34" i="4"/>
  <c r="AE35" i="4"/>
  <c r="AE36" i="4"/>
  <c r="AE37" i="4"/>
  <c r="AE38" i="4"/>
  <c r="AE39" i="4"/>
  <c r="AE40" i="4"/>
  <c r="AE41" i="4"/>
  <c r="AE42" i="4"/>
  <c r="AE43" i="4"/>
  <c r="AE44" i="4"/>
  <c r="AE45" i="4"/>
  <c r="AE46" i="4"/>
  <c r="AE47" i="4"/>
  <c r="AE48" i="4"/>
  <c r="AE49" i="4"/>
  <c r="AE50" i="4"/>
  <c r="AE51" i="4"/>
  <c r="AE52" i="4"/>
  <c r="AE53" i="4"/>
  <c r="AE54" i="4"/>
  <c r="AE55" i="4"/>
  <c r="AE56" i="4"/>
  <c r="AE57" i="4"/>
  <c r="AE58" i="4"/>
  <c r="AE59" i="4"/>
  <c r="AE60" i="4"/>
  <c r="AE61" i="4"/>
  <c r="AE62" i="4"/>
  <c r="AE63" i="4"/>
  <c r="AE64" i="4"/>
  <c r="AE65" i="4"/>
  <c r="AE66" i="4"/>
  <c r="AE67" i="4"/>
  <c r="AK18" i="4"/>
  <c r="AM67" i="4"/>
  <c r="AL67" i="4"/>
  <c r="AK67" i="4"/>
  <c r="AM66" i="4"/>
  <c r="AL66" i="4"/>
  <c r="AK66" i="4"/>
  <c r="AM65" i="4"/>
  <c r="AL65" i="4"/>
  <c r="AK65" i="4"/>
  <c r="AM64" i="4"/>
  <c r="AL64" i="4"/>
  <c r="AK64" i="4"/>
  <c r="AM63" i="4"/>
  <c r="AL63" i="4"/>
  <c r="AK63" i="4"/>
  <c r="AM62" i="4"/>
  <c r="AL62" i="4"/>
  <c r="AK62" i="4"/>
  <c r="AM61" i="4"/>
  <c r="AL61" i="4"/>
  <c r="AK61" i="4"/>
  <c r="AM60" i="4"/>
  <c r="AL60" i="4"/>
  <c r="AK60" i="4"/>
  <c r="AM59" i="4"/>
  <c r="AL59" i="4"/>
  <c r="AK59" i="4"/>
  <c r="AM58" i="4"/>
  <c r="AL58" i="4"/>
  <c r="AK58" i="4"/>
  <c r="AM57" i="4"/>
  <c r="AL57" i="4"/>
  <c r="AK57" i="4"/>
  <c r="AM56" i="4"/>
  <c r="AL56" i="4"/>
  <c r="AK56" i="4"/>
  <c r="AM55" i="4"/>
  <c r="AL55" i="4"/>
  <c r="AK55" i="4"/>
  <c r="AM54" i="4"/>
  <c r="AL54" i="4"/>
  <c r="AK54" i="4"/>
  <c r="AM53" i="4"/>
  <c r="AL53" i="4"/>
  <c r="AK53" i="4"/>
  <c r="AM52" i="4"/>
  <c r="AL52" i="4"/>
  <c r="AK52" i="4"/>
  <c r="AM51" i="4"/>
  <c r="AL51" i="4"/>
  <c r="AK51" i="4"/>
  <c r="AM50" i="4"/>
  <c r="AL50" i="4"/>
  <c r="AK50" i="4"/>
  <c r="AM49" i="4"/>
  <c r="AL49" i="4"/>
  <c r="AK49" i="4"/>
  <c r="AM48" i="4"/>
  <c r="AL48" i="4"/>
  <c r="AK48" i="4"/>
  <c r="AM47" i="4"/>
  <c r="AL47" i="4"/>
  <c r="AK47" i="4"/>
  <c r="AM46" i="4"/>
  <c r="AL46" i="4"/>
  <c r="AK46" i="4"/>
  <c r="AM45" i="4"/>
  <c r="AL45" i="4"/>
  <c r="AK45" i="4"/>
  <c r="AM44" i="4"/>
  <c r="AL44" i="4"/>
  <c r="AK44" i="4"/>
  <c r="AM43" i="4"/>
  <c r="AL43" i="4"/>
  <c r="AK43" i="4"/>
  <c r="AM42" i="4"/>
  <c r="AL42" i="4"/>
  <c r="AK42" i="4"/>
  <c r="AM41" i="4"/>
  <c r="AL41" i="4"/>
  <c r="AK41" i="4"/>
  <c r="AM40" i="4"/>
  <c r="AL40" i="4"/>
  <c r="AK40" i="4"/>
  <c r="AM39" i="4"/>
  <c r="AL39" i="4"/>
  <c r="AK39" i="4"/>
  <c r="AM38" i="4"/>
  <c r="AL38" i="4"/>
  <c r="AK38" i="4"/>
  <c r="AM37" i="4"/>
  <c r="AL37" i="4"/>
  <c r="AK37" i="4"/>
  <c r="AM36" i="4"/>
  <c r="AL36" i="4"/>
  <c r="AK36" i="4"/>
  <c r="AM35" i="4"/>
  <c r="AL35" i="4"/>
  <c r="AK35" i="4"/>
  <c r="AM34" i="4"/>
  <c r="AL34" i="4"/>
  <c r="AK34" i="4"/>
  <c r="AM33" i="4"/>
  <c r="AL33" i="4"/>
  <c r="AK33" i="4"/>
  <c r="AM32" i="4"/>
  <c r="AL32" i="4"/>
  <c r="AK32" i="4"/>
  <c r="AM31" i="4"/>
  <c r="AL31" i="4"/>
  <c r="AK31" i="4"/>
  <c r="AM30" i="4"/>
  <c r="AL30" i="4"/>
  <c r="AK30" i="4"/>
  <c r="AM29" i="4"/>
  <c r="AL29" i="4"/>
  <c r="AK29" i="4"/>
  <c r="AM28" i="4"/>
  <c r="AL28" i="4"/>
  <c r="AK28" i="4"/>
  <c r="AM27" i="4"/>
  <c r="AL27" i="4"/>
  <c r="AK27" i="4"/>
  <c r="AM26" i="4"/>
  <c r="AL26" i="4"/>
  <c r="AK26" i="4"/>
  <c r="AM25" i="4"/>
  <c r="AL25" i="4"/>
  <c r="AK25" i="4"/>
  <c r="AM24" i="4"/>
  <c r="AL24" i="4"/>
  <c r="AK24" i="4"/>
  <c r="AM23" i="4"/>
  <c r="AL23" i="4"/>
  <c r="AK23" i="4"/>
  <c r="AM22" i="4"/>
  <c r="AL22" i="4"/>
  <c r="AK22" i="4"/>
  <c r="AM21" i="4"/>
  <c r="AL21" i="4"/>
  <c r="AK21" i="4"/>
  <c r="AM20" i="4"/>
  <c r="AL20" i="4"/>
  <c r="AK20" i="4"/>
  <c r="AM19" i="4"/>
  <c r="AL19" i="4"/>
  <c r="AK19" i="4"/>
  <c r="AM18" i="4"/>
  <c r="AL18" i="4"/>
  <c r="Y19" i="4"/>
  <c r="Z19" i="4"/>
  <c r="AA19" i="4"/>
  <c r="AC19" i="4"/>
  <c r="Y20" i="4"/>
  <c r="Z20" i="4"/>
  <c r="AA20" i="4"/>
  <c r="Y21" i="4"/>
  <c r="Z21" i="4"/>
  <c r="AA21" i="4"/>
  <c r="AC21" i="4" s="1"/>
  <c r="Y22" i="4"/>
  <c r="Z22" i="4"/>
  <c r="AA22" i="4"/>
  <c r="AC22" i="4" s="1"/>
  <c r="Y23" i="4"/>
  <c r="Z23" i="4"/>
  <c r="AA23" i="4"/>
  <c r="AC23" i="4" s="1"/>
  <c r="Y24" i="4"/>
  <c r="Z24" i="4"/>
  <c r="AA24" i="4"/>
  <c r="AC24" i="4"/>
  <c r="Y25" i="4"/>
  <c r="Z25" i="4"/>
  <c r="AA25" i="4"/>
  <c r="AC25" i="4" s="1"/>
  <c r="Y26" i="4"/>
  <c r="Z26" i="4"/>
  <c r="AA26" i="4"/>
  <c r="AC26" i="4"/>
  <c r="Y27" i="4"/>
  <c r="Z27" i="4"/>
  <c r="AA27" i="4"/>
  <c r="AC27" i="4" s="1"/>
  <c r="Y28" i="4"/>
  <c r="Z28" i="4"/>
  <c r="AA28" i="4"/>
  <c r="Y29" i="4"/>
  <c r="Z29" i="4"/>
  <c r="AA29" i="4"/>
  <c r="AC29" i="4" s="1"/>
  <c r="Y30" i="4"/>
  <c r="Z30" i="4"/>
  <c r="AA30" i="4"/>
  <c r="AC30" i="4" s="1"/>
  <c r="Y31" i="4"/>
  <c r="Z31" i="4"/>
  <c r="AA31" i="4"/>
  <c r="AC31" i="4" s="1"/>
  <c r="Y32" i="4"/>
  <c r="Z32" i="4"/>
  <c r="AA32" i="4"/>
  <c r="AC32" i="4" s="1"/>
  <c r="Y33" i="4"/>
  <c r="Z33" i="4"/>
  <c r="AA33" i="4"/>
  <c r="AC33" i="4" s="1"/>
  <c r="Y34" i="4"/>
  <c r="Z34" i="4"/>
  <c r="AA34" i="4"/>
  <c r="AC34" i="4"/>
  <c r="Y35" i="4"/>
  <c r="Z35" i="4"/>
  <c r="AA35" i="4"/>
  <c r="AC35" i="4" s="1"/>
  <c r="Y36" i="4"/>
  <c r="Z36" i="4"/>
  <c r="AA36" i="4"/>
  <c r="AC36" i="4" s="1"/>
  <c r="Y37" i="4"/>
  <c r="Z37" i="4"/>
  <c r="AA37" i="4"/>
  <c r="AC37" i="4" s="1"/>
  <c r="Y38" i="4"/>
  <c r="Z38" i="4"/>
  <c r="AA38" i="4"/>
  <c r="AC38" i="4" s="1"/>
  <c r="Y39" i="4"/>
  <c r="Z39" i="4"/>
  <c r="AA39" i="4"/>
  <c r="AC39" i="4" s="1"/>
  <c r="Y40" i="4"/>
  <c r="Z40" i="4"/>
  <c r="AA40" i="4"/>
  <c r="AC40" i="4" s="1"/>
  <c r="Y41" i="4"/>
  <c r="Z41" i="4"/>
  <c r="AA41" i="4"/>
  <c r="AC41" i="4" s="1"/>
  <c r="Y42" i="4"/>
  <c r="Z42" i="4"/>
  <c r="AA42" i="4"/>
  <c r="AC42" i="4" s="1"/>
  <c r="Y43" i="4"/>
  <c r="Z43" i="4"/>
  <c r="AA43" i="4"/>
  <c r="AC43" i="4" s="1"/>
  <c r="Y44" i="4"/>
  <c r="Z44" i="4"/>
  <c r="AA44" i="4"/>
  <c r="AC44" i="4" s="1"/>
  <c r="Y45" i="4"/>
  <c r="Z45" i="4"/>
  <c r="AA45" i="4"/>
  <c r="AC45" i="4" s="1"/>
  <c r="Y46" i="4"/>
  <c r="Z46" i="4"/>
  <c r="AA46" i="4"/>
  <c r="AC46" i="4" s="1"/>
  <c r="Y47" i="4"/>
  <c r="Z47" i="4"/>
  <c r="AA47" i="4"/>
  <c r="AC47" i="4" s="1"/>
  <c r="Y48" i="4"/>
  <c r="Z48" i="4"/>
  <c r="AA48" i="4"/>
  <c r="Y49" i="4"/>
  <c r="Z49" i="4"/>
  <c r="AA49" i="4"/>
  <c r="AC49" i="4" s="1"/>
  <c r="Y50" i="4"/>
  <c r="Z50" i="4"/>
  <c r="AA50" i="4"/>
  <c r="AC50" i="4" s="1"/>
  <c r="Y51" i="4"/>
  <c r="Z51" i="4"/>
  <c r="AA51" i="4"/>
  <c r="AC51" i="4" s="1"/>
  <c r="Y52" i="4"/>
  <c r="Z52" i="4"/>
  <c r="AA52" i="4"/>
  <c r="AC52" i="4" s="1"/>
  <c r="Y53" i="4"/>
  <c r="Z53" i="4"/>
  <c r="AA53" i="4"/>
  <c r="AC53" i="4"/>
  <c r="Y54" i="4"/>
  <c r="Z54" i="4"/>
  <c r="AA54" i="4"/>
  <c r="AC54" i="4"/>
  <c r="Y55" i="4"/>
  <c r="Z55" i="4"/>
  <c r="AA55" i="4"/>
  <c r="Y56" i="4"/>
  <c r="Z56" i="4"/>
  <c r="AA56" i="4"/>
  <c r="AC56" i="4" s="1"/>
  <c r="Y57" i="4"/>
  <c r="Z57" i="4"/>
  <c r="AA57" i="4"/>
  <c r="AC57" i="4" s="1"/>
  <c r="Y58" i="4"/>
  <c r="Z58" i="4"/>
  <c r="AA58" i="4"/>
  <c r="AC58" i="4" s="1"/>
  <c r="Y59" i="4"/>
  <c r="Z59" i="4"/>
  <c r="AA59" i="4"/>
  <c r="AC59" i="4"/>
  <c r="Y60" i="4"/>
  <c r="Z60" i="4"/>
  <c r="AA60" i="4"/>
  <c r="AC60" i="4" s="1"/>
  <c r="Y61" i="4"/>
  <c r="Z61" i="4"/>
  <c r="AA61" i="4"/>
  <c r="AC61" i="4" s="1"/>
  <c r="Y62" i="4"/>
  <c r="Z62" i="4"/>
  <c r="AA62" i="4"/>
  <c r="AC62" i="4" s="1"/>
  <c r="Y63" i="4"/>
  <c r="Z63" i="4"/>
  <c r="AA63" i="4"/>
  <c r="AC63" i="4" s="1"/>
  <c r="Y64" i="4"/>
  <c r="Z64" i="4"/>
  <c r="AA64" i="4"/>
  <c r="AC64" i="4"/>
  <c r="Y65" i="4"/>
  <c r="Z65" i="4"/>
  <c r="AA65" i="4"/>
  <c r="AC65" i="4"/>
  <c r="Y66" i="4"/>
  <c r="Z66" i="4"/>
  <c r="AA66" i="4"/>
  <c r="AC66" i="4" s="1"/>
  <c r="Y67" i="4"/>
  <c r="Z67" i="4"/>
  <c r="AA67" i="4"/>
  <c r="AC67" i="4"/>
  <c r="S19" i="4"/>
  <c r="T19" i="4"/>
  <c r="U19" i="4"/>
  <c r="W19" i="4"/>
  <c r="S20" i="4"/>
  <c r="T20" i="4"/>
  <c r="U20" i="4"/>
  <c r="W20" i="4" s="1"/>
  <c r="S21" i="4"/>
  <c r="T21" i="4"/>
  <c r="U21" i="4"/>
  <c r="W21" i="4" s="1"/>
  <c r="S22" i="4"/>
  <c r="T22" i="4"/>
  <c r="U22" i="4"/>
  <c r="W22" i="4" s="1"/>
  <c r="S23" i="4"/>
  <c r="T23" i="4"/>
  <c r="U23" i="4"/>
  <c r="W23" i="4"/>
  <c r="S24" i="4"/>
  <c r="T24" i="4"/>
  <c r="U24" i="4"/>
  <c r="W24" i="4" s="1"/>
  <c r="S25" i="4"/>
  <c r="T25" i="4"/>
  <c r="U25" i="4"/>
  <c r="W25" i="4"/>
  <c r="S26" i="4"/>
  <c r="T26" i="4"/>
  <c r="U26" i="4"/>
  <c r="W26" i="4" s="1"/>
  <c r="S27" i="4"/>
  <c r="T27" i="4"/>
  <c r="U27" i="4"/>
  <c r="W27" i="4"/>
  <c r="S28" i="4"/>
  <c r="T28" i="4"/>
  <c r="U28" i="4"/>
  <c r="W28" i="4" s="1"/>
  <c r="S29" i="4"/>
  <c r="T29" i="4"/>
  <c r="U29" i="4"/>
  <c r="W29" i="4"/>
  <c r="S30" i="4"/>
  <c r="T30" i="4"/>
  <c r="U30" i="4"/>
  <c r="W30" i="4" s="1"/>
  <c r="S31" i="4"/>
  <c r="T31" i="4"/>
  <c r="U31" i="4"/>
  <c r="W31" i="4"/>
  <c r="S32" i="4"/>
  <c r="T32" i="4"/>
  <c r="U32" i="4"/>
  <c r="S33" i="4"/>
  <c r="T33" i="4"/>
  <c r="U33" i="4"/>
  <c r="W33" i="4"/>
  <c r="S34" i="4"/>
  <c r="T34" i="4"/>
  <c r="U34" i="4"/>
  <c r="W34" i="4"/>
  <c r="S35" i="4"/>
  <c r="T35" i="4"/>
  <c r="U35" i="4"/>
  <c r="W35" i="4" s="1"/>
  <c r="S36" i="4"/>
  <c r="T36" i="4"/>
  <c r="U36" i="4"/>
  <c r="W36" i="4"/>
  <c r="S37" i="4"/>
  <c r="T37" i="4"/>
  <c r="U37" i="4"/>
  <c r="W37" i="4"/>
  <c r="S38" i="4"/>
  <c r="T38" i="4"/>
  <c r="U38" i="4"/>
  <c r="S39" i="4"/>
  <c r="T39" i="4"/>
  <c r="U39" i="4"/>
  <c r="W39" i="4" s="1"/>
  <c r="S40" i="4"/>
  <c r="T40" i="4"/>
  <c r="U40" i="4"/>
  <c r="W40" i="4"/>
  <c r="S41" i="4"/>
  <c r="T41" i="4"/>
  <c r="U41" i="4"/>
  <c r="W41" i="4"/>
  <c r="S42" i="4"/>
  <c r="T42" i="4"/>
  <c r="U42" i="4"/>
  <c r="W42" i="4" s="1"/>
  <c r="S43" i="4"/>
  <c r="T43" i="4"/>
  <c r="U43" i="4"/>
  <c r="W43" i="4" s="1"/>
  <c r="S44" i="4"/>
  <c r="T44" i="4"/>
  <c r="U44" i="4"/>
  <c r="W44" i="4"/>
  <c r="S45" i="4"/>
  <c r="T45" i="4"/>
  <c r="U45" i="4"/>
  <c r="W45" i="4" s="1"/>
  <c r="S46" i="4"/>
  <c r="T46" i="4"/>
  <c r="U46" i="4"/>
  <c r="S47" i="4"/>
  <c r="T47" i="4"/>
  <c r="U47" i="4"/>
  <c r="W47" i="4" s="1"/>
  <c r="S48" i="4"/>
  <c r="T48" i="4"/>
  <c r="U48" i="4"/>
  <c r="W48" i="4" s="1"/>
  <c r="S49" i="4"/>
  <c r="T49" i="4"/>
  <c r="U49" i="4"/>
  <c r="W49" i="4" s="1"/>
  <c r="S50" i="4"/>
  <c r="T50" i="4"/>
  <c r="U50" i="4"/>
  <c r="W50" i="4" s="1"/>
  <c r="S51" i="4"/>
  <c r="T51" i="4"/>
  <c r="U51" i="4"/>
  <c r="W51" i="4" s="1"/>
  <c r="S52" i="4"/>
  <c r="T52" i="4"/>
  <c r="U52" i="4"/>
  <c r="W52" i="4" s="1"/>
  <c r="S53" i="4"/>
  <c r="T53" i="4"/>
  <c r="U53" i="4"/>
  <c r="W53" i="4" s="1"/>
  <c r="S54" i="4"/>
  <c r="T54" i="4"/>
  <c r="U54" i="4"/>
  <c r="W54" i="4" s="1"/>
  <c r="S55" i="4"/>
  <c r="T55" i="4"/>
  <c r="U55" i="4"/>
  <c r="W55" i="4" s="1"/>
  <c r="S56" i="4"/>
  <c r="T56" i="4"/>
  <c r="U56" i="4"/>
  <c r="W56" i="4" s="1"/>
  <c r="S57" i="4"/>
  <c r="T57" i="4"/>
  <c r="U57" i="4"/>
  <c r="W57" i="4" s="1"/>
  <c r="S58" i="4"/>
  <c r="T58" i="4"/>
  <c r="U58" i="4"/>
  <c r="W58" i="4"/>
  <c r="S59" i="4"/>
  <c r="T59" i="4"/>
  <c r="U59" i="4"/>
  <c r="W59" i="4" s="1"/>
  <c r="S60" i="4"/>
  <c r="T60" i="4"/>
  <c r="U60" i="4"/>
  <c r="W60" i="4" s="1"/>
  <c r="S61" i="4"/>
  <c r="T61" i="4"/>
  <c r="U61" i="4"/>
  <c r="W61" i="4"/>
  <c r="S62" i="4"/>
  <c r="T62" i="4"/>
  <c r="U62" i="4"/>
  <c r="W62" i="4"/>
  <c r="S63" i="4"/>
  <c r="T63" i="4"/>
  <c r="U63" i="4"/>
  <c r="W63" i="4" s="1"/>
  <c r="S64" i="4"/>
  <c r="T64" i="4"/>
  <c r="U64" i="4"/>
  <c r="W64" i="4"/>
  <c r="S65" i="4"/>
  <c r="T65" i="4"/>
  <c r="U65" i="4"/>
  <c r="W65" i="4" s="1"/>
  <c r="S66" i="4"/>
  <c r="T66" i="4"/>
  <c r="U66" i="4"/>
  <c r="W66" i="4" s="1"/>
  <c r="S67" i="4"/>
  <c r="T67" i="4"/>
  <c r="U67" i="4"/>
  <c r="W67" i="4"/>
  <c r="M19" i="4"/>
  <c r="N19" i="4"/>
  <c r="O19" i="4"/>
  <c r="Q19" i="4" s="1"/>
  <c r="M20" i="4"/>
  <c r="N20" i="4"/>
  <c r="O20" i="4"/>
  <c r="Q20" i="4" s="1"/>
  <c r="M21" i="4"/>
  <c r="N21" i="4"/>
  <c r="O21" i="4"/>
  <c r="Q21" i="4"/>
  <c r="M22" i="4"/>
  <c r="N22" i="4"/>
  <c r="O22" i="4"/>
  <c r="Q22" i="4" s="1"/>
  <c r="M23" i="4"/>
  <c r="N23" i="4"/>
  <c r="O23" i="4"/>
  <c r="Q23" i="4"/>
  <c r="M24" i="4"/>
  <c r="N24" i="4"/>
  <c r="O24" i="4"/>
  <c r="Q24" i="4" s="1"/>
  <c r="M25" i="4"/>
  <c r="N25" i="4"/>
  <c r="O25" i="4"/>
  <c r="Q25" i="4" s="1"/>
  <c r="M26" i="4"/>
  <c r="N26" i="4"/>
  <c r="O26" i="4"/>
  <c r="Q26" i="4"/>
  <c r="M27" i="4"/>
  <c r="N27" i="4"/>
  <c r="O27" i="4"/>
  <c r="Q27" i="4" s="1"/>
  <c r="M28" i="4"/>
  <c r="N28" i="4"/>
  <c r="O28" i="4"/>
  <c r="Q28" i="4" s="1"/>
  <c r="M29" i="4"/>
  <c r="N29" i="4"/>
  <c r="O29" i="4"/>
  <c r="Q29" i="4"/>
  <c r="M30" i="4"/>
  <c r="N30" i="4"/>
  <c r="O30" i="4"/>
  <c r="Q30" i="4" s="1"/>
  <c r="M31" i="4"/>
  <c r="N31" i="4"/>
  <c r="O31" i="4"/>
  <c r="Q31" i="4"/>
  <c r="M32" i="4"/>
  <c r="N32" i="4"/>
  <c r="O32" i="4"/>
  <c r="Q32" i="4" s="1"/>
  <c r="M33" i="4"/>
  <c r="N33" i="4"/>
  <c r="O33" i="4"/>
  <c r="Q33" i="4" s="1"/>
  <c r="M34" i="4"/>
  <c r="N34" i="4"/>
  <c r="O34" i="4"/>
  <c r="Q34" i="4"/>
  <c r="M35" i="4"/>
  <c r="N35" i="4"/>
  <c r="O35" i="4"/>
  <c r="Q35" i="4"/>
  <c r="M36" i="4"/>
  <c r="N36" i="4"/>
  <c r="O36" i="4"/>
  <c r="M37" i="4"/>
  <c r="N37" i="4"/>
  <c r="O37" i="4"/>
  <c r="Q37" i="4" s="1"/>
  <c r="M38" i="4"/>
  <c r="N38" i="4"/>
  <c r="O38" i="4"/>
  <c r="Q38" i="4" s="1"/>
  <c r="M39" i="4"/>
  <c r="N39" i="4"/>
  <c r="O39" i="4"/>
  <c r="Q39" i="4" s="1"/>
  <c r="M40" i="4"/>
  <c r="N40" i="4"/>
  <c r="O40" i="4"/>
  <c r="Q40" i="4"/>
  <c r="M41" i="4"/>
  <c r="N41" i="4"/>
  <c r="O41" i="4"/>
  <c r="Q41" i="4" s="1"/>
  <c r="M42" i="4"/>
  <c r="N42" i="4"/>
  <c r="O42" i="4"/>
  <c r="M43" i="4"/>
  <c r="N43" i="4"/>
  <c r="O43" i="4"/>
  <c r="Q43" i="4" s="1"/>
  <c r="M44" i="4"/>
  <c r="N44" i="4"/>
  <c r="O44" i="4"/>
  <c r="Q44" i="4" s="1"/>
  <c r="M45" i="4"/>
  <c r="N45" i="4"/>
  <c r="O45" i="4"/>
  <c r="Q45" i="4"/>
  <c r="M46" i="4"/>
  <c r="N46" i="4"/>
  <c r="O46" i="4"/>
  <c r="Q46" i="4"/>
  <c r="M47" i="4"/>
  <c r="N47" i="4"/>
  <c r="O47" i="4"/>
  <c r="Q47" i="4" s="1"/>
  <c r="M48" i="4"/>
  <c r="N48" i="4"/>
  <c r="O48" i="4"/>
  <c r="Q48" i="4" s="1"/>
  <c r="M49" i="4"/>
  <c r="N49" i="4"/>
  <c r="O49" i="4"/>
  <c r="Q49" i="4" s="1"/>
  <c r="M50" i="4"/>
  <c r="N50" i="4"/>
  <c r="O50" i="4"/>
  <c r="Q50" i="4" s="1"/>
  <c r="M51" i="4"/>
  <c r="N51" i="4"/>
  <c r="O51" i="4"/>
  <c r="Q51" i="4" s="1"/>
  <c r="M52" i="4"/>
  <c r="N52" i="4"/>
  <c r="O52" i="4"/>
  <c r="Q52" i="4" s="1"/>
  <c r="M53" i="4"/>
  <c r="N53" i="4"/>
  <c r="O53" i="4"/>
  <c r="Q53" i="4" s="1"/>
  <c r="M54" i="4"/>
  <c r="N54" i="4"/>
  <c r="O54" i="4"/>
  <c r="Q54" i="4" s="1"/>
  <c r="M55" i="4"/>
  <c r="N55" i="4"/>
  <c r="O55" i="4"/>
  <c r="Q55" i="4" s="1"/>
  <c r="M56" i="4"/>
  <c r="N56" i="4"/>
  <c r="O56" i="4"/>
  <c r="Q56" i="4"/>
  <c r="M57" i="4"/>
  <c r="N57" i="4"/>
  <c r="O57" i="4"/>
  <c r="Q57" i="4" s="1"/>
  <c r="M58" i="4"/>
  <c r="N58" i="4"/>
  <c r="O58" i="4"/>
  <c r="Q58" i="4"/>
  <c r="M59" i="4"/>
  <c r="N59" i="4"/>
  <c r="O59" i="4"/>
  <c r="Q59" i="4" s="1"/>
  <c r="M60" i="4"/>
  <c r="N60" i="4"/>
  <c r="O60" i="4"/>
  <c r="Q60" i="4" s="1"/>
  <c r="M61" i="4"/>
  <c r="N61" i="4"/>
  <c r="O61" i="4"/>
  <c r="Q61" i="4" s="1"/>
  <c r="M62" i="4"/>
  <c r="N62" i="4"/>
  <c r="O62" i="4"/>
  <c r="Q62" i="4" s="1"/>
  <c r="M63" i="4"/>
  <c r="N63" i="4"/>
  <c r="O63" i="4"/>
  <c r="Q63" i="4"/>
  <c r="M64" i="4"/>
  <c r="N64" i="4"/>
  <c r="O64" i="4"/>
  <c r="Q64" i="4"/>
  <c r="M65" i="4"/>
  <c r="N65" i="4"/>
  <c r="O65" i="4"/>
  <c r="Q65" i="4" s="1"/>
  <c r="M66" i="4"/>
  <c r="N66" i="4"/>
  <c r="O66" i="4"/>
  <c r="Q66" i="4"/>
  <c r="M67" i="4"/>
  <c r="N67" i="4"/>
  <c r="O67" i="4"/>
  <c r="Q67" i="4"/>
  <c r="AA18" i="4"/>
  <c r="AC18" i="4" s="1"/>
  <c r="Z18" i="4"/>
  <c r="Y18" i="4"/>
  <c r="U18" i="4"/>
  <c r="W18" i="4"/>
  <c r="T18" i="4"/>
  <c r="S18" i="4"/>
  <c r="O18" i="4"/>
  <c r="Q18" i="4"/>
  <c r="N18" i="4"/>
  <c r="M18" i="4"/>
  <c r="AG18" i="4"/>
  <c r="AI18" i="4" s="1"/>
  <c r="AF18" i="4"/>
  <c r="AE18" i="4"/>
  <c r="AI66" i="4"/>
  <c r="AC48" i="4"/>
  <c r="W32" i="4"/>
  <c r="AC20" i="4"/>
  <c r="AC28" i="4"/>
  <c r="Q36" i="4"/>
  <c r="D9" i="9"/>
  <c r="B26" i="18"/>
  <c r="B7" i="6" s="1"/>
  <c r="N19" i="6" s="1"/>
  <c r="B37" i="18"/>
  <c r="B8" i="6" s="1"/>
  <c r="N20" i="6" s="1"/>
  <c r="B48" i="18"/>
  <c r="B9" i="6" s="1"/>
  <c r="N21" i="6" s="1"/>
  <c r="B59" i="18"/>
  <c r="B10" i="6" s="1"/>
  <c r="N22" i="6" s="1"/>
  <c r="B70" i="18"/>
  <c r="B11" i="6" s="1"/>
  <c r="N23" i="6" s="1"/>
  <c r="B81" i="18"/>
  <c r="B12" i="6" s="1"/>
  <c r="N24" i="6" s="1"/>
  <c r="B92" i="18"/>
  <c r="B13" i="6" s="1"/>
  <c r="EC15" i="6" s="1"/>
  <c r="M8" i="6"/>
  <c r="M9" i="6"/>
  <c r="M10" i="6"/>
  <c r="M11" i="6"/>
  <c r="M12" i="6"/>
  <c r="M13" i="6"/>
  <c r="M7" i="6"/>
  <c r="M6" i="6"/>
  <c r="AN11" i="12"/>
  <c r="AK11" i="12" s="1"/>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L38" i="12"/>
  <c r="AL39" i="12"/>
  <c r="AL40" i="12"/>
  <c r="AL41" i="12"/>
  <c r="AL42" i="12"/>
  <c r="AL43"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38" i="12"/>
  <c r="AI39" i="12"/>
  <c r="AI40" i="12"/>
  <c r="AI41" i="12"/>
  <c r="AI42" i="12"/>
  <c r="AI43" i="12"/>
  <c r="AH11" i="12"/>
  <c r="AE11" i="12" s="1"/>
  <c r="AP15" i="12"/>
  <c r="AP16" i="12"/>
  <c r="AP17" i="12"/>
  <c r="AP18" i="12"/>
  <c r="AP19" i="12"/>
  <c r="AP20" i="12"/>
  <c r="AP21" i="12"/>
  <c r="AP22" i="12"/>
  <c r="AP23" i="12"/>
  <c r="AP24" i="12"/>
  <c r="AP25" i="12"/>
  <c r="AP26" i="12"/>
  <c r="AP27" i="12"/>
  <c r="AP28" i="12"/>
  <c r="AP29" i="12"/>
  <c r="AP30" i="12"/>
  <c r="AP31" i="12"/>
  <c r="AP32" i="12"/>
  <c r="AP33" i="12"/>
  <c r="AP34" i="12"/>
  <c r="AP35" i="12"/>
  <c r="AP36" i="12"/>
  <c r="AP37" i="12"/>
  <c r="AP38" i="12"/>
  <c r="AP39" i="12"/>
  <c r="AP40" i="12"/>
  <c r="AP41" i="12"/>
  <c r="AP42" i="12"/>
  <c r="AP43" i="12"/>
  <c r="AJ43" i="12"/>
  <c r="AJ42" i="12"/>
  <c r="AJ41" i="12"/>
  <c r="AJ40" i="12"/>
  <c r="AJ39" i="12"/>
  <c r="AJ38" i="12"/>
  <c r="AJ37" i="12"/>
  <c r="AJ36" i="12"/>
  <c r="AJ35" i="12"/>
  <c r="AJ34" i="12"/>
  <c r="AJ33" i="12"/>
  <c r="AJ32" i="12"/>
  <c r="AJ31" i="12"/>
  <c r="AJ30" i="12"/>
  <c r="AJ29" i="12"/>
  <c r="AJ28" i="12"/>
  <c r="AJ27" i="12"/>
  <c r="AJ26" i="12"/>
  <c r="AJ25" i="12"/>
  <c r="AJ24" i="12"/>
  <c r="AJ23" i="12"/>
  <c r="AJ22" i="12"/>
  <c r="AJ21" i="12"/>
  <c r="AJ20" i="12"/>
  <c r="AJ19" i="12"/>
  <c r="AJ18" i="12"/>
  <c r="AJ17" i="12"/>
  <c r="AJ16" i="12"/>
  <c r="AJ15" i="12"/>
  <c r="AO15" i="12"/>
  <c r="AO16" i="12"/>
  <c r="AO17" i="12"/>
  <c r="AO18" i="12"/>
  <c r="AO19" i="12"/>
  <c r="AO20" i="12"/>
  <c r="AO21" i="12"/>
  <c r="AO22" i="12"/>
  <c r="AO23" i="12"/>
  <c r="AO24" i="12"/>
  <c r="AO25" i="12"/>
  <c r="AO26" i="12"/>
  <c r="AO27" i="12"/>
  <c r="AO28" i="12"/>
  <c r="AO29" i="12"/>
  <c r="AO30" i="12"/>
  <c r="AO31" i="12"/>
  <c r="AO32" i="12"/>
  <c r="AO33" i="12"/>
  <c r="AO34" i="12"/>
  <c r="AO35" i="12"/>
  <c r="AO36" i="12"/>
  <c r="AO37" i="12"/>
  <c r="AO38" i="12"/>
  <c r="AO39" i="12"/>
  <c r="AO40" i="12"/>
  <c r="AO41" i="12"/>
  <c r="AO42" i="12"/>
  <c r="AO43" i="12"/>
  <c r="AN12" i="12"/>
  <c r="AK12" i="12"/>
  <c r="AN13" i="12"/>
  <c r="AK13" i="12" s="1"/>
  <c r="AN14" i="12"/>
  <c r="AK14" i="12"/>
  <c r="AN15" i="12"/>
  <c r="AK15" i="12" s="1"/>
  <c r="AN16" i="12"/>
  <c r="AK16" i="12"/>
  <c r="AN17" i="12"/>
  <c r="AK17" i="12"/>
  <c r="AN18" i="12"/>
  <c r="AK18" i="12" s="1"/>
  <c r="AN19" i="12"/>
  <c r="AK19" i="12"/>
  <c r="AN20" i="12"/>
  <c r="AK20" i="12"/>
  <c r="AN21" i="12"/>
  <c r="AK21" i="12"/>
  <c r="AN22" i="12"/>
  <c r="AK22" i="12" s="1"/>
  <c r="AN23" i="12"/>
  <c r="AK23" i="12" s="1"/>
  <c r="AN24" i="12"/>
  <c r="AK24" i="12"/>
  <c r="AN25" i="12"/>
  <c r="AK25" i="12"/>
  <c r="AN26" i="12"/>
  <c r="AK26" i="12" s="1"/>
  <c r="AN27" i="12"/>
  <c r="AK27" i="12" s="1"/>
  <c r="AN28" i="12"/>
  <c r="AK28" i="12"/>
  <c r="AN29" i="12"/>
  <c r="AK29" i="12"/>
  <c r="AN30" i="12"/>
  <c r="AK30" i="12"/>
  <c r="AN31" i="12"/>
  <c r="AK31" i="12" s="1"/>
  <c r="AN32" i="12"/>
  <c r="AK32" i="12"/>
  <c r="AN33" i="12"/>
  <c r="AK33" i="12"/>
  <c r="AN34" i="12"/>
  <c r="AK34" i="12" s="1"/>
  <c r="AN35" i="12"/>
  <c r="AK35" i="12" s="1"/>
  <c r="AN36" i="12"/>
  <c r="AK36" i="12" s="1"/>
  <c r="AN37" i="12"/>
  <c r="AK37" i="12"/>
  <c r="AN38" i="12"/>
  <c r="AK38" i="12"/>
  <c r="AN39" i="12"/>
  <c r="AK39" i="12" s="1"/>
  <c r="AN40" i="12"/>
  <c r="AK40" i="12"/>
  <c r="AN41" i="12"/>
  <c r="AK41" i="12"/>
  <c r="AN42" i="12"/>
  <c r="AK42" i="12" s="1"/>
  <c r="AN43" i="12"/>
  <c r="AK43" i="12" s="1"/>
  <c r="AQ14" i="12"/>
  <c r="AJ14" i="12" s="1"/>
  <c r="AI14" i="12" s="1"/>
  <c r="AQ13" i="12"/>
  <c r="AP13" i="12" s="1"/>
  <c r="AO13" i="12" s="1"/>
  <c r="AQ12" i="12"/>
  <c r="AJ12" i="12" s="1"/>
  <c r="AI12" i="12" s="1"/>
  <c r="AQ11" i="12"/>
  <c r="Y14" i="3"/>
  <c r="X14" i="3"/>
  <c r="M546" i="10"/>
  <c r="L546" i="10"/>
  <c r="K546" i="10"/>
  <c r="M545" i="10"/>
  <c r="L545" i="10"/>
  <c r="K545" i="10"/>
  <c r="M544" i="10"/>
  <c r="L544" i="10"/>
  <c r="K544" i="10"/>
  <c r="M543" i="10"/>
  <c r="L543" i="10"/>
  <c r="K543" i="10"/>
  <c r="M542" i="10"/>
  <c r="L542" i="10"/>
  <c r="K542" i="10"/>
  <c r="M541" i="10"/>
  <c r="L541" i="10"/>
  <c r="K541" i="10"/>
  <c r="M540" i="10"/>
  <c r="L540" i="10"/>
  <c r="K540" i="10"/>
  <c r="M539" i="10"/>
  <c r="L539" i="10"/>
  <c r="K539" i="10"/>
  <c r="M538" i="10"/>
  <c r="L538" i="10"/>
  <c r="K538" i="10"/>
  <c r="M537" i="10"/>
  <c r="L537" i="10"/>
  <c r="K537" i="10"/>
  <c r="M536" i="10"/>
  <c r="L536" i="10"/>
  <c r="K536" i="10"/>
  <c r="M535" i="10"/>
  <c r="L535" i="10"/>
  <c r="K535" i="10"/>
  <c r="M534" i="10"/>
  <c r="L534" i="10"/>
  <c r="K534" i="10"/>
  <c r="M533" i="10"/>
  <c r="L533" i="10"/>
  <c r="K533" i="10"/>
  <c r="M532" i="10"/>
  <c r="L532" i="10"/>
  <c r="K532" i="10"/>
  <c r="M531" i="10"/>
  <c r="L531" i="10"/>
  <c r="K531" i="10"/>
  <c r="M530" i="10"/>
  <c r="L530" i="10"/>
  <c r="K530" i="10"/>
  <c r="M529" i="10"/>
  <c r="L529" i="10"/>
  <c r="K529" i="10"/>
  <c r="M528" i="10"/>
  <c r="L528" i="10"/>
  <c r="K528" i="10"/>
  <c r="M527" i="10"/>
  <c r="L527" i="10"/>
  <c r="K527" i="10"/>
  <c r="M526" i="10"/>
  <c r="L526" i="10"/>
  <c r="K526" i="10"/>
  <c r="M525" i="10"/>
  <c r="L525" i="10"/>
  <c r="K525" i="10"/>
  <c r="M524" i="10"/>
  <c r="L524" i="10"/>
  <c r="K524" i="10"/>
  <c r="M523" i="10"/>
  <c r="L523" i="10"/>
  <c r="K523" i="10"/>
  <c r="F92" i="22"/>
  <c r="E92" i="22"/>
  <c r="D92" i="22"/>
  <c r="F84" i="22"/>
  <c r="E84" i="22"/>
  <c r="D84" i="22"/>
  <c r="F67" i="22"/>
  <c r="E67" i="22"/>
  <c r="D67" i="22"/>
  <c r="F53" i="22"/>
  <c r="E53" i="22"/>
  <c r="D53" i="22"/>
  <c r="F21" i="22"/>
  <c r="E21" i="22"/>
  <c r="D21" i="22"/>
  <c r="F34" i="22"/>
  <c r="E34" i="22"/>
  <c r="D34" i="22"/>
  <c r="N33" i="5"/>
  <c r="M33" i="5"/>
  <c r="C93" i="14"/>
  <c r="C59" i="14"/>
  <c r="C60" i="14"/>
  <c r="C61" i="14"/>
  <c r="T33" i="5"/>
  <c r="S33" i="5"/>
  <c r="O131" i="14"/>
  <c r="O130" i="14"/>
  <c r="O129" i="14"/>
  <c r="O128" i="14"/>
  <c r="O127" i="14"/>
  <c r="O126" i="14"/>
  <c r="O125" i="14"/>
  <c r="O124" i="14"/>
  <c r="O123" i="14"/>
  <c r="O122" i="14"/>
  <c r="O121" i="14"/>
  <c r="O120" i="14"/>
  <c r="O119" i="14"/>
  <c r="O118" i="14"/>
  <c r="O117" i="14"/>
  <c r="O116" i="14"/>
  <c r="O115" i="14"/>
  <c r="O114" i="14"/>
  <c r="O113" i="14"/>
  <c r="O112" i="14"/>
  <c r="O111" i="14"/>
  <c r="O110" i="14"/>
  <c r="O109" i="14"/>
  <c r="O108" i="14"/>
  <c r="O107" i="14"/>
  <c r="O106" i="14"/>
  <c r="O105" i="14"/>
  <c r="O104" i="14"/>
  <c r="O103" i="14"/>
  <c r="O102" i="14"/>
  <c r="O101" i="14"/>
  <c r="O100" i="14"/>
  <c r="O99" i="14"/>
  <c r="O98" i="14"/>
  <c r="O97" i="14"/>
  <c r="O96" i="14"/>
  <c r="O95" i="14"/>
  <c r="O94" i="14"/>
  <c r="O93" i="14"/>
  <c r="O92" i="14"/>
  <c r="O91" i="14"/>
  <c r="O90" i="14"/>
  <c r="O89" i="14"/>
  <c r="O88" i="14"/>
  <c r="O87" i="14"/>
  <c r="O86" i="14"/>
  <c r="O85" i="14"/>
  <c r="O84" i="14"/>
  <c r="O83" i="14"/>
  <c r="O82" i="14"/>
  <c r="O81" i="14"/>
  <c r="O80" i="14"/>
  <c r="O79" i="14"/>
  <c r="O78" i="14"/>
  <c r="O77" i="14"/>
  <c r="O76" i="14"/>
  <c r="O75" i="14"/>
  <c r="O74" i="14"/>
  <c r="O73" i="14"/>
  <c r="O72" i="14"/>
  <c r="O71" i="14"/>
  <c r="O70" i="14"/>
  <c r="O69" i="14"/>
  <c r="O68" i="14"/>
  <c r="O67" i="14"/>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O33" i="14"/>
  <c r="O32" i="14"/>
  <c r="O31" i="14"/>
  <c r="O30" i="14"/>
  <c r="O29" i="14"/>
  <c r="O28" i="14"/>
  <c r="O27" i="14"/>
  <c r="O26" i="14"/>
  <c r="O25" i="14"/>
  <c r="O24" i="14"/>
  <c r="O23" i="14"/>
  <c r="O22" i="14"/>
  <c r="O21" i="14"/>
  <c r="O20" i="14"/>
  <c r="O19" i="14"/>
  <c r="O18" i="14"/>
  <c r="O17" i="14"/>
  <c r="O16" i="14"/>
  <c r="O15" i="14"/>
  <c r="O14" i="14"/>
  <c r="O13" i="14"/>
  <c r="O12" i="14"/>
  <c r="O11" i="14"/>
  <c r="O10" i="14"/>
  <c r="O9" i="14"/>
  <c r="O8" i="14"/>
  <c r="O7" i="14"/>
  <c r="O6" i="14"/>
  <c r="O5" i="14"/>
  <c r="O3"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3" i="14"/>
  <c r="F29" i="22"/>
  <c r="F28" i="22"/>
  <c r="F27" i="22"/>
  <c r="E29" i="22"/>
  <c r="E28" i="22"/>
  <c r="E27" i="22"/>
  <c r="D29" i="22"/>
  <c r="D27" i="22"/>
  <c r="D28" i="22"/>
  <c r="F18" i="22"/>
  <c r="E18" i="22"/>
  <c r="D18" i="22"/>
  <c r="F15" i="22"/>
  <c r="E15" i="22"/>
  <c r="D15" i="22"/>
  <c r="F13" i="22"/>
  <c r="E13" i="22"/>
  <c r="D13" i="22"/>
  <c r="E56" i="16"/>
  <c r="E55" i="16"/>
  <c r="E54" i="16"/>
  <c r="E53" i="16"/>
  <c r="E52" i="16"/>
  <c r="E51" i="16"/>
  <c r="E50" i="16"/>
  <c r="E49" i="16"/>
  <c r="G35" i="16"/>
  <c r="G34" i="16"/>
  <c r="G33" i="16"/>
  <c r="G32" i="16"/>
  <c r="G31" i="16"/>
  <c r="G56" i="16"/>
  <c r="G55" i="16"/>
  <c r="G54" i="16"/>
  <c r="G53" i="16"/>
  <c r="G52" i="16"/>
  <c r="G51" i="16"/>
  <c r="G50" i="16"/>
  <c r="G49" i="16"/>
  <c r="F5" i="19"/>
  <c r="F6" i="19"/>
  <c r="M519" i="10"/>
  <c r="L519" i="10"/>
  <c r="K519" i="10"/>
  <c r="M518" i="10"/>
  <c r="L518" i="10"/>
  <c r="K518" i="10"/>
  <c r="M517" i="10"/>
  <c r="L517" i="10"/>
  <c r="K517" i="10"/>
  <c r="M516" i="10"/>
  <c r="L516" i="10"/>
  <c r="K516" i="10"/>
  <c r="M515" i="10"/>
  <c r="L515" i="10"/>
  <c r="K515" i="10"/>
  <c r="M514" i="10"/>
  <c r="L514" i="10"/>
  <c r="K514" i="10"/>
  <c r="M513" i="10"/>
  <c r="L513" i="10"/>
  <c r="K513" i="10"/>
  <c r="M512" i="10"/>
  <c r="L512" i="10"/>
  <c r="K512" i="10"/>
  <c r="M511" i="10"/>
  <c r="L511" i="10"/>
  <c r="K511" i="10"/>
  <c r="M510" i="10"/>
  <c r="L510" i="10"/>
  <c r="K510" i="10"/>
  <c r="M509" i="10"/>
  <c r="L509" i="10"/>
  <c r="K509" i="10"/>
  <c r="M508" i="10"/>
  <c r="L508" i="10"/>
  <c r="K508" i="10"/>
  <c r="M507" i="10"/>
  <c r="L507" i="10"/>
  <c r="K507" i="10"/>
  <c r="M506" i="10"/>
  <c r="L506" i="10"/>
  <c r="K506" i="10"/>
  <c r="M505" i="10"/>
  <c r="L505" i="10"/>
  <c r="K505" i="10"/>
  <c r="M504" i="10"/>
  <c r="L504" i="10"/>
  <c r="K504" i="10"/>
  <c r="M503" i="10"/>
  <c r="L503" i="10"/>
  <c r="K503" i="10"/>
  <c r="M502" i="10"/>
  <c r="L502" i="10"/>
  <c r="K502" i="10"/>
  <c r="M501" i="10"/>
  <c r="L501" i="10"/>
  <c r="K501" i="10"/>
  <c r="M500" i="10"/>
  <c r="L500" i="10"/>
  <c r="K500" i="10"/>
  <c r="M499" i="10"/>
  <c r="L499" i="10"/>
  <c r="K499" i="10"/>
  <c r="M498" i="10"/>
  <c r="L498" i="10"/>
  <c r="K498" i="10"/>
  <c r="M497" i="10"/>
  <c r="L497" i="10"/>
  <c r="K497" i="10"/>
  <c r="M496" i="10"/>
  <c r="L496" i="10"/>
  <c r="K496" i="10"/>
  <c r="M492" i="10"/>
  <c r="L492" i="10"/>
  <c r="K492" i="10"/>
  <c r="M491" i="10"/>
  <c r="L491" i="10"/>
  <c r="K491" i="10"/>
  <c r="M490" i="10"/>
  <c r="L490" i="10"/>
  <c r="K490" i="10"/>
  <c r="M489" i="10"/>
  <c r="L489" i="10"/>
  <c r="K489" i="10"/>
  <c r="M488" i="10"/>
  <c r="L488" i="10"/>
  <c r="K488" i="10"/>
  <c r="M487" i="10"/>
  <c r="L487" i="10"/>
  <c r="K487" i="10"/>
  <c r="M486" i="10"/>
  <c r="L486" i="10"/>
  <c r="K486" i="10"/>
  <c r="M485" i="10"/>
  <c r="L485" i="10"/>
  <c r="K485" i="10"/>
  <c r="M484" i="10"/>
  <c r="L484" i="10"/>
  <c r="K484" i="10"/>
  <c r="M483" i="10"/>
  <c r="L483" i="10"/>
  <c r="K483" i="10"/>
  <c r="M482" i="10"/>
  <c r="L482" i="10"/>
  <c r="K482" i="10"/>
  <c r="M481" i="10"/>
  <c r="L481" i="10"/>
  <c r="K481" i="10"/>
  <c r="M480" i="10"/>
  <c r="L480" i="10"/>
  <c r="K480" i="10"/>
  <c r="M479" i="10"/>
  <c r="L479" i="10"/>
  <c r="K479" i="10"/>
  <c r="M478" i="10"/>
  <c r="L478" i="10"/>
  <c r="K478" i="10"/>
  <c r="M477" i="10"/>
  <c r="L477" i="10"/>
  <c r="K477" i="10"/>
  <c r="M476" i="10"/>
  <c r="L476" i="10"/>
  <c r="K476" i="10"/>
  <c r="M475" i="10"/>
  <c r="L475" i="10"/>
  <c r="K475" i="10"/>
  <c r="M474" i="10"/>
  <c r="L474" i="10"/>
  <c r="K474" i="10"/>
  <c r="M473" i="10"/>
  <c r="L473" i="10"/>
  <c r="K473" i="10"/>
  <c r="M472" i="10"/>
  <c r="L472" i="10"/>
  <c r="K472" i="10"/>
  <c r="M471" i="10"/>
  <c r="L471" i="10"/>
  <c r="K471" i="10"/>
  <c r="M470" i="10"/>
  <c r="L470" i="10"/>
  <c r="K470" i="10"/>
  <c r="M469" i="10"/>
  <c r="L469" i="10"/>
  <c r="K469" i="10"/>
  <c r="M29" i="10"/>
  <c r="L29" i="10"/>
  <c r="K29" i="10"/>
  <c r="M28" i="10"/>
  <c r="L28" i="10"/>
  <c r="K28" i="10"/>
  <c r="M27" i="10"/>
  <c r="L27" i="10"/>
  <c r="K27" i="10"/>
  <c r="M26" i="10"/>
  <c r="L26" i="10"/>
  <c r="K26" i="10"/>
  <c r="M25" i="10"/>
  <c r="L25" i="10"/>
  <c r="K25" i="10"/>
  <c r="M24" i="10"/>
  <c r="L24" i="10"/>
  <c r="K24" i="10"/>
  <c r="M23" i="10"/>
  <c r="L23" i="10"/>
  <c r="K23" i="10"/>
  <c r="M22" i="10"/>
  <c r="L22" i="10"/>
  <c r="K22" i="10"/>
  <c r="M21" i="10"/>
  <c r="L21" i="10"/>
  <c r="K21" i="10"/>
  <c r="M20" i="10"/>
  <c r="L20" i="10"/>
  <c r="K20" i="10"/>
  <c r="M19" i="10"/>
  <c r="L19" i="10"/>
  <c r="K19" i="10"/>
  <c r="M18" i="10"/>
  <c r="L18" i="10"/>
  <c r="K18" i="10"/>
  <c r="M17" i="10"/>
  <c r="L17" i="10"/>
  <c r="K17" i="10"/>
  <c r="M16" i="10"/>
  <c r="L16" i="10"/>
  <c r="K16" i="10"/>
  <c r="M15" i="10"/>
  <c r="L15" i="10"/>
  <c r="K15" i="10"/>
  <c r="M14" i="10"/>
  <c r="L14" i="10"/>
  <c r="K14" i="10"/>
  <c r="M13" i="10"/>
  <c r="L13" i="10"/>
  <c r="K13" i="10"/>
  <c r="M12" i="10"/>
  <c r="L12" i="10"/>
  <c r="K12" i="10"/>
  <c r="M11" i="10"/>
  <c r="L11" i="10"/>
  <c r="K11" i="10"/>
  <c r="M10" i="10"/>
  <c r="L10" i="10"/>
  <c r="K10" i="10"/>
  <c r="M9" i="10"/>
  <c r="L9" i="10"/>
  <c r="K9" i="10"/>
  <c r="M8" i="10"/>
  <c r="L8" i="10"/>
  <c r="K8" i="10"/>
  <c r="M7" i="10"/>
  <c r="L7" i="10"/>
  <c r="K7" i="10"/>
  <c r="M6" i="10"/>
  <c r="L6" i="10"/>
  <c r="K6" i="10"/>
  <c r="M465" i="10"/>
  <c r="L465" i="10"/>
  <c r="K465" i="10"/>
  <c r="M464" i="10"/>
  <c r="L464" i="10"/>
  <c r="K464" i="10"/>
  <c r="M463" i="10"/>
  <c r="L463" i="10"/>
  <c r="K463" i="10"/>
  <c r="M462" i="10"/>
  <c r="L462" i="10"/>
  <c r="K462" i="10"/>
  <c r="M461" i="10"/>
  <c r="L461" i="10"/>
  <c r="K461" i="10"/>
  <c r="M460" i="10"/>
  <c r="L460" i="10"/>
  <c r="K460" i="10"/>
  <c r="M459" i="10"/>
  <c r="L459" i="10"/>
  <c r="K459" i="10"/>
  <c r="M458" i="10"/>
  <c r="L458" i="10"/>
  <c r="K458" i="10"/>
  <c r="M457" i="10"/>
  <c r="L457" i="10"/>
  <c r="K457" i="10"/>
  <c r="M456" i="10"/>
  <c r="L456" i="10"/>
  <c r="K456" i="10"/>
  <c r="M455" i="10"/>
  <c r="L455" i="10"/>
  <c r="K455" i="10"/>
  <c r="M454" i="10"/>
  <c r="L454" i="10"/>
  <c r="K454" i="10"/>
  <c r="M453" i="10"/>
  <c r="L453" i="10"/>
  <c r="K453" i="10"/>
  <c r="M452" i="10"/>
  <c r="L452" i="10"/>
  <c r="K452" i="10"/>
  <c r="M451" i="10"/>
  <c r="L451" i="10"/>
  <c r="K451" i="10"/>
  <c r="M450" i="10"/>
  <c r="L450" i="10"/>
  <c r="K450" i="10"/>
  <c r="M449" i="10"/>
  <c r="L449" i="10"/>
  <c r="K449" i="10"/>
  <c r="M448" i="10"/>
  <c r="L448" i="10"/>
  <c r="K448" i="10"/>
  <c r="M447" i="10"/>
  <c r="L447" i="10"/>
  <c r="K447" i="10"/>
  <c r="M446" i="10"/>
  <c r="L446" i="10"/>
  <c r="K446" i="10"/>
  <c r="M445" i="10"/>
  <c r="L445" i="10"/>
  <c r="K445" i="10"/>
  <c r="M444" i="10"/>
  <c r="L444" i="10"/>
  <c r="K444" i="10"/>
  <c r="M443" i="10"/>
  <c r="L443" i="10"/>
  <c r="K443" i="10"/>
  <c r="M442" i="10"/>
  <c r="L442" i="10"/>
  <c r="K442" i="10"/>
  <c r="M438" i="10"/>
  <c r="L438" i="10"/>
  <c r="K438" i="10"/>
  <c r="M411" i="10"/>
  <c r="L411" i="10"/>
  <c r="K411" i="10"/>
  <c r="M384" i="10"/>
  <c r="L384" i="10"/>
  <c r="K384" i="10"/>
  <c r="M437" i="10"/>
  <c r="L437" i="10"/>
  <c r="K437" i="10"/>
  <c r="M436" i="10"/>
  <c r="L436" i="10"/>
  <c r="K436" i="10"/>
  <c r="M435" i="10"/>
  <c r="L435" i="10"/>
  <c r="K435" i="10"/>
  <c r="M434" i="10"/>
  <c r="L434" i="10"/>
  <c r="K434" i="10"/>
  <c r="M433" i="10"/>
  <c r="L433" i="10"/>
  <c r="K433" i="10"/>
  <c r="M432" i="10"/>
  <c r="L432" i="10"/>
  <c r="K432" i="10"/>
  <c r="M431" i="10"/>
  <c r="L431" i="10"/>
  <c r="K431" i="10"/>
  <c r="M430" i="10"/>
  <c r="L430" i="10"/>
  <c r="K430" i="10"/>
  <c r="M429" i="10"/>
  <c r="L429" i="10"/>
  <c r="K429" i="10"/>
  <c r="M428" i="10"/>
  <c r="L428" i="10"/>
  <c r="K428" i="10"/>
  <c r="M427" i="10"/>
  <c r="L427" i="10"/>
  <c r="K427" i="10"/>
  <c r="M426" i="10"/>
  <c r="L426" i="10"/>
  <c r="K426" i="10"/>
  <c r="M425" i="10"/>
  <c r="L425" i="10"/>
  <c r="K425" i="10"/>
  <c r="M424" i="10"/>
  <c r="L424" i="10"/>
  <c r="K424" i="10"/>
  <c r="M423" i="10"/>
  <c r="L423" i="10"/>
  <c r="K423" i="10"/>
  <c r="M422" i="10"/>
  <c r="L422" i="10"/>
  <c r="K422" i="10"/>
  <c r="M421" i="10"/>
  <c r="L421" i="10"/>
  <c r="K421" i="10"/>
  <c r="M420" i="10"/>
  <c r="L420" i="10"/>
  <c r="K420" i="10"/>
  <c r="M419" i="10"/>
  <c r="L419" i="10"/>
  <c r="K419" i="10"/>
  <c r="M418" i="10"/>
  <c r="L418" i="10"/>
  <c r="K418" i="10"/>
  <c r="M417" i="10"/>
  <c r="L417" i="10"/>
  <c r="K417" i="10"/>
  <c r="M416" i="10"/>
  <c r="L416" i="10"/>
  <c r="K416" i="10"/>
  <c r="M415" i="10"/>
  <c r="L415" i="10"/>
  <c r="K415" i="10"/>
  <c r="M410" i="10"/>
  <c r="L410" i="10"/>
  <c r="K410" i="10"/>
  <c r="M409" i="10"/>
  <c r="L409" i="10"/>
  <c r="K409" i="10"/>
  <c r="M408" i="10"/>
  <c r="L408" i="10"/>
  <c r="K408" i="10"/>
  <c r="M407" i="10"/>
  <c r="L407" i="10"/>
  <c r="K407" i="10"/>
  <c r="M406" i="10"/>
  <c r="L406" i="10"/>
  <c r="K406" i="10"/>
  <c r="M405" i="10"/>
  <c r="L405" i="10"/>
  <c r="K405" i="10"/>
  <c r="M404" i="10"/>
  <c r="L404" i="10"/>
  <c r="K404" i="10"/>
  <c r="M403" i="10"/>
  <c r="L403" i="10"/>
  <c r="K403" i="10"/>
  <c r="M402" i="10"/>
  <c r="L402" i="10"/>
  <c r="K402" i="10"/>
  <c r="M401" i="10"/>
  <c r="L401" i="10"/>
  <c r="K401" i="10"/>
  <c r="M400" i="10"/>
  <c r="L400" i="10"/>
  <c r="K400" i="10"/>
  <c r="M399" i="10"/>
  <c r="L399" i="10"/>
  <c r="K399" i="10"/>
  <c r="M398" i="10"/>
  <c r="L398" i="10"/>
  <c r="K398" i="10"/>
  <c r="M397" i="10"/>
  <c r="L397" i="10"/>
  <c r="K397" i="10"/>
  <c r="M396" i="10"/>
  <c r="L396" i="10"/>
  <c r="K396" i="10"/>
  <c r="M395" i="10"/>
  <c r="L395" i="10"/>
  <c r="K395" i="10"/>
  <c r="M394" i="10"/>
  <c r="L394" i="10"/>
  <c r="K394" i="10"/>
  <c r="M393" i="10"/>
  <c r="L393" i="10"/>
  <c r="K393" i="10"/>
  <c r="M392" i="10"/>
  <c r="L392" i="10"/>
  <c r="K392" i="10"/>
  <c r="M391" i="10"/>
  <c r="L391" i="10"/>
  <c r="K391" i="10"/>
  <c r="M390" i="10"/>
  <c r="L390" i="10"/>
  <c r="K390" i="10"/>
  <c r="M389" i="10"/>
  <c r="L389" i="10"/>
  <c r="K389" i="10"/>
  <c r="M388" i="10"/>
  <c r="L388" i="10"/>
  <c r="K388" i="10"/>
  <c r="K362" i="10"/>
  <c r="L362" i="10"/>
  <c r="M362" i="10"/>
  <c r="K363" i="10"/>
  <c r="L363" i="10"/>
  <c r="M363" i="10"/>
  <c r="K364" i="10"/>
  <c r="L364" i="10"/>
  <c r="M364" i="10"/>
  <c r="K365" i="10"/>
  <c r="L365" i="10"/>
  <c r="M365" i="10"/>
  <c r="K366" i="10"/>
  <c r="L366" i="10"/>
  <c r="M366" i="10"/>
  <c r="K367" i="10"/>
  <c r="L367" i="10"/>
  <c r="M367" i="10"/>
  <c r="K368" i="10"/>
  <c r="L368" i="10"/>
  <c r="M368" i="10"/>
  <c r="K369" i="10"/>
  <c r="L369" i="10"/>
  <c r="M369" i="10"/>
  <c r="K370" i="10"/>
  <c r="L370" i="10"/>
  <c r="M370" i="10"/>
  <c r="K371" i="10"/>
  <c r="L371" i="10"/>
  <c r="M371" i="10"/>
  <c r="K372" i="10"/>
  <c r="L372" i="10"/>
  <c r="M372" i="10"/>
  <c r="K373" i="10"/>
  <c r="L373" i="10"/>
  <c r="M373" i="10"/>
  <c r="K374" i="10"/>
  <c r="L374" i="10"/>
  <c r="M374" i="10"/>
  <c r="K375" i="10"/>
  <c r="L375" i="10"/>
  <c r="M375" i="10"/>
  <c r="K376" i="10"/>
  <c r="L376" i="10"/>
  <c r="M376" i="10"/>
  <c r="K377" i="10"/>
  <c r="L377" i="10"/>
  <c r="M377" i="10"/>
  <c r="K378" i="10"/>
  <c r="L378" i="10"/>
  <c r="M378" i="10"/>
  <c r="K379" i="10"/>
  <c r="L379" i="10"/>
  <c r="M379" i="10"/>
  <c r="K380" i="10"/>
  <c r="L380" i="10"/>
  <c r="M380" i="10"/>
  <c r="K381" i="10"/>
  <c r="L381" i="10"/>
  <c r="M381" i="10"/>
  <c r="K382" i="10"/>
  <c r="L382" i="10"/>
  <c r="M382" i="10"/>
  <c r="K383" i="10"/>
  <c r="L383" i="10"/>
  <c r="M383" i="10"/>
  <c r="L361" i="10"/>
  <c r="M361" i="10"/>
  <c r="K361" i="10"/>
  <c r="F65" i="19"/>
  <c r="B14" i="6"/>
  <c r="N26" i="6" s="1"/>
  <c r="B6" i="6"/>
  <c r="N18" i="6" s="1"/>
  <c r="G18" i="8"/>
  <c r="G19" i="8"/>
  <c r="N33" i="7"/>
  <c r="N36" i="7"/>
  <c r="N41" i="7"/>
  <c r="N45" i="7"/>
  <c r="E18" i="7"/>
  <c r="C7" i="17"/>
  <c r="C8" i="17"/>
  <c r="C9"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3" i="17"/>
  <c r="C44" i="17"/>
  <c r="C45" i="17"/>
  <c r="C46" i="17"/>
  <c r="C47" i="17"/>
  <c r="C48" i="17"/>
  <c r="C49" i="17"/>
  <c r="C50" i="17"/>
  <c r="C51" i="17"/>
  <c r="C52" i="17"/>
  <c r="C53" i="17"/>
  <c r="C54" i="17"/>
  <c r="C6" i="17"/>
  <c r="AT18" i="4"/>
  <c r="AU18" i="4" s="1"/>
  <c r="AT19" i="4"/>
  <c r="AU19" i="4" s="1"/>
  <c r="AT20" i="4"/>
  <c r="AU20" i="4" s="1"/>
  <c r="AT21" i="4"/>
  <c r="AU21" i="4" s="1"/>
  <c r="AT22" i="4"/>
  <c r="AU22" i="4" s="1"/>
  <c r="AT23" i="4"/>
  <c r="AU23" i="4"/>
  <c r="AT24" i="4"/>
  <c r="AU24" i="4" s="1"/>
  <c r="AT25" i="4"/>
  <c r="AU25" i="4" s="1"/>
  <c r="AT26" i="4"/>
  <c r="AU26" i="4"/>
  <c r="AT27" i="4"/>
  <c r="AU27" i="4" s="1"/>
  <c r="AT28" i="4"/>
  <c r="AU28" i="4" s="1"/>
  <c r="AT29" i="4"/>
  <c r="AU29" i="4" s="1"/>
  <c r="AT30" i="4"/>
  <c r="AU30" i="4" s="1"/>
  <c r="AT31" i="4"/>
  <c r="AU31" i="4"/>
  <c r="AT32" i="4"/>
  <c r="AU32" i="4" s="1"/>
  <c r="AT33" i="4"/>
  <c r="AU33" i="4" s="1"/>
  <c r="AT34" i="4"/>
  <c r="AU34" i="4" s="1"/>
  <c r="AT35" i="4"/>
  <c r="AU35" i="4"/>
  <c r="AT36" i="4"/>
  <c r="AU36" i="4"/>
  <c r="AT37" i="4"/>
  <c r="AU37" i="4" s="1"/>
  <c r="AT38" i="4"/>
  <c r="AU38" i="4" s="1"/>
  <c r="AT39" i="4"/>
  <c r="AU39" i="4"/>
  <c r="AT40" i="4"/>
  <c r="AU40" i="4"/>
  <c r="AT41" i="4"/>
  <c r="AU41" i="4" s="1"/>
  <c r="AT42" i="4"/>
  <c r="AU42" i="4" s="1"/>
  <c r="AT43" i="4"/>
  <c r="AU43" i="4"/>
  <c r="AT44" i="4"/>
  <c r="AU44" i="4" s="1"/>
  <c r="AT45" i="4"/>
  <c r="AU45" i="4" s="1"/>
  <c r="AT46" i="4"/>
  <c r="AU46" i="4" s="1"/>
  <c r="AT47" i="4"/>
  <c r="AU47" i="4" s="1"/>
  <c r="AT48" i="4"/>
  <c r="AU48" i="4"/>
  <c r="AT49" i="4"/>
  <c r="AU49" i="4" s="1"/>
  <c r="AT50" i="4"/>
  <c r="AU50" i="4" s="1"/>
  <c r="AT51" i="4"/>
  <c r="AU51" i="4" s="1"/>
  <c r="AT52" i="4"/>
  <c r="AU52" i="4" s="1"/>
  <c r="AT53" i="4"/>
  <c r="AU53" i="4" s="1"/>
  <c r="AT54" i="4"/>
  <c r="AU54" i="4" s="1"/>
  <c r="AT55" i="4"/>
  <c r="AU55" i="4"/>
  <c r="AT56" i="4"/>
  <c r="AU56" i="4" s="1"/>
  <c r="AT57" i="4"/>
  <c r="AU57" i="4" s="1"/>
  <c r="AT58" i="4"/>
  <c r="AU58" i="4" s="1"/>
  <c r="AT59" i="4"/>
  <c r="AU59" i="4" s="1"/>
  <c r="AT60" i="4"/>
  <c r="AU60" i="4" s="1"/>
  <c r="AT61" i="4"/>
  <c r="AU61" i="4" s="1"/>
  <c r="AT62" i="4"/>
  <c r="AU62" i="4" s="1"/>
  <c r="AT63" i="4"/>
  <c r="AU63" i="4" s="1"/>
  <c r="AT64" i="4"/>
  <c r="AU64" i="4" s="1"/>
  <c r="AT65" i="4"/>
  <c r="AU65" i="4" s="1"/>
  <c r="AT66" i="4"/>
  <c r="AU66" i="4" s="1"/>
  <c r="AT67" i="4"/>
  <c r="AU67" i="4" s="1"/>
  <c r="L18" i="7"/>
  <c r="L19" i="7"/>
  <c r="L20" i="7"/>
  <c r="L21" i="7"/>
  <c r="L22" i="7"/>
  <c r="L23" i="7"/>
  <c r="L24" i="7"/>
  <c r="L25" i="7"/>
  <c r="L26" i="7"/>
  <c r="L27" i="7"/>
  <c r="L28" i="7"/>
  <c r="L29" i="7"/>
  <c r="H86" i="16"/>
  <c r="F82" i="16"/>
  <c r="C82" i="16"/>
  <c r="F66" i="16"/>
  <c r="C66" i="16"/>
  <c r="I8" i="16"/>
  <c r="H8" i="16"/>
  <c r="O52" i="16" s="1"/>
  <c r="G8" i="16"/>
  <c r="N55" i="16" s="1"/>
  <c r="N49" i="16"/>
  <c r="F8" i="16"/>
  <c r="M55" i="16" s="1"/>
  <c r="E8" i="16"/>
  <c r="L50" i="16" s="1"/>
  <c r="I7" i="16"/>
  <c r="H7" i="16"/>
  <c r="O32" i="16" s="1"/>
  <c r="G7" i="16"/>
  <c r="F7" i="16"/>
  <c r="M35" i="16" s="1"/>
  <c r="E7" i="16"/>
  <c r="L32" i="16" s="1"/>
  <c r="D8" i="16"/>
  <c r="K52" i="16" s="1"/>
  <c r="D7" i="16"/>
  <c r="K35" i="16"/>
  <c r="N54" i="16"/>
  <c r="M54" i="16"/>
  <c r="M50" i="16"/>
  <c r="AH43" i="12"/>
  <c r="AE43" i="12" s="1"/>
  <c r="AF43" i="12"/>
  <c r="Z43" i="12"/>
  <c r="Y43" i="12"/>
  <c r="P43" i="12"/>
  <c r="J43" i="12"/>
  <c r="AH42" i="12"/>
  <c r="AE42" i="12"/>
  <c r="AF42" i="12"/>
  <c r="Z42" i="12"/>
  <c r="Y42" i="12"/>
  <c r="P42" i="12"/>
  <c r="J42" i="12"/>
  <c r="AH41" i="12"/>
  <c r="AE41" i="12"/>
  <c r="AF41" i="12"/>
  <c r="Z41" i="12"/>
  <c r="Y41" i="12"/>
  <c r="P41" i="12"/>
  <c r="J41" i="12"/>
  <c r="AH40" i="12"/>
  <c r="AE40" i="12" s="1"/>
  <c r="AF40" i="12"/>
  <c r="Z40" i="12"/>
  <c r="Y40" i="12"/>
  <c r="P40" i="12"/>
  <c r="J40" i="12"/>
  <c r="AH39" i="12"/>
  <c r="AE39" i="12" s="1"/>
  <c r="AF39" i="12"/>
  <c r="Z39" i="12"/>
  <c r="Y39" i="12"/>
  <c r="P39" i="12"/>
  <c r="J39" i="12"/>
  <c r="AH38" i="12"/>
  <c r="AE38" i="12" s="1"/>
  <c r="AF38" i="12"/>
  <c r="Z38" i="12"/>
  <c r="Y38" i="12"/>
  <c r="P38" i="12"/>
  <c r="J38" i="12"/>
  <c r="AH37" i="12"/>
  <c r="AE37" i="12"/>
  <c r="AF37" i="12"/>
  <c r="Z37" i="12"/>
  <c r="Y37" i="12"/>
  <c r="P37" i="12"/>
  <c r="J37" i="12"/>
  <c r="AH36" i="12"/>
  <c r="AE36" i="12"/>
  <c r="AF36" i="12"/>
  <c r="Z36" i="12"/>
  <c r="Y36" i="12"/>
  <c r="P36" i="12"/>
  <c r="J36" i="12"/>
  <c r="AH35" i="12"/>
  <c r="AE35" i="12" s="1"/>
  <c r="AF35" i="12"/>
  <c r="Z35" i="12"/>
  <c r="Y35" i="12"/>
  <c r="P35" i="12"/>
  <c r="J35" i="12"/>
  <c r="AH34" i="12"/>
  <c r="AE34" i="12" s="1"/>
  <c r="AF34" i="12"/>
  <c r="Z34" i="12"/>
  <c r="Y34" i="12"/>
  <c r="P34" i="12"/>
  <c r="J34" i="12"/>
  <c r="AH33" i="12"/>
  <c r="AE33" i="12" s="1"/>
  <c r="AF33" i="12"/>
  <c r="Z33" i="12"/>
  <c r="Y33" i="12"/>
  <c r="P33" i="12"/>
  <c r="J33" i="12"/>
  <c r="AH32" i="12"/>
  <c r="AE32" i="12" s="1"/>
  <c r="AF32" i="12"/>
  <c r="Z32" i="12"/>
  <c r="Y32" i="12"/>
  <c r="P32" i="12"/>
  <c r="J32" i="12"/>
  <c r="AH31" i="12"/>
  <c r="AE31" i="12" s="1"/>
  <c r="AF31" i="12"/>
  <c r="Z31" i="12"/>
  <c r="Y31" i="12"/>
  <c r="P31" i="12"/>
  <c r="J31" i="12"/>
  <c r="AH30" i="12"/>
  <c r="AE30" i="12"/>
  <c r="AF30" i="12"/>
  <c r="Z30" i="12"/>
  <c r="Y30" i="12"/>
  <c r="P30" i="12"/>
  <c r="J30" i="12"/>
  <c r="AH29" i="12"/>
  <c r="AE29" i="12" s="1"/>
  <c r="AF29" i="12"/>
  <c r="Z29" i="12"/>
  <c r="Y29" i="12"/>
  <c r="P29" i="12"/>
  <c r="J29" i="12"/>
  <c r="AH28" i="12"/>
  <c r="AE28" i="12" s="1"/>
  <c r="AF28" i="12"/>
  <c r="Z28" i="12"/>
  <c r="Y28" i="12"/>
  <c r="P28" i="12"/>
  <c r="J28" i="12"/>
  <c r="AH27" i="12"/>
  <c r="AE27" i="12" s="1"/>
  <c r="AF27" i="12"/>
  <c r="Z27" i="12"/>
  <c r="Y27" i="12"/>
  <c r="P27" i="12"/>
  <c r="J27" i="12"/>
  <c r="AH26" i="12"/>
  <c r="AE26" i="12" s="1"/>
  <c r="AF26" i="12"/>
  <c r="Z26" i="12"/>
  <c r="Y26" i="12"/>
  <c r="P26" i="12"/>
  <c r="J26" i="12"/>
  <c r="AH25" i="12"/>
  <c r="AE25" i="12" s="1"/>
  <c r="AF25" i="12"/>
  <c r="Z25" i="12"/>
  <c r="Y25" i="12"/>
  <c r="P25" i="12"/>
  <c r="J25" i="12"/>
  <c r="AH24" i="12"/>
  <c r="AE24" i="12" s="1"/>
  <c r="AF24" i="12"/>
  <c r="Z24" i="12"/>
  <c r="Y24" i="12"/>
  <c r="P24" i="12"/>
  <c r="J24" i="12"/>
  <c r="AH23" i="12"/>
  <c r="AE23" i="12" s="1"/>
  <c r="AF23" i="12"/>
  <c r="Z23" i="12"/>
  <c r="Y23" i="12"/>
  <c r="P23" i="12"/>
  <c r="J23" i="12"/>
  <c r="AH22" i="12"/>
  <c r="AE22" i="12" s="1"/>
  <c r="AF22" i="12"/>
  <c r="Z22" i="12"/>
  <c r="Y22" i="12"/>
  <c r="P22" i="12"/>
  <c r="J22" i="12"/>
  <c r="AH21" i="12"/>
  <c r="AE21" i="12" s="1"/>
  <c r="AF21" i="12"/>
  <c r="Z21" i="12"/>
  <c r="Y21" i="12"/>
  <c r="P21" i="12"/>
  <c r="J21" i="12"/>
  <c r="AH20" i="12"/>
  <c r="AE20" i="12"/>
  <c r="AF20" i="12"/>
  <c r="Z20" i="12"/>
  <c r="Y20" i="12"/>
  <c r="P20" i="12"/>
  <c r="J20" i="12"/>
  <c r="AH19" i="12"/>
  <c r="AE19" i="12"/>
  <c r="AF19" i="12"/>
  <c r="Z19" i="12"/>
  <c r="Y19" i="12"/>
  <c r="P19" i="12"/>
  <c r="J19" i="12"/>
  <c r="AH18" i="12"/>
  <c r="AE18" i="12" s="1"/>
  <c r="AF18" i="12"/>
  <c r="Z18" i="12"/>
  <c r="Y18" i="12"/>
  <c r="P18" i="12"/>
  <c r="J18" i="12"/>
  <c r="AH17" i="12"/>
  <c r="AE17" i="12" s="1"/>
  <c r="AF17" i="12"/>
  <c r="Z17" i="12"/>
  <c r="Y17" i="12"/>
  <c r="P17" i="12"/>
  <c r="J17" i="12"/>
  <c r="AH16" i="12"/>
  <c r="AE16" i="12" s="1"/>
  <c r="AF16" i="12"/>
  <c r="Z16" i="12"/>
  <c r="Y16" i="12"/>
  <c r="P16" i="12"/>
  <c r="J16" i="12"/>
  <c r="AH15" i="12"/>
  <c r="AE15" i="12" s="1"/>
  <c r="AF15" i="12"/>
  <c r="Z15" i="12"/>
  <c r="Y15" i="12"/>
  <c r="P15" i="12"/>
  <c r="J15" i="12"/>
  <c r="AO14" i="12"/>
  <c r="AL14" i="12"/>
  <c r="AH14" i="12"/>
  <c r="AE14" i="12" s="1"/>
  <c r="Z14" i="12"/>
  <c r="Y14" i="12"/>
  <c r="P14" i="12"/>
  <c r="J14" i="12"/>
  <c r="AL13" i="12"/>
  <c r="AH13" i="12"/>
  <c r="AE13" i="12" s="1"/>
  <c r="Z13" i="12"/>
  <c r="Y13" i="12"/>
  <c r="P13" i="12"/>
  <c r="J13" i="12"/>
  <c r="AL12" i="12"/>
  <c r="AH12" i="12"/>
  <c r="AE12" i="12" s="1"/>
  <c r="Z12" i="12"/>
  <c r="Y12" i="12"/>
  <c r="P12" i="12"/>
  <c r="J12" i="12"/>
  <c r="Z11" i="12"/>
  <c r="Y11" i="12"/>
  <c r="P11" i="12"/>
  <c r="J11" i="12"/>
  <c r="B11" i="11" a="1"/>
  <c r="B11" i="11" s="1"/>
  <c r="AF14" i="12"/>
  <c r="AF12" i="12"/>
  <c r="AA4" i="10"/>
  <c r="AA3" i="10"/>
  <c r="AA2" i="10"/>
  <c r="AA130" i="9" a="1"/>
  <c r="AA130" i="9" s="1"/>
  <c r="W130" i="9" a="1"/>
  <c r="W130" i="9" s="1"/>
  <c r="M130" i="9" a="1"/>
  <c r="M130" i="9" s="1"/>
  <c r="U130" i="9" a="1"/>
  <c r="U130" i="9" s="1"/>
  <c r="V130" i="9" a="1"/>
  <c r="V130" i="9" s="1"/>
  <c r="P130" i="9" a="1"/>
  <c r="P130" i="9"/>
  <c r="X130" i="9" a="1"/>
  <c r="X130" i="9"/>
  <c r="S130" i="9" a="1"/>
  <c r="S130" i="9" s="1"/>
  <c r="R130" i="9" a="1"/>
  <c r="R130" i="9" s="1"/>
  <c r="Q130" i="9" a="1"/>
  <c r="Q130" i="9" s="1"/>
  <c r="O130" i="9" a="1"/>
  <c r="O130" i="9" s="1"/>
  <c r="N130" i="9" a="1"/>
  <c r="N130" i="9" s="1"/>
  <c r="T130" i="9" a="1"/>
  <c r="T130" i="9" s="1"/>
  <c r="Z130" i="9" a="1"/>
  <c r="Z130" i="9"/>
  <c r="Y130" i="9" a="1"/>
  <c r="Y130" i="9" s="1"/>
  <c r="U128" i="9" a="1"/>
  <c r="U128" i="9"/>
  <c r="T128" i="9" a="1"/>
  <c r="T128" i="9" s="1"/>
  <c r="H128" i="9" a="1"/>
  <c r="H128" i="9" s="1"/>
  <c r="R128" i="9" a="1"/>
  <c r="R128" i="9"/>
  <c r="F128" i="9" a="1"/>
  <c r="F128" i="9" s="1"/>
  <c r="S128" i="9" a="1"/>
  <c r="S128" i="9"/>
  <c r="K128" i="9" a="1"/>
  <c r="K128" i="9" s="1"/>
  <c r="I128" i="9" a="1"/>
  <c r="I128" i="9"/>
  <c r="P128" i="9" a="1"/>
  <c r="P128" i="9" s="1"/>
  <c r="L128" i="9" a="1"/>
  <c r="L128" i="9" s="1"/>
  <c r="N128" i="9" a="1"/>
  <c r="N128" i="9"/>
  <c r="M128" i="9" a="1"/>
  <c r="M128" i="9"/>
  <c r="J128" i="9" a="1"/>
  <c r="J128" i="9" s="1"/>
  <c r="Z128" i="9" a="1"/>
  <c r="Z128" i="9" s="1"/>
  <c r="V128" i="9" a="1"/>
  <c r="V128" i="9" s="1"/>
  <c r="E128" i="9" a="1"/>
  <c r="E128" i="9"/>
  <c r="Q128" i="9" a="1"/>
  <c r="Q128" i="9" s="1"/>
  <c r="G128" i="9" a="1"/>
  <c r="G128" i="9" s="1"/>
  <c r="AA128" i="9" a="1"/>
  <c r="AA128" i="9" s="1"/>
  <c r="O128" i="9" a="1"/>
  <c r="O128" i="9" s="1"/>
  <c r="Y128" i="9" a="1"/>
  <c r="Y128" i="9" s="1"/>
  <c r="X128" i="9" a="1"/>
  <c r="X128" i="9" s="1"/>
  <c r="W128" i="9" a="1"/>
  <c r="W128" i="9" s="1"/>
  <c r="D128" i="9" a="1"/>
  <c r="D128" i="9"/>
  <c r="X108" i="9" a="1"/>
  <c r="X108" i="9" s="1"/>
  <c r="I109" i="9" a="1"/>
  <c r="I109" i="9" s="1"/>
  <c r="S108" i="9" a="1"/>
  <c r="S108" i="9" s="1"/>
  <c r="Q108" i="9" a="1"/>
  <c r="Q108" i="9" s="1"/>
  <c r="G109" i="9" a="1"/>
  <c r="G109" i="9" s="1"/>
  <c r="Q109" i="9" a="1"/>
  <c r="Q109" i="9" s="1"/>
  <c r="L109" i="9" a="1"/>
  <c r="L109" i="9" s="1"/>
  <c r="D109" i="9" a="1"/>
  <c r="D109" i="9" s="1"/>
  <c r="T108" i="9" a="1"/>
  <c r="T108" i="9"/>
  <c r="V108" i="9" a="1"/>
  <c r="V108" i="9" s="1"/>
  <c r="AA109" i="9" a="1"/>
  <c r="AA109" i="9" s="1"/>
  <c r="F109" i="9" a="1"/>
  <c r="F109" i="9" s="1"/>
  <c r="X109" i="9" a="1"/>
  <c r="X109" i="9" s="1"/>
  <c r="Z109" i="9" a="1"/>
  <c r="Z109" i="9" s="1"/>
  <c r="Y109" i="9" a="1"/>
  <c r="Y109" i="9" s="1"/>
  <c r="W109" i="9" a="1"/>
  <c r="W109" i="9" s="1"/>
  <c r="V109" i="9" a="1"/>
  <c r="V109" i="9" s="1"/>
  <c r="U109" i="9" a="1"/>
  <c r="U109" i="9" s="1"/>
  <c r="T109" i="9" a="1"/>
  <c r="T109" i="9" s="1"/>
  <c r="S109" i="9" a="1"/>
  <c r="S109" i="9" s="1"/>
  <c r="R109" i="9" a="1"/>
  <c r="R109" i="9" s="1"/>
  <c r="U108" i="9" a="1"/>
  <c r="U108" i="9"/>
  <c r="P109" i="9" a="1"/>
  <c r="P109" i="9"/>
  <c r="O109" i="9" a="1"/>
  <c r="O109" i="9" s="1"/>
  <c r="E109" i="9" a="1"/>
  <c r="E109" i="9"/>
  <c r="H109" i="9" a="1"/>
  <c r="H109" i="9" s="1"/>
  <c r="W108" i="9" a="1"/>
  <c r="W108" i="9" s="1"/>
  <c r="AA108" i="9" a="1"/>
  <c r="AA108" i="9" s="1"/>
  <c r="Z108" i="9" a="1"/>
  <c r="Z108" i="9" s="1"/>
  <c r="N109" i="9" a="1"/>
  <c r="N109" i="9" s="1"/>
  <c r="M109" i="9" a="1"/>
  <c r="M109" i="9" s="1"/>
  <c r="K109" i="9" a="1"/>
  <c r="K109" i="9" s="1"/>
  <c r="P108" i="9" a="1"/>
  <c r="P108" i="9" s="1"/>
  <c r="R108" i="9" a="1"/>
  <c r="R108" i="9" s="1"/>
  <c r="J109" i="9" a="1"/>
  <c r="J109" i="9"/>
  <c r="Y108" i="9" a="1"/>
  <c r="Y108" i="9" s="1"/>
  <c r="O108" i="9" a="1"/>
  <c r="O108" i="9" s="1"/>
  <c r="R107" i="9" a="1"/>
  <c r="R107" i="9" s="1"/>
  <c r="O107" i="9" a="1"/>
  <c r="O107" i="9"/>
  <c r="Z107" i="9" a="1"/>
  <c r="Z107" i="9" s="1"/>
  <c r="P107" i="9" a="1"/>
  <c r="P107" i="9" s="1"/>
  <c r="S107" i="9" a="1"/>
  <c r="S107" i="9" s="1"/>
  <c r="X107" i="9" a="1"/>
  <c r="X107" i="9" s="1"/>
  <c r="I107" i="9" a="1"/>
  <c r="I107" i="9"/>
  <c r="Q107" i="9" a="1"/>
  <c r="Q107" i="9" s="1"/>
  <c r="F108" i="9" a="1"/>
  <c r="F108" i="9"/>
  <c r="J107" i="9" a="1"/>
  <c r="J107" i="9"/>
  <c r="V107" i="9" a="1"/>
  <c r="V107" i="9" s="1"/>
  <c r="N108" i="9" a="1"/>
  <c r="N108" i="9" s="1"/>
  <c r="M108" i="9" a="1"/>
  <c r="M108" i="9" s="1"/>
  <c r="Y107" i="9" a="1"/>
  <c r="Y107" i="9" s="1"/>
  <c r="T107" i="9" a="1"/>
  <c r="T107" i="9"/>
  <c r="H108" i="9" a="1"/>
  <c r="H108" i="9" s="1"/>
  <c r="W107" i="9" a="1"/>
  <c r="W107" i="9" s="1"/>
  <c r="D107" i="9" a="1"/>
  <c r="D107" i="9"/>
  <c r="E107" i="9" a="1"/>
  <c r="E107" i="9"/>
  <c r="L107" i="9" a="1"/>
  <c r="L107" i="9"/>
  <c r="K107" i="9" a="1"/>
  <c r="K107" i="9" s="1"/>
  <c r="L108" i="9" a="1"/>
  <c r="L108" i="9" s="1"/>
  <c r="K108" i="9" a="1"/>
  <c r="K108" i="9"/>
  <c r="AA107" i="9" a="1"/>
  <c r="AA107" i="9" s="1"/>
  <c r="E108" i="9" a="1"/>
  <c r="E108" i="9" s="1"/>
  <c r="J108" i="9" a="1"/>
  <c r="J108" i="9" s="1"/>
  <c r="I108" i="9" a="1"/>
  <c r="I108" i="9" s="1"/>
  <c r="G108" i="9" a="1"/>
  <c r="G108" i="9"/>
  <c r="D108" i="9" a="1"/>
  <c r="D108" i="9" s="1"/>
  <c r="M107" i="9" a="1"/>
  <c r="M107" i="9" s="1"/>
  <c r="N107" i="9" a="1"/>
  <c r="N107" i="9" s="1"/>
  <c r="F107" i="9" a="1"/>
  <c r="F107" i="9" s="1"/>
  <c r="U107" i="9" a="1"/>
  <c r="U107" i="9" s="1"/>
  <c r="H107" i="9" a="1"/>
  <c r="H107" i="9"/>
  <c r="G107" i="9" a="1"/>
  <c r="G107" i="9" s="1"/>
  <c r="AA129" i="9" a="1"/>
  <c r="AA129" i="9" s="1"/>
  <c r="R129" i="9" a="1"/>
  <c r="R129" i="9" s="1"/>
  <c r="M129" i="9" a="1"/>
  <c r="M129" i="9" s="1"/>
  <c r="E129" i="9" a="1"/>
  <c r="E129" i="9" s="1"/>
  <c r="D129" i="9" a="1"/>
  <c r="D129" i="9" s="1"/>
  <c r="W129" i="9" a="1"/>
  <c r="W129" i="9"/>
  <c r="G129" i="9" a="1"/>
  <c r="G129" i="9" s="1"/>
  <c r="X129" i="9" a="1"/>
  <c r="X129" i="9" s="1"/>
  <c r="N129" i="9" a="1"/>
  <c r="N129" i="9" s="1"/>
  <c r="I130" i="9" a="1"/>
  <c r="I130" i="9" s="1"/>
  <c r="P129" i="9" a="1"/>
  <c r="P129" i="9" s="1"/>
  <c r="H130" i="9" a="1"/>
  <c r="H130" i="9" s="1"/>
  <c r="G130" i="9" a="1"/>
  <c r="G130" i="9" s="1"/>
  <c r="F130" i="9" a="1"/>
  <c r="F130" i="9" s="1"/>
  <c r="I129" i="9" a="1"/>
  <c r="I129" i="9" s="1"/>
  <c r="L129" i="9" a="1"/>
  <c r="L129" i="9" s="1"/>
  <c r="J129" i="9" a="1"/>
  <c r="J129" i="9" s="1"/>
  <c r="H129" i="9" a="1"/>
  <c r="H129" i="9" s="1"/>
  <c r="U129" i="9" a="1"/>
  <c r="U129" i="9" s="1"/>
  <c r="S129" i="9" a="1"/>
  <c r="S129" i="9" s="1"/>
  <c r="O129" i="9" a="1"/>
  <c r="O129" i="9" s="1"/>
  <c r="E130" i="9" a="1"/>
  <c r="E130" i="9" s="1"/>
  <c r="Z129" i="9" a="1"/>
  <c r="Z129" i="9" s="1"/>
  <c r="Q129" i="9" a="1"/>
  <c r="Q129" i="9" s="1"/>
  <c r="Y129" i="9" a="1"/>
  <c r="Y129" i="9" s="1"/>
  <c r="D130" i="9" a="1"/>
  <c r="D130" i="9" s="1"/>
  <c r="K129" i="9" a="1"/>
  <c r="K129" i="9" s="1"/>
  <c r="F129" i="9" a="1"/>
  <c r="F129" i="9" s="1"/>
  <c r="T129" i="9" a="1"/>
  <c r="T129" i="9" s="1"/>
  <c r="V129" i="9" a="1"/>
  <c r="V129" i="9" s="1"/>
  <c r="E88" i="9" a="1"/>
  <c r="E88" i="9"/>
  <c r="L88" i="9" a="1"/>
  <c r="L88" i="9" s="1"/>
  <c r="K88" i="9" a="1"/>
  <c r="K88" i="9"/>
  <c r="V88" i="9" a="1"/>
  <c r="V88" i="9" s="1"/>
  <c r="W88" i="9" a="1"/>
  <c r="W88" i="9"/>
  <c r="M88" i="9" a="1"/>
  <c r="M88" i="9"/>
  <c r="U88" i="9" a="1"/>
  <c r="U88" i="9" s="1"/>
  <c r="Y88" i="9" a="1"/>
  <c r="Y88" i="9" s="1"/>
  <c r="F88" i="9" a="1"/>
  <c r="F88" i="9"/>
  <c r="I88" i="9" a="1"/>
  <c r="I88" i="9" s="1"/>
  <c r="AA88" i="9" a="1"/>
  <c r="AA88" i="9" s="1"/>
  <c r="X88" i="9" a="1"/>
  <c r="X88" i="9" s="1"/>
  <c r="O88" i="9" a="1"/>
  <c r="O88" i="9"/>
  <c r="H88" i="9" a="1"/>
  <c r="H88" i="9"/>
  <c r="S88" i="9" a="1"/>
  <c r="S88" i="9" s="1"/>
  <c r="R88" i="9" a="1"/>
  <c r="R88" i="9" s="1"/>
  <c r="P88" i="9" a="1"/>
  <c r="P88" i="9"/>
  <c r="D88" i="9" a="1"/>
  <c r="D88" i="9" s="1"/>
  <c r="T88" i="9" a="1"/>
  <c r="T88" i="9"/>
  <c r="J88" i="9" a="1"/>
  <c r="J88" i="9" s="1"/>
  <c r="G88" i="9" a="1"/>
  <c r="G88" i="9"/>
  <c r="Z88" i="9" a="1"/>
  <c r="Z88" i="9" s="1"/>
  <c r="N88" i="9" a="1"/>
  <c r="N88" i="9" s="1"/>
  <c r="Q88" i="9" a="1"/>
  <c r="Q88" i="9" s="1"/>
  <c r="AA87" i="9" a="1"/>
  <c r="AA87" i="9" s="1"/>
  <c r="Y86" i="9" a="1"/>
  <c r="Y86" i="9" s="1"/>
  <c r="H87" i="9" a="1"/>
  <c r="H87" i="9"/>
  <c r="L87" i="9" a="1"/>
  <c r="L87" i="9" s="1"/>
  <c r="J87" i="9" a="1"/>
  <c r="J87" i="9" s="1"/>
  <c r="S86" i="9" a="1"/>
  <c r="S86" i="9"/>
  <c r="Z87" i="9" a="1"/>
  <c r="Z87" i="9" s="1"/>
  <c r="F87" i="9" a="1"/>
  <c r="F87" i="9" s="1"/>
  <c r="I87" i="9" a="1"/>
  <c r="I87" i="9"/>
  <c r="X87" i="9" a="1"/>
  <c r="X87" i="9" s="1"/>
  <c r="V87" i="9" a="1"/>
  <c r="V87" i="9" s="1"/>
  <c r="T87" i="9" a="1"/>
  <c r="T87" i="9" s="1"/>
  <c r="Y87" i="9" a="1"/>
  <c r="Y87" i="9" s="1"/>
  <c r="Q87" i="9" a="1"/>
  <c r="Q87" i="9" s="1"/>
  <c r="M87" i="9" a="1"/>
  <c r="M87" i="9" s="1"/>
  <c r="Z86" i="9" a="1"/>
  <c r="Z86" i="9" s="1"/>
  <c r="W87" i="9" a="1"/>
  <c r="W87" i="9" s="1"/>
  <c r="U87" i="9" a="1"/>
  <c r="U87" i="9"/>
  <c r="K87" i="9" a="1"/>
  <c r="K87" i="9" s="1"/>
  <c r="S87" i="9" a="1"/>
  <c r="S87" i="9" s="1"/>
  <c r="R87" i="9" a="1"/>
  <c r="R87" i="9" s="1"/>
  <c r="N87" i="9" a="1"/>
  <c r="N87" i="9" s="1"/>
  <c r="V86" i="9" a="1"/>
  <c r="V86" i="9" s="1"/>
  <c r="G87" i="9" a="1"/>
  <c r="G87" i="9" s="1"/>
  <c r="T86" i="9" a="1"/>
  <c r="T86" i="9"/>
  <c r="E87" i="9" a="1"/>
  <c r="E87" i="9" s="1"/>
  <c r="R86" i="9" a="1"/>
  <c r="R86" i="9"/>
  <c r="U86" i="9" a="1"/>
  <c r="U86" i="9" s="1"/>
  <c r="X86" i="9" a="1"/>
  <c r="X86" i="9" s="1"/>
  <c r="AA86" i="9" a="1"/>
  <c r="AA86" i="9" s="1"/>
  <c r="W86" i="9" a="1"/>
  <c r="W86" i="9" s="1"/>
  <c r="P87" i="9" a="1"/>
  <c r="P87" i="9" s="1"/>
  <c r="O87" i="9" a="1"/>
  <c r="O87" i="9" s="1"/>
  <c r="D87" i="9" a="1"/>
  <c r="D87" i="9" s="1"/>
  <c r="I86" i="9" a="1"/>
  <c r="I86" i="9" s="1"/>
  <c r="G86" i="9" a="1"/>
  <c r="G86" i="9" s="1"/>
  <c r="E67" i="9" a="1"/>
  <c r="E67" i="9" s="1"/>
  <c r="F86" i="9" a="1"/>
  <c r="F86" i="9" s="1"/>
  <c r="E86" i="9" a="1"/>
  <c r="E86" i="9" s="1"/>
  <c r="N67" i="9" a="1"/>
  <c r="N67" i="9" s="1"/>
  <c r="L67" i="9" a="1"/>
  <c r="L67" i="9" s="1"/>
  <c r="AA67" i="9" a="1"/>
  <c r="AA67" i="9" s="1"/>
  <c r="W67" i="9" a="1"/>
  <c r="W67" i="9" s="1"/>
  <c r="V67" i="9" a="1"/>
  <c r="V67" i="9" s="1"/>
  <c r="X67" i="9" a="1"/>
  <c r="X67" i="9"/>
  <c r="D67" i="9" a="1"/>
  <c r="D67" i="9" s="1"/>
  <c r="Z67" i="9" a="1"/>
  <c r="Z67" i="9" s="1"/>
  <c r="R67" i="9" a="1"/>
  <c r="R67" i="9" s="1"/>
  <c r="P67" i="9" a="1"/>
  <c r="P67" i="9" s="1"/>
  <c r="H67" i="9" a="1"/>
  <c r="H67" i="9" s="1"/>
  <c r="Q67" i="9" a="1"/>
  <c r="Q67" i="9" s="1"/>
  <c r="M67" i="9" a="1"/>
  <c r="M67" i="9" s="1"/>
  <c r="Q86" i="9" a="1"/>
  <c r="Q86" i="9"/>
  <c r="P86" i="9" a="1"/>
  <c r="P86" i="9"/>
  <c r="F67" i="9" a="1"/>
  <c r="F67" i="9" s="1"/>
  <c r="O86" i="9" a="1"/>
  <c r="O86" i="9" s="1"/>
  <c r="N86" i="9" a="1"/>
  <c r="N86" i="9" s="1"/>
  <c r="S67" i="9" a="1"/>
  <c r="S67" i="9" s="1"/>
  <c r="M86" i="9" a="1"/>
  <c r="M86" i="9" s="1"/>
  <c r="L86" i="9" a="1"/>
  <c r="L86" i="9" s="1"/>
  <c r="K86" i="9" a="1"/>
  <c r="K86" i="9"/>
  <c r="H86" i="9" a="1"/>
  <c r="H86" i="9"/>
  <c r="Y67" i="9" a="1"/>
  <c r="Y67" i="9" s="1"/>
  <c r="I67" i="9" a="1"/>
  <c r="I67" i="9" s="1"/>
  <c r="G67" i="9" a="1"/>
  <c r="G67" i="9" s="1"/>
  <c r="K67" i="9" a="1"/>
  <c r="K67" i="9" s="1"/>
  <c r="O67" i="9" a="1"/>
  <c r="O67" i="9" s="1"/>
  <c r="U67" i="9" a="1"/>
  <c r="U67" i="9" s="1"/>
  <c r="J67" i="9" a="1"/>
  <c r="J67" i="9"/>
  <c r="J86" i="9" a="1"/>
  <c r="J86" i="9"/>
  <c r="D86" i="9" a="1"/>
  <c r="D86" i="9" s="1"/>
  <c r="T67" i="9" a="1"/>
  <c r="T67" i="9" s="1"/>
  <c r="V66" i="9" a="1"/>
  <c r="V66" i="9" s="1"/>
  <c r="T66" i="9" a="1"/>
  <c r="T66" i="9" s="1"/>
  <c r="K66" i="9" a="1"/>
  <c r="K66" i="9" s="1"/>
  <c r="M66" i="9" a="1"/>
  <c r="M66" i="9" s="1"/>
  <c r="F66" i="9" a="1"/>
  <c r="F66" i="9" s="1"/>
  <c r="E66" i="9" a="1"/>
  <c r="E66" i="9"/>
  <c r="X66" i="9" a="1"/>
  <c r="X66" i="9" s="1"/>
  <c r="N66" i="9" a="1"/>
  <c r="N66" i="9" s="1"/>
  <c r="Q66" i="9" a="1"/>
  <c r="Q66" i="9" s="1"/>
  <c r="G66" i="9" a="1"/>
  <c r="G66" i="9" s="1"/>
  <c r="U66" i="9" a="1"/>
  <c r="U66" i="9" s="1"/>
  <c r="P66" i="9" a="1"/>
  <c r="P66" i="9" s="1"/>
  <c r="L66" i="9" a="1"/>
  <c r="L66" i="9"/>
  <c r="J66" i="9" a="1"/>
  <c r="J66" i="9"/>
  <c r="H66" i="9" a="1"/>
  <c r="H66" i="9" s="1"/>
  <c r="O66" i="9" a="1"/>
  <c r="O66" i="9" s="1"/>
  <c r="Z66" i="9" a="1"/>
  <c r="Z66" i="9" s="1"/>
  <c r="W66" i="9" a="1"/>
  <c r="W66" i="9" s="1"/>
  <c r="S66" i="9" a="1"/>
  <c r="S66" i="9" s="1"/>
  <c r="I66" i="9" a="1"/>
  <c r="I66" i="9" s="1"/>
  <c r="D66" i="9" a="1"/>
  <c r="D66" i="9"/>
  <c r="R66" i="9" a="1"/>
  <c r="R66" i="9"/>
  <c r="AA66" i="9" a="1"/>
  <c r="AA66" i="9" s="1"/>
  <c r="Y66" i="9" a="1"/>
  <c r="Y66" i="9" s="1"/>
  <c r="L130" i="9" a="1"/>
  <c r="L130" i="9" s="1"/>
  <c r="K130" i="9" a="1"/>
  <c r="K130" i="9" s="1"/>
  <c r="J130" i="9" a="1"/>
  <c r="J130" i="9" s="1"/>
  <c r="I46" i="9" a="1"/>
  <c r="I46" i="9" s="1"/>
  <c r="G46" i="9" a="1"/>
  <c r="G46" i="9"/>
  <c r="E46" i="9" a="1"/>
  <c r="E46" i="9"/>
  <c r="J46" i="9" a="1"/>
  <c r="J46" i="9" s="1"/>
  <c r="H46" i="9" a="1"/>
  <c r="H46" i="9" s="1"/>
  <c r="F46" i="9" a="1"/>
  <c r="F46" i="9" s="1"/>
  <c r="D46" i="9" a="1"/>
  <c r="D46" i="9" s="1"/>
  <c r="F45" i="9" a="1"/>
  <c r="F45" i="9" s="1"/>
  <c r="S45" i="9" a="1"/>
  <c r="S45" i="9" s="1"/>
  <c r="R45" i="9" a="1"/>
  <c r="R45" i="9" s="1"/>
  <c r="I45" i="9" a="1"/>
  <c r="I45" i="9" s="1"/>
  <c r="T45" i="9" a="1"/>
  <c r="T45" i="9" s="1"/>
  <c r="AA45" i="9" a="1"/>
  <c r="AA45" i="9" s="1"/>
  <c r="Z45" i="9" a="1"/>
  <c r="Z45" i="9" s="1"/>
  <c r="J45" i="9" a="1"/>
  <c r="J45" i="9" s="1"/>
  <c r="M45" i="9" a="1"/>
  <c r="M45" i="9" s="1"/>
  <c r="P45" i="9" a="1"/>
  <c r="P45" i="9" s="1"/>
  <c r="K45" i="9" a="1"/>
  <c r="K45" i="9"/>
  <c r="Y45" i="9" a="1"/>
  <c r="Y45" i="9" s="1"/>
  <c r="X45" i="9" a="1"/>
  <c r="X45" i="9" s="1"/>
  <c r="W45" i="9" a="1"/>
  <c r="W45" i="9" s="1"/>
  <c r="V45" i="9" a="1"/>
  <c r="V45" i="9" s="1"/>
  <c r="N45" i="9" a="1"/>
  <c r="N45" i="9" s="1"/>
  <c r="Q45" i="9" a="1"/>
  <c r="Q45" i="9" s="1"/>
  <c r="G45" i="9" a="1"/>
  <c r="G45" i="9" s="1"/>
  <c r="E45" i="9" a="1"/>
  <c r="E45" i="9"/>
  <c r="D45" i="9" a="1"/>
  <c r="D45" i="9"/>
  <c r="U45" i="9" a="1"/>
  <c r="U45" i="9" s="1"/>
  <c r="O45" i="9" a="1"/>
  <c r="O45" i="9" s="1"/>
  <c r="L45" i="9" a="1"/>
  <c r="L45" i="9" s="1"/>
  <c r="H45" i="9" a="1"/>
  <c r="H45" i="9" s="1"/>
  <c r="X23" i="9" a="1"/>
  <c r="X23" i="9" s="1"/>
  <c r="V23" i="9" a="1"/>
  <c r="V23" i="9" s="1"/>
  <c r="U23" i="9" a="1"/>
  <c r="U23" i="9"/>
  <c r="T23" i="9" a="1"/>
  <c r="T23" i="9"/>
  <c r="Q23" i="9" a="1"/>
  <c r="Q23" i="9" s="1"/>
  <c r="P23" i="9" a="1"/>
  <c r="P23" i="9" s="1"/>
  <c r="N23" i="9" a="1"/>
  <c r="N23" i="9" s="1"/>
  <c r="L23" i="9" a="1"/>
  <c r="L23" i="9" s="1"/>
  <c r="F23" i="9" a="1"/>
  <c r="F23" i="9" s="1"/>
  <c r="D23" i="9" a="1"/>
  <c r="D23" i="9" s="1"/>
  <c r="R23" i="9" a="1"/>
  <c r="R23" i="9"/>
  <c r="I23" i="9" a="1"/>
  <c r="I23" i="9"/>
  <c r="E23" i="9" a="1"/>
  <c r="E23" i="9" s="1"/>
  <c r="K23" i="9" a="1"/>
  <c r="K23" i="9" s="1"/>
  <c r="W23" i="9" a="1"/>
  <c r="W23" i="9" s="1"/>
  <c r="E24" i="9" a="1"/>
  <c r="E24" i="9" s="1"/>
  <c r="D24" i="9" a="1"/>
  <c r="D24" i="9" s="1"/>
  <c r="Y23" i="9" a="1"/>
  <c r="Y23" i="9" s="1"/>
  <c r="J23" i="9" a="1"/>
  <c r="J23" i="9" s="1"/>
  <c r="AA23" i="9" a="1"/>
  <c r="AA23" i="9"/>
  <c r="H23" i="9" a="1"/>
  <c r="H23" i="9" s="1"/>
  <c r="S23" i="9" a="1"/>
  <c r="S23" i="9" s="1"/>
  <c r="G23" i="9" a="1"/>
  <c r="G23" i="9" s="1"/>
  <c r="M23" i="9" a="1"/>
  <c r="M23" i="9" s="1"/>
  <c r="O23" i="9" a="1"/>
  <c r="O23" i="9" s="1"/>
  <c r="Z23" i="9" a="1"/>
  <c r="Z23" i="9" s="1"/>
  <c r="D65" i="9" a="1"/>
  <c r="D65" i="9"/>
  <c r="F65" i="9" a="1"/>
  <c r="F65" i="9" s="1"/>
  <c r="E65" i="9" a="1"/>
  <c r="E65" i="9"/>
  <c r="V24" i="9" a="1"/>
  <c r="V24" i="9"/>
  <c r="S24" i="9" a="1"/>
  <c r="S24" i="9" s="1"/>
  <c r="R24" i="9" a="1"/>
  <c r="R24" i="9"/>
  <c r="H24" i="9" a="1"/>
  <c r="H24" i="9" s="1"/>
  <c r="G25" i="9" a="1"/>
  <c r="G25" i="9" s="1"/>
  <c r="J24" i="9" a="1"/>
  <c r="J24" i="9" s="1"/>
  <c r="X24" i="9" a="1"/>
  <c r="X24" i="9" s="1"/>
  <c r="U24" i="9" a="1"/>
  <c r="U24" i="9"/>
  <c r="M24" i="9" a="1"/>
  <c r="M24" i="9" s="1"/>
  <c r="K24" i="9" a="1"/>
  <c r="K24" i="9" s="1"/>
  <c r="G24" i="9" a="1"/>
  <c r="G24" i="9"/>
  <c r="I24" i="9" a="1"/>
  <c r="I24" i="9" s="1"/>
  <c r="P24" i="9" a="1"/>
  <c r="P24" i="9" s="1"/>
  <c r="F25" i="9" a="1"/>
  <c r="F25" i="9" s="1"/>
  <c r="E25" i="9" a="1"/>
  <c r="E25" i="9" s="1"/>
  <c r="D25" i="9" a="1"/>
  <c r="D25" i="9" s="1"/>
  <c r="Y24" i="9" a="1"/>
  <c r="Y24" i="9" s="1"/>
  <c r="O24" i="9" a="1"/>
  <c r="O24" i="9"/>
  <c r="F24" i="9" a="1"/>
  <c r="F24" i="9" s="1"/>
  <c r="L24" i="9" a="1"/>
  <c r="L24" i="9"/>
  <c r="W24" i="9" a="1"/>
  <c r="W24" i="9" s="1"/>
  <c r="AA24" i="9" a="1"/>
  <c r="AA24" i="9" s="1"/>
  <c r="T24" i="9" a="1"/>
  <c r="T24" i="9"/>
  <c r="Z24" i="9" a="1"/>
  <c r="Z24" i="9" s="1"/>
  <c r="N24" i="9" a="1"/>
  <c r="N24" i="9" s="1"/>
  <c r="Q24" i="9" a="1"/>
  <c r="Q24" i="9" s="1"/>
  <c r="O25" i="9" a="1"/>
  <c r="O25" i="9" s="1"/>
  <c r="X25" i="9" a="1"/>
  <c r="X25" i="9" s="1"/>
  <c r="P25" i="9" a="1"/>
  <c r="P25" i="9" s="1"/>
  <c r="N25" i="9" a="1"/>
  <c r="N25" i="9" s="1"/>
  <c r="M25" i="9" a="1"/>
  <c r="M25" i="9"/>
  <c r="W25" i="9" a="1"/>
  <c r="W25" i="9" s="1"/>
  <c r="Z25" i="9" a="1"/>
  <c r="Z25" i="9"/>
  <c r="S25" i="9" a="1"/>
  <c r="S25" i="9" s="1"/>
  <c r="L25" i="9" a="1"/>
  <c r="L25" i="9" s="1"/>
  <c r="J25" i="9" a="1"/>
  <c r="J25" i="9" s="1"/>
  <c r="K25" i="9" a="1"/>
  <c r="K25" i="9" s="1"/>
  <c r="H25" i="9" a="1"/>
  <c r="H25" i="9" s="1"/>
  <c r="I25" i="9" a="1"/>
  <c r="I25" i="9" s="1"/>
  <c r="R25" i="9" a="1"/>
  <c r="R25" i="9"/>
  <c r="AA25" i="9" a="1"/>
  <c r="AA25" i="9"/>
  <c r="Y25" i="9" a="1"/>
  <c r="Y25" i="9"/>
  <c r="V25" i="9" a="1"/>
  <c r="V25" i="9" s="1"/>
  <c r="T25" i="9" a="1"/>
  <c r="T25" i="9"/>
  <c r="Q25" i="9" a="1"/>
  <c r="Q25" i="9" s="1"/>
  <c r="U25" i="9" a="1"/>
  <c r="U25" i="9" s="1"/>
  <c r="M46" i="9" a="1"/>
  <c r="M46" i="9" s="1"/>
  <c r="AA46" i="9" a="1"/>
  <c r="AA46" i="9" s="1"/>
  <c r="Z46" i="9" a="1"/>
  <c r="Z46" i="9" s="1"/>
  <c r="Q46" i="9" a="1"/>
  <c r="Q46" i="9" s="1"/>
  <c r="Y46" i="9" a="1"/>
  <c r="Y46" i="9" s="1"/>
  <c r="P46" i="9" a="1"/>
  <c r="P46" i="9"/>
  <c r="X46" i="9" a="1"/>
  <c r="X46" i="9"/>
  <c r="T46" i="9" a="1"/>
  <c r="T46" i="9"/>
  <c r="W46" i="9" a="1"/>
  <c r="W46" i="9" s="1"/>
  <c r="V46" i="9" a="1"/>
  <c r="V46" i="9" s="1"/>
  <c r="U46" i="9" a="1"/>
  <c r="U46" i="9" s="1"/>
  <c r="R46" i="9" a="1"/>
  <c r="R46" i="9"/>
  <c r="S46" i="9" a="1"/>
  <c r="S46" i="9" s="1"/>
  <c r="O46" i="9" a="1"/>
  <c r="O46" i="9"/>
  <c r="N46" i="9" a="1"/>
  <c r="N46" i="9" s="1"/>
  <c r="L46" i="9" a="1"/>
  <c r="L46" i="9" s="1"/>
  <c r="K46" i="9" a="1"/>
  <c r="K46" i="9" s="1"/>
  <c r="O65" i="9" a="1"/>
  <c r="O65" i="9"/>
  <c r="N65" i="9" a="1"/>
  <c r="N65" i="9" s="1"/>
  <c r="M65" i="9" a="1"/>
  <c r="M65" i="9" s="1"/>
  <c r="I65" i="9" a="1"/>
  <c r="I65" i="9" s="1"/>
  <c r="L65" i="9" a="1"/>
  <c r="L65" i="9" s="1"/>
  <c r="K65" i="9" a="1"/>
  <c r="K65" i="9" s="1"/>
  <c r="H65" i="9" a="1"/>
  <c r="H65" i="9"/>
  <c r="G65" i="9" a="1"/>
  <c r="G65" i="9"/>
  <c r="J65" i="9" a="1"/>
  <c r="J65" i="9" s="1"/>
  <c r="Z44" i="9" a="1"/>
  <c r="Z44" i="9"/>
  <c r="U44" i="9" a="1"/>
  <c r="U44" i="9"/>
  <c r="S44" i="9" a="1"/>
  <c r="S44" i="9" s="1"/>
  <c r="P44" i="9" a="1"/>
  <c r="P44" i="9" s="1"/>
  <c r="N44" i="9" a="1"/>
  <c r="N44" i="9" s="1"/>
  <c r="AA44" i="9" a="1"/>
  <c r="AA44" i="9"/>
  <c r="V44" i="9" a="1"/>
  <c r="V44" i="9" s="1"/>
  <c r="W44" i="9" a="1"/>
  <c r="W44" i="9" s="1"/>
  <c r="R44" i="9" a="1"/>
  <c r="R44" i="9"/>
  <c r="O44" i="9" a="1"/>
  <c r="O44" i="9" s="1"/>
  <c r="Y44" i="9" a="1"/>
  <c r="Y44" i="9" s="1"/>
  <c r="X44" i="9" a="1"/>
  <c r="X44" i="9"/>
  <c r="Q44" i="9" a="1"/>
  <c r="Q44" i="9" s="1"/>
  <c r="T44" i="9" a="1"/>
  <c r="T44" i="9" s="1"/>
  <c r="I44" i="9" a="1"/>
  <c r="I44" i="9" s="1"/>
  <c r="F44" i="9" a="1"/>
  <c r="F44" i="9" s="1"/>
  <c r="D44" i="9" a="1"/>
  <c r="D44" i="9" s="1"/>
  <c r="K44" i="9" a="1"/>
  <c r="K44" i="9" s="1"/>
  <c r="M44" i="9" a="1"/>
  <c r="M44" i="9" s="1"/>
  <c r="E44" i="9" a="1"/>
  <c r="E44" i="9" s="1"/>
  <c r="L44" i="9" a="1"/>
  <c r="L44" i="9" s="1"/>
  <c r="J44" i="9" a="1"/>
  <c r="J44" i="9" s="1"/>
  <c r="H44" i="9" a="1"/>
  <c r="H44" i="9"/>
  <c r="G44" i="9" a="1"/>
  <c r="G44" i="9" s="1"/>
  <c r="S65" i="9" a="1"/>
  <c r="S65" i="9"/>
  <c r="Q65" i="9" a="1"/>
  <c r="Q65" i="9"/>
  <c r="R65" i="9" a="1"/>
  <c r="R65" i="9" s="1"/>
  <c r="P65" i="9" a="1"/>
  <c r="P65" i="9"/>
  <c r="U65" i="9" a="1"/>
  <c r="U65" i="9" s="1"/>
  <c r="T65" i="9" a="1"/>
  <c r="T65" i="9" s="1"/>
  <c r="W65" i="9" a="1"/>
  <c r="W65" i="9" s="1"/>
  <c r="V65" i="9" a="1"/>
  <c r="V65" i="9"/>
  <c r="Z65" i="9" a="1"/>
  <c r="Z65" i="9" s="1"/>
  <c r="Y65" i="9" a="1"/>
  <c r="Y65" i="9"/>
  <c r="X65" i="9" a="1"/>
  <c r="X65" i="9" s="1"/>
  <c r="AA65" i="9" a="1"/>
  <c r="AA65" i="9"/>
  <c r="I67" i="4"/>
  <c r="K67" i="4" s="1"/>
  <c r="I66" i="4"/>
  <c r="K66" i="4" s="1"/>
  <c r="I65" i="4"/>
  <c r="I64" i="4"/>
  <c r="I63" i="4"/>
  <c r="I62" i="4"/>
  <c r="I61" i="4"/>
  <c r="K61" i="4" s="1"/>
  <c r="I60" i="4"/>
  <c r="K60" i="4" s="1"/>
  <c r="I59" i="4"/>
  <c r="K59" i="4" s="1"/>
  <c r="I58" i="4"/>
  <c r="K58" i="4" s="1"/>
  <c r="I57" i="4"/>
  <c r="K57" i="4" s="1"/>
  <c r="I56" i="4"/>
  <c r="I55" i="4"/>
  <c r="I54" i="4"/>
  <c r="K54" i="4" s="1"/>
  <c r="I53" i="4"/>
  <c r="K53" i="4" s="1"/>
  <c r="I52" i="4"/>
  <c r="K52" i="4" s="1"/>
  <c r="I51" i="4"/>
  <c r="I50" i="4"/>
  <c r="K50" i="4" s="1"/>
  <c r="I49" i="4"/>
  <c r="I48" i="4"/>
  <c r="K48" i="4" s="1"/>
  <c r="I47" i="4"/>
  <c r="I46" i="4"/>
  <c r="K46" i="4" s="1"/>
  <c r="I45" i="4"/>
  <c r="I44" i="4"/>
  <c r="I43" i="4"/>
  <c r="I42" i="4"/>
  <c r="K42" i="4" s="1"/>
  <c r="I41" i="4"/>
  <c r="K41" i="4" s="1"/>
  <c r="I40" i="4"/>
  <c r="I39" i="4"/>
  <c r="K39" i="4" s="1"/>
  <c r="I38" i="4"/>
  <c r="K38" i="4"/>
  <c r="I37" i="4"/>
  <c r="K37" i="4" s="1"/>
  <c r="I36" i="4"/>
  <c r="K36" i="4" s="1"/>
  <c r="I35" i="4"/>
  <c r="K35" i="4" s="1"/>
  <c r="I34" i="4"/>
  <c r="K34" i="4" s="1"/>
  <c r="I33" i="4"/>
  <c r="K33" i="4" s="1"/>
  <c r="I32" i="4"/>
  <c r="K32" i="4" s="1"/>
  <c r="I31" i="4"/>
  <c r="I30" i="4"/>
  <c r="K30" i="4" s="1"/>
  <c r="I29" i="4"/>
  <c r="I28" i="4"/>
  <c r="I27" i="4"/>
  <c r="K27" i="4" s="1"/>
  <c r="I26" i="4"/>
  <c r="K26" i="4" s="1"/>
  <c r="I25" i="4"/>
  <c r="K25" i="4" s="1"/>
  <c r="I24" i="4"/>
  <c r="K24" i="4" s="1"/>
  <c r="I23" i="4"/>
  <c r="K23" i="4" s="1"/>
  <c r="I22" i="4"/>
  <c r="K22" i="4" s="1"/>
  <c r="I21" i="4"/>
  <c r="I20" i="4"/>
  <c r="K20" i="4" s="1"/>
  <c r="I19" i="4"/>
  <c r="K19" i="4" s="1"/>
  <c r="I18" i="4"/>
  <c r="C69" i="5"/>
  <c r="D69" i="5" s="1"/>
  <c r="C68" i="5"/>
  <c r="D68" i="5" s="1"/>
  <c r="C67" i="5"/>
  <c r="D67" i="5" s="1"/>
  <c r="C66" i="5"/>
  <c r="D66" i="5" s="1"/>
  <c r="C65" i="5"/>
  <c r="D65" i="5" s="1"/>
  <c r="C64" i="5"/>
  <c r="D64" i="5" s="1"/>
  <c r="C63" i="5"/>
  <c r="D63" i="5" s="1"/>
  <c r="C62" i="5"/>
  <c r="D62" i="5" s="1"/>
  <c r="C61" i="5"/>
  <c r="D61" i="5" s="1"/>
  <c r="C60" i="5"/>
  <c r="D60" i="5" s="1"/>
  <c r="C59" i="5"/>
  <c r="D59" i="5" s="1"/>
  <c r="C58" i="5"/>
  <c r="D58" i="5" s="1"/>
  <c r="C57" i="5"/>
  <c r="D57" i="5" s="1"/>
  <c r="C56" i="5"/>
  <c r="D56" i="5" s="1"/>
  <c r="C55" i="5"/>
  <c r="D55" i="5" s="1"/>
  <c r="C54" i="5"/>
  <c r="D54" i="5" s="1"/>
  <c r="C53" i="5"/>
  <c r="D53" i="5" s="1"/>
  <c r="C52" i="5"/>
  <c r="D52" i="5" s="1"/>
  <c r="C51" i="5"/>
  <c r="D51" i="5" s="1"/>
  <c r="C50" i="5"/>
  <c r="D50" i="5" s="1"/>
  <c r="C49" i="5"/>
  <c r="D49" i="5" s="1"/>
  <c r="C48" i="5"/>
  <c r="D48" i="5" s="1"/>
  <c r="C47" i="5"/>
  <c r="D47" i="5" s="1"/>
  <c r="C46" i="5"/>
  <c r="D46" i="5" s="1"/>
  <c r="C45" i="5"/>
  <c r="D45" i="5" s="1"/>
  <c r="C44" i="5"/>
  <c r="D44" i="5" s="1"/>
  <c r="C43" i="5"/>
  <c r="D43" i="5" s="1"/>
  <c r="C42" i="5"/>
  <c r="D42" i="5" s="1"/>
  <c r="C41" i="5"/>
  <c r="D41" i="5" s="1"/>
  <c r="C40" i="5"/>
  <c r="D40" i="5" s="1"/>
  <c r="C39" i="5"/>
  <c r="D39" i="5" s="1"/>
  <c r="C38" i="5"/>
  <c r="D38" i="5" s="1"/>
  <c r="C37" i="5"/>
  <c r="D37" i="5" s="1"/>
  <c r="C36" i="5"/>
  <c r="D36" i="5" s="1"/>
  <c r="C35" i="5"/>
  <c r="D35" i="5" s="1"/>
  <c r="C34" i="5"/>
  <c r="D34" i="5" s="1"/>
  <c r="C33" i="5"/>
  <c r="D33" i="5" s="1"/>
  <c r="C32" i="5"/>
  <c r="B50" i="22" s="1"/>
  <c r="C31" i="5"/>
  <c r="D31" i="5" s="1"/>
  <c r="C30" i="5"/>
  <c r="B48" i="22" s="1"/>
  <c r="C29" i="5"/>
  <c r="B47" i="22" s="1"/>
  <c r="C28" i="5"/>
  <c r="D28" i="5" s="1"/>
  <c r="C27" i="5"/>
  <c r="B45" i="22" s="1"/>
  <c r="C26" i="5"/>
  <c r="B44" i="22" s="1"/>
  <c r="C25" i="5"/>
  <c r="B43" i="22" s="1"/>
  <c r="C24" i="5"/>
  <c r="B41" i="22" s="1"/>
  <c r="C23" i="5"/>
  <c r="D23" i="5" s="1"/>
  <c r="C22" i="5"/>
  <c r="D22" i="5" s="1"/>
  <c r="C21" i="5"/>
  <c r="B38" i="22" s="1"/>
  <c r="C20" i="5"/>
  <c r="C67" i="4"/>
  <c r="F67" i="4" s="1"/>
  <c r="C66" i="4"/>
  <c r="D66" i="4" s="1"/>
  <c r="C65" i="4"/>
  <c r="D65" i="4" s="1"/>
  <c r="C64" i="4"/>
  <c r="G64" i="4" s="1"/>
  <c r="C63" i="4"/>
  <c r="H63" i="4" s="1"/>
  <c r="C62" i="4"/>
  <c r="H62" i="4" s="1"/>
  <c r="C61" i="4"/>
  <c r="H61" i="4" s="1"/>
  <c r="C60" i="4"/>
  <c r="H60" i="4" s="1"/>
  <c r="C59" i="4"/>
  <c r="F59" i="4" s="1"/>
  <c r="C58" i="4"/>
  <c r="F58" i="4" s="1"/>
  <c r="C57" i="4"/>
  <c r="D57" i="4" s="1"/>
  <c r="C56" i="4"/>
  <c r="D56" i="4" s="1"/>
  <c r="C55" i="4"/>
  <c r="D55" i="4" s="1"/>
  <c r="C54" i="4"/>
  <c r="D54" i="4" s="1"/>
  <c r="C53" i="4"/>
  <c r="G53" i="4" s="1"/>
  <c r="C52" i="4"/>
  <c r="D52" i="4" s="1"/>
  <c r="C51" i="4"/>
  <c r="D51" i="4" s="1"/>
  <c r="V51" i="4" s="1"/>
  <c r="C50" i="4"/>
  <c r="G50" i="4" s="1"/>
  <c r="C49" i="4"/>
  <c r="F49" i="4" s="1"/>
  <c r="C48" i="4"/>
  <c r="H48" i="4" s="1"/>
  <c r="C47" i="4"/>
  <c r="F47" i="4" s="1"/>
  <c r="C46" i="4"/>
  <c r="F46" i="4" s="1"/>
  <c r="C45" i="4"/>
  <c r="F45" i="4" s="1"/>
  <c r="C44" i="4"/>
  <c r="G44" i="4" s="1"/>
  <c r="C43" i="4"/>
  <c r="D43" i="4" s="1"/>
  <c r="C42" i="4"/>
  <c r="F42" i="4" s="1"/>
  <c r="C41" i="4"/>
  <c r="G41" i="4" s="1"/>
  <c r="C40" i="4"/>
  <c r="D40" i="4" s="1"/>
  <c r="C39" i="4"/>
  <c r="D39" i="4" s="1"/>
  <c r="V39" i="4" s="1"/>
  <c r="C38" i="4"/>
  <c r="D38" i="4" s="1"/>
  <c r="V38" i="4" s="1"/>
  <c r="C37" i="4"/>
  <c r="G37" i="4" s="1"/>
  <c r="C36" i="4"/>
  <c r="H36" i="4" s="1"/>
  <c r="C35" i="4"/>
  <c r="F35" i="4" s="1"/>
  <c r="C34" i="4"/>
  <c r="D34" i="4" s="1"/>
  <c r="AN34" i="4" s="1"/>
  <c r="C33" i="4"/>
  <c r="F33" i="4" s="1"/>
  <c r="C32" i="4"/>
  <c r="H32" i="4" s="1"/>
  <c r="C31" i="4"/>
  <c r="G31" i="4" s="1"/>
  <c r="C30" i="4"/>
  <c r="H30" i="4" s="1"/>
  <c r="C29" i="4"/>
  <c r="F29" i="4" s="1"/>
  <c r="C28" i="4"/>
  <c r="F28" i="4" s="1"/>
  <c r="C27" i="4"/>
  <c r="H27" i="4" s="1"/>
  <c r="C26" i="4"/>
  <c r="G26" i="4" s="1"/>
  <c r="C25" i="4"/>
  <c r="F25" i="4" s="1"/>
  <c r="C24" i="4"/>
  <c r="G24" i="4" s="1"/>
  <c r="C23" i="4"/>
  <c r="G23" i="4" s="1"/>
  <c r="C22" i="4"/>
  <c r="F22" i="4" s="1"/>
  <c r="C21" i="4"/>
  <c r="F21" i="4" s="1"/>
  <c r="C20" i="4"/>
  <c r="H20" i="4" s="1"/>
  <c r="C19" i="4"/>
  <c r="G19" i="4" s="1"/>
  <c r="C18" i="4"/>
  <c r="H18" i="4" s="1"/>
  <c r="AG112" i="9"/>
  <c r="AO129" i="9" s="1" a="1"/>
  <c r="AO129" i="9" s="1"/>
  <c r="AV130" i="9" a="1"/>
  <c r="AV130" i="9" s="1"/>
  <c r="AG91" i="9"/>
  <c r="BB108" i="9" s="1" a="1"/>
  <c r="BB108" i="9" s="1"/>
  <c r="AG70" i="9"/>
  <c r="AG49" i="9"/>
  <c r="AV66" i="9" s="1" a="1"/>
  <c r="AV66" i="9" s="1"/>
  <c r="AG28" i="9"/>
  <c r="AO45" i="9" s="1" a="1"/>
  <c r="AO45" i="9" s="1"/>
  <c r="AG7" i="9"/>
  <c r="J56" i="8"/>
  <c r="J55" i="8"/>
  <c r="J54" i="8"/>
  <c r="J53" i="8"/>
  <c r="J52" i="8"/>
  <c r="J51" i="8"/>
  <c r="J50" i="8"/>
  <c r="J49" i="8"/>
  <c r="J48" i="8"/>
  <c r="J47" i="8"/>
  <c r="J46" i="8"/>
  <c r="J45" i="8"/>
  <c r="J44" i="8"/>
  <c r="J43" i="8"/>
  <c r="J42" i="8"/>
  <c r="J41" i="8"/>
  <c r="G20" i="8"/>
  <c r="K65" i="7"/>
  <c r="K64" i="7"/>
  <c r="K63" i="7"/>
  <c r="K62" i="7"/>
  <c r="AB29" i="7"/>
  <c r="R29" i="7"/>
  <c r="M29" i="7"/>
  <c r="AB28" i="7"/>
  <c r="R28" i="7"/>
  <c r="M28" i="7"/>
  <c r="AB27" i="7"/>
  <c r="R27" i="7"/>
  <c r="M27" i="7"/>
  <c r="AB26" i="7"/>
  <c r="R26" i="7"/>
  <c r="M26" i="7"/>
  <c r="AB25" i="7"/>
  <c r="R25" i="7"/>
  <c r="M25" i="7"/>
  <c r="AB24" i="7"/>
  <c r="R24" i="7"/>
  <c r="M24" i="7"/>
  <c r="AB23" i="7"/>
  <c r="R23" i="7"/>
  <c r="M23" i="7"/>
  <c r="AB22" i="7"/>
  <c r="R22" i="7"/>
  <c r="M22" i="7"/>
  <c r="AB21" i="7"/>
  <c r="R21" i="7"/>
  <c r="M21" i="7"/>
  <c r="AB20" i="7"/>
  <c r="R20" i="7"/>
  <c r="M20" i="7"/>
  <c r="AB19" i="7"/>
  <c r="R19" i="7"/>
  <c r="M19" i="7"/>
  <c r="AB18" i="7"/>
  <c r="R18" i="7"/>
  <c r="M18" i="7"/>
  <c r="AF13" i="12"/>
  <c r="X29" i="10"/>
  <c r="X13" i="10"/>
  <c r="X12" i="10"/>
  <c r="X11" i="10"/>
  <c r="X8" i="10"/>
  <c r="X7" i="10"/>
  <c r="X20" i="10"/>
  <c r="X17" i="10"/>
  <c r="X28" i="10"/>
  <c r="X25" i="10"/>
  <c r="X22" i="10"/>
  <c r="X19" i="10"/>
  <c r="X15" i="10"/>
  <c r="X27" i="10"/>
  <c r="X14" i="10"/>
  <c r="X26" i="10"/>
  <c r="X10" i="10"/>
  <c r="X9" i="10"/>
  <c r="X23" i="10"/>
  <c r="X6" i="10"/>
  <c r="X16" i="10"/>
  <c r="X21" i="10"/>
  <c r="X24" i="10"/>
  <c r="X18" i="10"/>
  <c r="AX108" i="9" a="1"/>
  <c r="AX108" i="9" s="1"/>
  <c r="AX107" i="9" a="1"/>
  <c r="AX107" i="9" s="1"/>
  <c r="AD69" i="5"/>
  <c r="AD68" i="5"/>
  <c r="AD67" i="5"/>
  <c r="AD66" i="5"/>
  <c r="AD65" i="5"/>
  <c r="AD64" i="5"/>
  <c r="AD63" i="5"/>
  <c r="AD62" i="5"/>
  <c r="AD61" i="5"/>
  <c r="AD60" i="5"/>
  <c r="AD59" i="5"/>
  <c r="AD58" i="5"/>
  <c r="AD57" i="5"/>
  <c r="AD56" i="5"/>
  <c r="AD55" i="5"/>
  <c r="AD54" i="5"/>
  <c r="AD53" i="5"/>
  <c r="AD52" i="5"/>
  <c r="AD51" i="5"/>
  <c r="AD50" i="5"/>
  <c r="AD49" i="5"/>
  <c r="AD48" i="5"/>
  <c r="AD47" i="5"/>
  <c r="AD46" i="5"/>
  <c r="AD45" i="5"/>
  <c r="AD44" i="5"/>
  <c r="AD43" i="5"/>
  <c r="AD42" i="5"/>
  <c r="AD41" i="5"/>
  <c r="AD40" i="5"/>
  <c r="AO67" i="4"/>
  <c r="AO66" i="4"/>
  <c r="AO65" i="4"/>
  <c r="AO64" i="4"/>
  <c r="K64" i="4"/>
  <c r="K63" i="4"/>
  <c r="AO62" i="4"/>
  <c r="AO60" i="4"/>
  <c r="AO59" i="4"/>
  <c r="AO58" i="4"/>
  <c r="AO57" i="4"/>
  <c r="AO56" i="4"/>
  <c r="K56" i="4"/>
  <c r="AO54" i="4"/>
  <c r="AO53" i="4"/>
  <c r="AO52" i="4"/>
  <c r="AO51" i="4"/>
  <c r="AO50" i="4"/>
  <c r="AO49" i="4"/>
  <c r="AO48" i="4"/>
  <c r="K47" i="4"/>
  <c r="AO46" i="4"/>
  <c r="K45" i="4"/>
  <c r="AO44" i="4"/>
  <c r="K44" i="4"/>
  <c r="AO43" i="4"/>
  <c r="AO42" i="4"/>
  <c r="AO41" i="4"/>
  <c r="AO40" i="4"/>
  <c r="AO39" i="4"/>
  <c r="AO38" i="4"/>
  <c r="AO37" i="4"/>
  <c r="AO36" i="4"/>
  <c r="AO35" i="4"/>
  <c r="AO34" i="4"/>
  <c r="AO33" i="4"/>
  <c r="AO32" i="4"/>
  <c r="AO31" i="4"/>
  <c r="K31" i="4"/>
  <c r="AO30" i="4"/>
  <c r="AO28" i="4"/>
  <c r="K28" i="4"/>
  <c r="AO27" i="4"/>
  <c r="AO26" i="4"/>
  <c r="AO25" i="4"/>
  <c r="AO24" i="4"/>
  <c r="AO22" i="4"/>
  <c r="AO21" i="4"/>
  <c r="K21" i="4"/>
  <c r="AO20" i="4"/>
  <c r="AO19" i="4"/>
  <c r="AO18" i="4"/>
  <c r="K18" i="4"/>
  <c r="AO47" i="4"/>
  <c r="AO23" i="4"/>
  <c r="AO63" i="4"/>
  <c r="AO55" i="4"/>
  <c r="AO29" i="4"/>
  <c r="AO45" i="4"/>
  <c r="AO61" i="4"/>
  <c r="C184" i="15"/>
  <c r="C183" i="15"/>
  <c r="C182" i="15"/>
  <c r="C181" i="15"/>
  <c r="C180" i="15"/>
  <c r="C179" i="15"/>
  <c r="C178" i="15"/>
  <c r="C177" i="15"/>
  <c r="C176" i="15"/>
  <c r="C175" i="15"/>
  <c r="C174" i="15"/>
  <c r="C173" i="15"/>
  <c r="C172" i="15"/>
  <c r="C171" i="15"/>
  <c r="C170"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U131" i="14"/>
  <c r="U130" i="14"/>
  <c r="U129" i="14"/>
  <c r="AA128" i="14"/>
  <c r="U128" i="14"/>
  <c r="AA127" i="14"/>
  <c r="U127" i="14"/>
  <c r="AA126" i="14"/>
  <c r="U126" i="14"/>
  <c r="AA125" i="14"/>
  <c r="U125" i="14"/>
  <c r="AA124" i="14"/>
  <c r="U124" i="14"/>
  <c r="AA123" i="14"/>
  <c r="U123" i="14"/>
  <c r="AA122" i="14"/>
  <c r="U122" i="14"/>
  <c r="AA121" i="14"/>
  <c r="U121" i="14"/>
  <c r="I121" i="14"/>
  <c r="AA120" i="14"/>
  <c r="U120" i="14"/>
  <c r="I120" i="14"/>
  <c r="AA119" i="14"/>
  <c r="U119" i="14"/>
  <c r="I119" i="14"/>
  <c r="AA118" i="14"/>
  <c r="U118" i="14"/>
  <c r="I118" i="14"/>
  <c r="AA117" i="14"/>
  <c r="U117" i="14"/>
  <c r="I117" i="14"/>
  <c r="AA116" i="14"/>
  <c r="U116" i="14"/>
  <c r="I116" i="14"/>
  <c r="AA115" i="14"/>
  <c r="U115" i="14"/>
  <c r="I115" i="14"/>
  <c r="AA114" i="14"/>
  <c r="U114" i="14"/>
  <c r="I114" i="14"/>
  <c r="AA113" i="14"/>
  <c r="U113" i="14"/>
  <c r="I113" i="14"/>
  <c r="AA112" i="14"/>
  <c r="U112" i="14"/>
  <c r="I112" i="14"/>
  <c r="AA111" i="14"/>
  <c r="U111" i="14"/>
  <c r="I111" i="14"/>
  <c r="AA110" i="14"/>
  <c r="U110" i="14"/>
  <c r="I110" i="14"/>
  <c r="AA109" i="14"/>
  <c r="U109" i="14"/>
  <c r="I109" i="14"/>
  <c r="AA108" i="14"/>
  <c r="U108" i="14"/>
  <c r="I108" i="14"/>
  <c r="AA107" i="14"/>
  <c r="U107" i="14"/>
  <c r="I107" i="14"/>
  <c r="AA106" i="14"/>
  <c r="U106" i="14"/>
  <c r="I106" i="14"/>
  <c r="AA105" i="14"/>
  <c r="U105" i="14"/>
  <c r="I105" i="14"/>
  <c r="AA104" i="14"/>
  <c r="U104" i="14"/>
  <c r="I104" i="14"/>
  <c r="AA103" i="14"/>
  <c r="U103" i="14"/>
  <c r="I103" i="14"/>
  <c r="AA102" i="14"/>
  <c r="U102" i="14"/>
  <c r="I102" i="14"/>
  <c r="AA101" i="14"/>
  <c r="U101" i="14"/>
  <c r="I101" i="14"/>
  <c r="AA100" i="14"/>
  <c r="U100" i="14"/>
  <c r="I100" i="14"/>
  <c r="AA99" i="14"/>
  <c r="U99" i="14"/>
  <c r="I99" i="14"/>
  <c r="AA98" i="14"/>
  <c r="U98" i="14"/>
  <c r="I98" i="14"/>
  <c r="AA97" i="14"/>
  <c r="U97" i="14"/>
  <c r="I97" i="14"/>
  <c r="AA96" i="14"/>
  <c r="U96" i="14"/>
  <c r="I96" i="14"/>
  <c r="AA95" i="14"/>
  <c r="U95" i="14"/>
  <c r="I95" i="14"/>
  <c r="AA94" i="14"/>
  <c r="U94" i="14"/>
  <c r="I94" i="14"/>
  <c r="AA93" i="14"/>
  <c r="Y39" i="5" s="1"/>
  <c r="U93" i="14"/>
  <c r="I93" i="14"/>
  <c r="AA92" i="14"/>
  <c r="U92" i="14"/>
  <c r="I92" i="14"/>
  <c r="AA91" i="14"/>
  <c r="U91" i="14"/>
  <c r="I91" i="14"/>
  <c r="AA90" i="14"/>
  <c r="U90" i="14"/>
  <c r="I90" i="14"/>
  <c r="AA89" i="14"/>
  <c r="U89" i="14"/>
  <c r="I89" i="14"/>
  <c r="AA88" i="14"/>
  <c r="U88" i="14"/>
  <c r="V57" i="5" s="1"/>
  <c r="I88" i="14"/>
  <c r="AA87" i="14"/>
  <c r="U87" i="14"/>
  <c r="I87" i="14"/>
  <c r="AA86" i="14"/>
  <c r="U86" i="14"/>
  <c r="I86" i="14"/>
  <c r="AA85" i="14"/>
  <c r="Y55" i="5" s="1"/>
  <c r="U85" i="14"/>
  <c r="I85" i="14"/>
  <c r="AA84" i="14"/>
  <c r="U84" i="14"/>
  <c r="I84" i="14"/>
  <c r="AA83" i="14"/>
  <c r="U83" i="14"/>
  <c r="I83" i="14"/>
  <c r="P46" i="5" s="1"/>
  <c r="AA82" i="14"/>
  <c r="U82" i="14"/>
  <c r="I82" i="14"/>
  <c r="AA81" i="14"/>
  <c r="U81" i="14"/>
  <c r="I81" i="14"/>
  <c r="AA80" i="14"/>
  <c r="U80" i="14"/>
  <c r="V24" i="5" s="1"/>
  <c r="I80" i="14"/>
  <c r="AA79" i="14"/>
  <c r="U79" i="14"/>
  <c r="I79" i="14"/>
  <c r="AA78" i="14"/>
  <c r="U78" i="14"/>
  <c r="I78" i="14"/>
  <c r="AG77" i="14"/>
  <c r="AA77" i="14"/>
  <c r="U77" i="14"/>
  <c r="I77" i="14"/>
  <c r="AG76" i="14"/>
  <c r="AA76" i="14"/>
  <c r="U76" i="14"/>
  <c r="I76" i="14"/>
  <c r="AG75" i="14"/>
  <c r="AA75" i="14"/>
  <c r="U75" i="14"/>
  <c r="I75" i="14"/>
  <c r="AG74" i="14"/>
  <c r="AA74" i="14"/>
  <c r="U74" i="14"/>
  <c r="I74" i="14"/>
  <c r="AG73" i="14"/>
  <c r="AA73" i="14"/>
  <c r="U73" i="14"/>
  <c r="I73" i="14"/>
  <c r="AG72" i="14"/>
  <c r="AA72" i="14"/>
  <c r="U72" i="14"/>
  <c r="I72" i="14"/>
  <c r="AG71" i="14"/>
  <c r="AA71" i="14"/>
  <c r="U71" i="14"/>
  <c r="I71" i="14"/>
  <c r="AG70" i="14"/>
  <c r="AA70" i="14"/>
  <c r="U70" i="14"/>
  <c r="I70" i="14"/>
  <c r="AG69" i="14"/>
  <c r="AA69" i="14"/>
  <c r="U69" i="14"/>
  <c r="I69" i="14"/>
  <c r="AG68" i="14"/>
  <c r="AA68" i="14"/>
  <c r="U68" i="14"/>
  <c r="I68" i="14"/>
  <c r="AG67" i="14"/>
  <c r="AA67" i="14"/>
  <c r="U67" i="14"/>
  <c r="I67" i="14"/>
  <c r="AG66" i="14"/>
  <c r="AA66" i="14"/>
  <c r="U66" i="14"/>
  <c r="I66" i="14"/>
  <c r="AG65" i="14"/>
  <c r="AA65" i="14"/>
  <c r="U65" i="14"/>
  <c r="I65" i="14"/>
  <c r="AG64" i="14"/>
  <c r="AA64" i="14"/>
  <c r="U64" i="14"/>
  <c r="I64" i="14"/>
  <c r="AG63" i="14"/>
  <c r="AA63" i="14"/>
  <c r="U63" i="14"/>
  <c r="I63" i="14"/>
  <c r="AG62" i="14"/>
  <c r="AA62" i="14"/>
  <c r="U62" i="14"/>
  <c r="I62" i="14"/>
  <c r="AG61" i="14"/>
  <c r="AA61" i="14"/>
  <c r="U61" i="14"/>
  <c r="I61" i="14"/>
  <c r="AG60" i="14"/>
  <c r="AA60" i="14"/>
  <c r="U60" i="14"/>
  <c r="I60" i="14"/>
  <c r="AG59" i="14"/>
  <c r="AA59" i="14"/>
  <c r="U59" i="14"/>
  <c r="I59" i="14"/>
  <c r="AG58" i="14"/>
  <c r="AA58" i="14"/>
  <c r="U58" i="14"/>
  <c r="I58" i="14"/>
  <c r="AG57" i="14"/>
  <c r="AA57" i="14"/>
  <c r="U57" i="14"/>
  <c r="I57" i="14"/>
  <c r="AG56" i="14"/>
  <c r="AA56" i="14"/>
  <c r="U56" i="14"/>
  <c r="I56" i="14"/>
  <c r="AG55" i="14"/>
  <c r="AA55" i="14"/>
  <c r="U55" i="14"/>
  <c r="I55" i="14"/>
  <c r="AG54" i="14"/>
  <c r="AA54" i="14"/>
  <c r="U54" i="14"/>
  <c r="I54" i="14"/>
  <c r="AG53" i="14"/>
  <c r="AA53" i="14"/>
  <c r="U53" i="14"/>
  <c r="I53" i="14"/>
  <c r="AG52" i="14"/>
  <c r="AA52" i="14"/>
  <c r="U52" i="14"/>
  <c r="I52" i="14"/>
  <c r="AG51" i="14"/>
  <c r="AA51" i="14"/>
  <c r="U51" i="14"/>
  <c r="I51" i="14"/>
  <c r="AG50" i="14"/>
  <c r="AA50" i="14"/>
  <c r="U50" i="14"/>
  <c r="I50" i="14"/>
  <c r="AG49" i="14"/>
  <c r="AA49" i="14"/>
  <c r="U49" i="14"/>
  <c r="I49" i="14"/>
  <c r="AG48" i="14"/>
  <c r="AA48" i="14"/>
  <c r="U48" i="14"/>
  <c r="I48" i="14"/>
  <c r="AG47" i="14"/>
  <c r="AA47" i="14"/>
  <c r="U47" i="14"/>
  <c r="I47" i="14"/>
  <c r="AG46" i="14"/>
  <c r="AA46" i="14"/>
  <c r="U46" i="14"/>
  <c r="I46" i="14"/>
  <c r="AG45" i="14"/>
  <c r="AA45" i="14"/>
  <c r="U45" i="14"/>
  <c r="I45" i="14"/>
  <c r="AG44" i="14"/>
  <c r="AA44" i="14"/>
  <c r="U44" i="14"/>
  <c r="I44" i="14"/>
  <c r="AG43" i="14"/>
  <c r="AA43" i="14"/>
  <c r="U43" i="14"/>
  <c r="I43" i="14"/>
  <c r="AG42" i="14"/>
  <c r="AA42" i="14"/>
  <c r="U42" i="14"/>
  <c r="I42" i="14"/>
  <c r="AG41" i="14"/>
  <c r="AA41" i="14"/>
  <c r="U41" i="14"/>
  <c r="I41" i="14"/>
  <c r="AG40" i="14"/>
  <c r="AA40" i="14"/>
  <c r="U40" i="14"/>
  <c r="I40" i="14"/>
  <c r="AG39" i="14"/>
  <c r="AA39" i="14"/>
  <c r="U39" i="14"/>
  <c r="I39" i="14"/>
  <c r="AG38" i="14"/>
  <c r="AA38" i="14"/>
  <c r="U38" i="14"/>
  <c r="I38" i="14"/>
  <c r="AG37" i="14"/>
  <c r="AA37" i="14"/>
  <c r="U37" i="14"/>
  <c r="I37" i="14"/>
  <c r="AG36" i="14"/>
  <c r="AA36" i="14"/>
  <c r="U36" i="14"/>
  <c r="I36" i="14"/>
  <c r="AG35" i="14"/>
  <c r="AA35" i="14"/>
  <c r="U35" i="14"/>
  <c r="I35" i="14"/>
  <c r="AG34" i="14"/>
  <c r="AA34" i="14"/>
  <c r="U34" i="14"/>
  <c r="I34" i="14"/>
  <c r="AG33" i="14"/>
  <c r="AA33" i="14"/>
  <c r="U33" i="14"/>
  <c r="I33" i="14"/>
  <c r="AG32" i="14"/>
  <c r="AA32" i="14"/>
  <c r="U32" i="14"/>
  <c r="I32" i="14"/>
  <c r="AG31" i="14"/>
  <c r="AA31" i="14"/>
  <c r="U31" i="14"/>
  <c r="I31" i="14"/>
  <c r="AG30" i="14"/>
  <c r="AA30" i="14"/>
  <c r="U30" i="14"/>
  <c r="I30" i="14"/>
  <c r="AG29" i="14"/>
  <c r="AA29" i="14"/>
  <c r="U29" i="14"/>
  <c r="I29" i="14"/>
  <c r="AG28" i="14"/>
  <c r="AA28" i="14"/>
  <c r="U28" i="14"/>
  <c r="I28" i="14"/>
  <c r="AG27" i="14"/>
  <c r="AA27" i="14"/>
  <c r="U27" i="14"/>
  <c r="I27" i="14"/>
  <c r="AG26" i="14"/>
  <c r="AA26" i="14"/>
  <c r="U26" i="14"/>
  <c r="I26" i="14"/>
  <c r="AG25" i="14"/>
  <c r="AA25" i="14"/>
  <c r="U25" i="14"/>
  <c r="I25" i="14"/>
  <c r="AG24" i="14"/>
  <c r="AA24" i="14"/>
  <c r="U24" i="14"/>
  <c r="I24" i="14"/>
  <c r="AG23" i="14"/>
  <c r="AA23" i="14"/>
  <c r="U23" i="14"/>
  <c r="I23" i="14"/>
  <c r="AG22" i="14"/>
  <c r="AA22" i="14"/>
  <c r="U22" i="14"/>
  <c r="I22" i="14"/>
  <c r="AG21" i="14"/>
  <c r="AA21" i="14"/>
  <c r="U21" i="14"/>
  <c r="I21" i="14"/>
  <c r="AG20" i="14"/>
  <c r="AA20" i="14"/>
  <c r="U20" i="14"/>
  <c r="I20" i="14"/>
  <c r="AG19" i="14"/>
  <c r="AA19" i="14"/>
  <c r="U19" i="14"/>
  <c r="I19" i="14"/>
  <c r="AG18" i="14"/>
  <c r="AA18" i="14"/>
  <c r="U18" i="14"/>
  <c r="I18" i="14"/>
  <c r="AG17" i="14"/>
  <c r="AA17" i="14"/>
  <c r="U17" i="14"/>
  <c r="I17" i="14"/>
  <c r="AG16" i="14"/>
  <c r="AA16" i="14"/>
  <c r="U16" i="14"/>
  <c r="I16" i="14"/>
  <c r="AG15" i="14"/>
  <c r="AA15" i="14"/>
  <c r="U15" i="14"/>
  <c r="I15" i="14"/>
  <c r="AG14" i="14"/>
  <c r="AA14" i="14"/>
  <c r="U14" i="14"/>
  <c r="I14" i="14"/>
  <c r="AG13" i="14"/>
  <c r="AA13" i="14"/>
  <c r="U13" i="14"/>
  <c r="I13" i="14"/>
  <c r="AG12" i="14"/>
  <c r="AA12" i="14"/>
  <c r="U12" i="14"/>
  <c r="I12" i="14"/>
  <c r="AG11" i="14"/>
  <c r="AA11" i="14"/>
  <c r="U11" i="14"/>
  <c r="I11" i="14"/>
  <c r="AG10" i="14"/>
  <c r="AA10" i="14"/>
  <c r="U10" i="14"/>
  <c r="I10" i="14"/>
  <c r="AG9" i="14"/>
  <c r="AA9" i="14"/>
  <c r="U9" i="14"/>
  <c r="I9" i="14"/>
  <c r="AG8" i="14"/>
  <c r="AA8" i="14"/>
  <c r="Z21" i="5" s="1"/>
  <c r="U8" i="14"/>
  <c r="I8" i="14"/>
  <c r="AG7" i="14"/>
  <c r="AA7" i="14"/>
  <c r="U7" i="14"/>
  <c r="I7" i="14"/>
  <c r="AG6" i="14"/>
  <c r="AA6" i="14"/>
  <c r="U6" i="14"/>
  <c r="I6" i="14"/>
  <c r="AG5" i="14"/>
  <c r="J40" i="5" s="1"/>
  <c r="AA5" i="14"/>
  <c r="Z44" i="5" s="1"/>
  <c r="U5" i="14"/>
  <c r="V68" i="5" s="1"/>
  <c r="I5" i="14"/>
  <c r="Q43" i="5" s="1"/>
  <c r="AA3" i="14"/>
  <c r="U3" i="14"/>
  <c r="I3" i="14"/>
  <c r="J33" i="5"/>
  <c r="H33" i="5"/>
  <c r="F33" i="5"/>
  <c r="K33" i="5" s="1"/>
  <c r="AC33" i="5" s="1"/>
  <c r="L315" i="1"/>
  <c r="T65" i="1"/>
  <c r="S65" i="1"/>
  <c r="T64" i="1"/>
  <c r="S64" i="1"/>
  <c r="T63" i="1"/>
  <c r="S63" i="1"/>
  <c r="T62" i="1"/>
  <c r="S62" i="1"/>
  <c r="T61" i="1"/>
  <c r="S61" i="1"/>
  <c r="T60" i="1"/>
  <c r="S60" i="1"/>
  <c r="T59" i="1"/>
  <c r="S59" i="1"/>
  <c r="T58" i="1"/>
  <c r="S58" i="1"/>
  <c r="T57" i="1"/>
  <c r="S57" i="1"/>
  <c r="T56" i="1"/>
  <c r="S56" i="1"/>
  <c r="T55" i="1"/>
  <c r="S55" i="1"/>
  <c r="T54" i="1"/>
  <c r="S54" i="1"/>
  <c r="T53" i="1"/>
  <c r="S53" i="1"/>
  <c r="T52" i="1"/>
  <c r="S52" i="1"/>
  <c r="T51" i="1"/>
  <c r="S51" i="1"/>
  <c r="T50" i="1"/>
  <c r="S50" i="1"/>
  <c r="T49" i="1"/>
  <c r="S49" i="1"/>
  <c r="T48" i="1"/>
  <c r="S48" i="1"/>
  <c r="T47" i="1"/>
  <c r="S47" i="1"/>
  <c r="T46" i="1"/>
  <c r="S46" i="1"/>
  <c r="T45" i="1"/>
  <c r="S45" i="1"/>
  <c r="T44" i="1"/>
  <c r="S44" i="1"/>
  <c r="T43" i="1"/>
  <c r="S43" i="1"/>
  <c r="T42" i="1"/>
  <c r="S42" i="1"/>
  <c r="T41" i="1"/>
  <c r="S41" i="1"/>
  <c r="T40" i="1"/>
  <c r="S40" i="1"/>
  <c r="T39" i="1"/>
  <c r="S39" i="1"/>
  <c r="T38" i="1"/>
  <c r="S38" i="1"/>
  <c r="T37" i="1"/>
  <c r="S37" i="1"/>
  <c r="T36" i="1"/>
  <c r="S36" i="1"/>
  <c r="T35" i="1"/>
  <c r="S35" i="1"/>
  <c r="T34" i="1"/>
  <c r="S34" i="1"/>
  <c r="T33" i="1"/>
  <c r="S33" i="1"/>
  <c r="T32" i="1"/>
  <c r="S32" i="1"/>
  <c r="T31" i="1"/>
  <c r="S31" i="1"/>
  <c r="T30" i="1"/>
  <c r="S30" i="1"/>
  <c r="T29" i="1"/>
  <c r="S29" i="1"/>
  <c r="T28" i="1"/>
  <c r="S28" i="1"/>
  <c r="T27" i="1"/>
  <c r="S27" i="1"/>
  <c r="T26" i="1"/>
  <c r="S26" i="1"/>
  <c r="T25" i="1"/>
  <c r="S25" i="1"/>
  <c r="T24" i="1"/>
  <c r="S24" i="1"/>
  <c r="T23" i="1"/>
  <c r="S23" i="1"/>
  <c r="T22" i="1"/>
  <c r="S22" i="1"/>
  <c r="T21" i="1"/>
  <c r="S21" i="1"/>
  <c r="T20" i="1"/>
  <c r="S20" i="1"/>
  <c r="S19" i="1"/>
  <c r="T18" i="1"/>
  <c r="S18" i="1"/>
  <c r="T17" i="1"/>
  <c r="S17" i="1"/>
  <c r="B17" i="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P15" i="1"/>
  <c r="N15" i="1" a="1"/>
  <c r="N15" i="1" s="1"/>
  <c r="D33" i="4"/>
  <c r="AN33" i="4" s="1"/>
  <c r="AK44" i="9" a="1"/>
  <c r="AK44" i="9" s="1"/>
  <c r="K55" i="4"/>
  <c r="AU44" i="9" a="1"/>
  <c r="AU44" i="9" s="1"/>
  <c r="AM46" i="9" a="1"/>
  <c r="AM46" i="9" s="1"/>
  <c r="BA46" i="9" a="1"/>
  <c r="BA46" i="9" s="1"/>
  <c r="AS44" i="9" a="1"/>
  <c r="AS44" i="9" s="1"/>
  <c r="BB45" i="9" a="1"/>
  <c r="BB45" i="9" s="1"/>
  <c r="AM44" i="9" a="1"/>
  <c r="AM44" i="9" s="1"/>
  <c r="BC45" i="9" a="1"/>
  <c r="BC45" i="9" s="1"/>
  <c r="G61" i="4"/>
  <c r="AV67" i="9" a="1"/>
  <c r="AV67" i="9" s="1"/>
  <c r="AH66" i="9" a="1"/>
  <c r="AH66" i="9" s="1"/>
  <c r="AX67" i="9" a="1"/>
  <c r="AX67" i="9" s="1"/>
  <c r="AG65" i="9" a="1"/>
  <c r="AG65" i="9" s="1"/>
  <c r="BD46" i="9" a="1"/>
  <c r="BD46" i="9" s="1"/>
  <c r="AO88" i="9" a="1"/>
  <c r="AO88" i="9" s="1"/>
  <c r="AT44" i="9" a="1"/>
  <c r="AT44" i="9"/>
  <c r="AH45" i="9" a="1"/>
  <c r="AH45" i="9" s="1"/>
  <c r="BC107" i="9" a="1"/>
  <c r="BC107" i="9" s="1"/>
  <c r="AS109" i="9" a="1"/>
  <c r="AS109" i="9"/>
  <c r="AN107" i="9" a="1"/>
  <c r="AN107" i="9"/>
  <c r="AJ107" i="9" a="1"/>
  <c r="AJ107" i="9" s="1"/>
  <c r="AU109" i="9" a="1"/>
  <c r="AU109" i="9" s="1"/>
  <c r="BA108" i="9" a="1"/>
  <c r="BA108" i="9" s="1"/>
  <c r="AU107" i="9" a="1"/>
  <c r="AU107" i="9" s="1"/>
  <c r="BA109" i="9" a="1"/>
  <c r="BA109" i="9" s="1"/>
  <c r="AG45" i="9" a="1"/>
  <c r="AG45" i="9" s="1"/>
  <c r="D49" i="4"/>
  <c r="AH49" i="4" s="1"/>
  <c r="K29" i="4"/>
  <c r="M34" i="16"/>
  <c r="K50" i="16"/>
  <c r="K54" i="16"/>
  <c r="K51" i="16"/>
  <c r="K31" i="16"/>
  <c r="AP14" i="12"/>
  <c r="Y69" i="5"/>
  <c r="Q20" i="5"/>
  <c r="AM65" i="9" a="1"/>
  <c r="AM65" i="9" s="1"/>
  <c r="AJ65" i="9" a="1"/>
  <c r="AJ65" i="9" s="1"/>
  <c r="AH65" i="9" a="1"/>
  <c r="AH65" i="9" s="1"/>
  <c r="AN65" i="9" a="1"/>
  <c r="AN65" i="9" s="1"/>
  <c r="BD25" i="9" a="1"/>
  <c r="BD25" i="9"/>
  <c r="AU23" i="9" a="1"/>
  <c r="AU23" i="9" s="1"/>
  <c r="AX23" i="9" a="1"/>
  <c r="AX23" i="9" s="1"/>
  <c r="AH23" i="9" a="1"/>
  <c r="AH23" i="9" s="1"/>
  <c r="AK23" i="9" a="1"/>
  <c r="AK23" i="9" s="1"/>
  <c r="AY23" i="9" a="1"/>
  <c r="AY23" i="9"/>
  <c r="P51" i="5"/>
  <c r="AG66" i="9" a="1"/>
  <c r="AG66" i="9"/>
  <c r="AR66" i="9" a="1"/>
  <c r="AR66" i="9" s="1"/>
  <c r="AG67" i="9" a="1"/>
  <c r="AG67" i="9" s="1"/>
  <c r="AP66" i="9" a="1"/>
  <c r="AP66" i="9" s="1"/>
  <c r="BD67" i="9" a="1"/>
  <c r="BD67" i="9" s="1"/>
  <c r="AI65" i="9" a="1"/>
  <c r="AI65" i="9" s="1"/>
  <c r="BA65" i="9" a="1"/>
  <c r="BA65" i="9" s="1"/>
  <c r="AT66" i="9" a="1"/>
  <c r="AT66" i="9"/>
  <c r="AY67" i="9" a="1"/>
  <c r="AY67" i="9" s="1"/>
  <c r="AX66" i="9" a="1"/>
  <c r="AX66" i="9" s="1"/>
  <c r="AY66" i="9" a="1"/>
  <c r="AY66" i="9"/>
  <c r="AS66" i="9" a="1"/>
  <c r="AS66" i="9" s="1"/>
  <c r="AR67" i="9" a="1"/>
  <c r="AR67" i="9"/>
  <c r="AZ66" i="9" a="1"/>
  <c r="AZ66" i="9" s="1"/>
  <c r="AJ67" i="9" a="1"/>
  <c r="AJ67" i="9" s="1"/>
  <c r="AI66" i="9" a="1"/>
  <c r="AI66" i="9"/>
  <c r="AM66" i="9" a="1"/>
  <c r="AM66" i="9"/>
  <c r="H69" i="5"/>
  <c r="BA67" i="9" a="1"/>
  <c r="BA67" i="9" s="1"/>
  <c r="AU66" i="9" a="1"/>
  <c r="AU66" i="9"/>
  <c r="AW67" i="9" a="1"/>
  <c r="AW67" i="9" s="1"/>
  <c r="AM67" i="9" a="1"/>
  <c r="AM67" i="9" s="1"/>
  <c r="BC25" i="9" a="1"/>
  <c r="BC25" i="9" s="1"/>
  <c r="AU108" i="9" a="1"/>
  <c r="AU108" i="9" s="1"/>
  <c r="AZ109" i="9" a="1"/>
  <c r="AZ109" i="9" s="1"/>
  <c r="AZ107" i="9" a="1"/>
  <c r="AZ107" i="9" s="1"/>
  <c r="AK107" i="9" a="1"/>
  <c r="AK107" i="9" s="1"/>
  <c r="AN109" i="9" a="1"/>
  <c r="AN109" i="9" s="1"/>
  <c r="AR109" i="9" a="1"/>
  <c r="AR109" i="9" s="1"/>
  <c r="AG108" i="9" a="1"/>
  <c r="AG108" i="9" s="1"/>
  <c r="H44" i="5"/>
  <c r="W30" i="5"/>
  <c r="Z61" i="5"/>
  <c r="BD66" i="9" a="1"/>
  <c r="BD66" i="9" s="1"/>
  <c r="AX65" i="9" a="1"/>
  <c r="AX65" i="9"/>
  <c r="AU67" i="9" a="1"/>
  <c r="AU67" i="9" s="1"/>
  <c r="BC129" i="9" a="1"/>
  <c r="BC129" i="9"/>
  <c r="AZ129" i="9" a="1"/>
  <c r="AZ129" i="9" s="1"/>
  <c r="V20" i="5"/>
  <c r="Y57" i="5"/>
  <c r="Q67" i="5"/>
  <c r="AO67" i="9" a="1"/>
  <c r="AO67" i="9" s="1"/>
  <c r="BD65" i="9" a="1"/>
  <c r="BD65" i="9"/>
  <c r="AI25" i="9" a="1"/>
  <c r="AI25" i="9" s="1"/>
  <c r="AT67" i="9" a="1"/>
  <c r="AT67" i="9"/>
  <c r="AO65" i="9" a="1"/>
  <c r="AO65" i="9" s="1"/>
  <c r="W51" i="5"/>
  <c r="AY65" i="9" a="1"/>
  <c r="AY65" i="9" s="1"/>
  <c r="AN66" i="9" a="1"/>
  <c r="AN66" i="9" s="1"/>
  <c r="AU24" i="9" a="1"/>
  <c r="AU24" i="9" s="1"/>
  <c r="F47" i="5"/>
  <c r="K47" i="5"/>
  <c r="H34" i="5"/>
  <c r="V48" i="5"/>
  <c r="J38" i="5"/>
  <c r="Z57" i="5"/>
  <c r="Y23" i="5"/>
  <c r="L53" i="16"/>
  <c r="AJ13" i="12"/>
  <c r="AI13" i="12" s="1"/>
  <c r="AP12" i="12"/>
  <c r="AO12" i="12" s="1"/>
  <c r="L51" i="16"/>
  <c r="L55" i="16"/>
  <c r="AY45" i="9" a="1"/>
  <c r="AY45" i="9" s="1"/>
  <c r="AL45" i="9" a="1"/>
  <c r="AL45" i="9" s="1"/>
  <c r="L49" i="16"/>
  <c r="R49" i="16" s="1"/>
  <c r="L56" i="16"/>
  <c r="K33" i="16"/>
  <c r="Q66" i="5"/>
  <c r="AP44" i="9" a="1"/>
  <c r="AP44" i="9" s="1"/>
  <c r="AY44" i="9" a="1"/>
  <c r="AY44" i="9" s="1"/>
  <c r="BB44" i="9" a="1"/>
  <c r="BB44" i="9" s="1"/>
  <c r="AX44" i="9" a="1"/>
  <c r="AX44" i="9" s="1"/>
  <c r="O33" i="16"/>
  <c r="AQ46" i="9" a="1"/>
  <c r="AQ46" i="9" s="1"/>
  <c r="AO46" i="9" a="1"/>
  <c r="AO46" i="9"/>
  <c r="Z14" i="3"/>
  <c r="BD45" i="9" a="1"/>
  <c r="BD45" i="9" s="1"/>
  <c r="BA44" i="9" a="1"/>
  <c r="BA44" i="9" s="1"/>
  <c r="AI45" i="9" a="1"/>
  <c r="AI45" i="9" s="1"/>
  <c r="AU46" i="9" a="1"/>
  <c r="AU46" i="9" s="1"/>
  <c r="Y32" i="5"/>
  <c r="AW87" i="9" a="1"/>
  <c r="AW87" i="9" s="1"/>
  <c r="AS46" i="9" a="1"/>
  <c r="AS46" i="9" s="1"/>
  <c r="K7" i="16"/>
  <c r="M31" i="16"/>
  <c r="Q38" i="5"/>
  <c r="AI129" i="9" a="1"/>
  <c r="AI129" i="9"/>
  <c r="AJ130" i="9" a="1"/>
  <c r="AJ130" i="9" s="1"/>
  <c r="BB128" i="9" a="1"/>
  <c r="BB128" i="9"/>
  <c r="AK128" i="9" a="1"/>
  <c r="AK128" i="9" s="1"/>
  <c r="AQ130" i="9" a="1"/>
  <c r="AQ130" i="9" s="1"/>
  <c r="AI130" i="9" a="1"/>
  <c r="AI130" i="9"/>
  <c r="AN129" i="9" a="1"/>
  <c r="AN129" i="9" s="1"/>
  <c r="AH130" i="9" a="1"/>
  <c r="AH130" i="9" s="1"/>
  <c r="AK130" i="9" a="1"/>
  <c r="AK130" i="9" s="1"/>
  <c r="AT128" i="9" a="1"/>
  <c r="AT128" i="9" s="1"/>
  <c r="AI128" i="9" a="1"/>
  <c r="AI128" i="9"/>
  <c r="AQ128" i="9" a="1"/>
  <c r="AQ128" i="9"/>
  <c r="AT129" i="9" a="1"/>
  <c r="AT129" i="9" s="1"/>
  <c r="AW129" i="9" a="1"/>
  <c r="AW129" i="9" s="1"/>
  <c r="AH128" i="9" a="1"/>
  <c r="AH128" i="9" s="1"/>
  <c r="AY130" i="9" a="1"/>
  <c r="AY130" i="9" s="1"/>
  <c r="AN130" i="9" a="1"/>
  <c r="AN130" i="9" s="1"/>
  <c r="BD129" i="9" a="1"/>
  <c r="BD129" i="9" s="1"/>
  <c r="AM129" i="9" a="1"/>
  <c r="AM129" i="9"/>
  <c r="AV129" i="9" a="1"/>
  <c r="AV129" i="9" s="1"/>
  <c r="BA128" i="9" a="1"/>
  <c r="BA128" i="9"/>
  <c r="AW130" i="9" a="1"/>
  <c r="AW130" i="9" s="1"/>
  <c r="AT130" i="9" a="1"/>
  <c r="AT130" i="9"/>
  <c r="AN128" i="9" a="1"/>
  <c r="AN128" i="9" s="1"/>
  <c r="AS130" i="9" a="1"/>
  <c r="AS130" i="9"/>
  <c r="AR130" i="9" a="1"/>
  <c r="AR130" i="9" s="1"/>
  <c r="AX130" i="9" a="1"/>
  <c r="AX130" i="9" s="1"/>
  <c r="BA129" i="9" a="1"/>
  <c r="BA129" i="9"/>
  <c r="AU130" i="9" a="1"/>
  <c r="AU130" i="9" s="1"/>
  <c r="AV128" i="9" a="1"/>
  <c r="AV128" i="9" s="1"/>
  <c r="AP129" i="9" a="1"/>
  <c r="AP129" i="9" s="1"/>
  <c r="AU129" i="9" a="1"/>
  <c r="AU129" i="9" s="1"/>
  <c r="AY128" i="9" a="1"/>
  <c r="AY128" i="9" s="1"/>
  <c r="AJ129" i="9" a="1"/>
  <c r="AJ129" i="9"/>
  <c r="AL128" i="9" a="1"/>
  <c r="AL128" i="9" s="1"/>
  <c r="AS129" i="9" a="1"/>
  <c r="AS129" i="9" s="1"/>
  <c r="AS128" i="9" a="1"/>
  <c r="AS128" i="9" s="1"/>
  <c r="AU128" i="9" a="1"/>
  <c r="AU128" i="9" s="1"/>
  <c r="BD130" i="9" a="1"/>
  <c r="BD130" i="9" s="1"/>
  <c r="AP128" i="9" a="1"/>
  <c r="AP128" i="9" s="1"/>
  <c r="BC128" i="9" a="1"/>
  <c r="BC128" i="9"/>
  <c r="BB130" i="9" a="1"/>
  <c r="BB130" i="9" s="1"/>
  <c r="AL130" i="9" a="1"/>
  <c r="AL130" i="9" s="1"/>
  <c r="AQ129" i="9" a="1"/>
  <c r="AQ129" i="9"/>
  <c r="AM128" i="9" a="1"/>
  <c r="AM128" i="9" s="1"/>
  <c r="AH129" i="9" a="1"/>
  <c r="AH129" i="9"/>
  <c r="AO130" i="9" a="1"/>
  <c r="AO130" i="9" s="1"/>
  <c r="BB129" i="9" a="1"/>
  <c r="BB129" i="9" s="1"/>
  <c r="K43" i="4"/>
  <c r="Q42" i="4"/>
  <c r="AC55" i="4"/>
  <c r="Y60" i="5"/>
  <c r="H65" i="5"/>
  <c r="J21" i="5"/>
  <c r="Y20" i="5"/>
  <c r="W20" i="5"/>
  <c r="V63" i="5"/>
  <c r="W64" i="5"/>
  <c r="Q54" i="5"/>
  <c r="W68" i="5"/>
  <c r="W57" i="5"/>
  <c r="V41" i="5"/>
  <c r="V30" i="5"/>
  <c r="W67" i="5"/>
  <c r="W21" i="5"/>
  <c r="V58" i="5"/>
  <c r="W40" i="5"/>
  <c r="W52" i="5"/>
  <c r="V52" i="5"/>
  <c r="V62" i="5"/>
  <c r="W27" i="5"/>
  <c r="P32" i="5"/>
  <c r="P69" i="5"/>
  <c r="P50" i="5"/>
  <c r="P64" i="5"/>
  <c r="Q53" i="5"/>
  <c r="V54" i="5"/>
  <c r="F66" i="5"/>
  <c r="K66" i="5" s="1"/>
  <c r="J27" i="5"/>
  <c r="Z20" i="5"/>
  <c r="Y63" i="5"/>
  <c r="Z56" i="5"/>
  <c r="K65" i="4"/>
  <c r="J36" i="5"/>
  <c r="F45" i="5"/>
  <c r="K45" i="5" s="1"/>
  <c r="F36" i="5"/>
  <c r="K36" i="5" s="1"/>
  <c r="AC36" i="5" s="1"/>
  <c r="J56" i="5"/>
  <c r="J61" i="5"/>
  <c r="J68" i="5"/>
  <c r="J34" i="5"/>
  <c r="H50" i="5"/>
  <c r="H49" i="5"/>
  <c r="H54" i="5"/>
  <c r="F22" i="5"/>
  <c r="K22" i="5" s="1"/>
  <c r="AC22" i="5" s="1"/>
  <c r="F43" i="5"/>
  <c r="K43" i="5"/>
  <c r="F30" i="5"/>
  <c r="K30" i="5" s="1"/>
  <c r="AC30" i="5" s="1"/>
  <c r="J42" i="5"/>
  <c r="J20" i="5"/>
  <c r="F61" i="5"/>
  <c r="K61" i="5" s="1"/>
  <c r="F25" i="5"/>
  <c r="K25" i="5" s="1"/>
  <c r="AC25" i="5" s="1"/>
  <c r="F67" i="5"/>
  <c r="K67" i="5"/>
  <c r="J54" i="5"/>
  <c r="F26" i="5"/>
  <c r="K26" i="5" s="1"/>
  <c r="H40" i="5"/>
  <c r="Z38" i="5"/>
  <c r="J28" i="5"/>
  <c r="F29" i="5"/>
  <c r="K29" i="5" s="1"/>
  <c r="AC29" i="5" s="1"/>
  <c r="Z64" i="5"/>
  <c r="Y61" i="5"/>
  <c r="Y65" i="5"/>
  <c r="V27" i="5"/>
  <c r="Q65" i="5"/>
  <c r="K49" i="4"/>
  <c r="F58" i="5"/>
  <c r="K58" i="5" s="1"/>
  <c r="Z39" i="5"/>
  <c r="F56" i="5"/>
  <c r="K56" i="5" s="1"/>
  <c r="H28" i="5"/>
  <c r="J29" i="5"/>
  <c r="Z49" i="5"/>
  <c r="Y37" i="5"/>
  <c r="V47" i="5"/>
  <c r="V65" i="5"/>
  <c r="W38" i="5"/>
  <c r="K51" i="4"/>
  <c r="BC130" i="9" a="1"/>
  <c r="BC130" i="9" s="1"/>
  <c r="AJ128" i="9" a="1"/>
  <c r="AJ128" i="9" s="1"/>
  <c r="AG130" i="9" a="1"/>
  <c r="AG130" i="9"/>
  <c r="AK129" i="9" a="1"/>
  <c r="AK129" i="9"/>
  <c r="Y41" i="5"/>
  <c r="Y66" i="5"/>
  <c r="Y54" i="5"/>
  <c r="Z54" i="5"/>
  <c r="Y40" i="5"/>
  <c r="Y53" i="5"/>
  <c r="Y30" i="5"/>
  <c r="Q42" i="5"/>
  <c r="P48" i="5"/>
  <c r="P34" i="5"/>
  <c r="BC108" i="9" a="1"/>
  <c r="BC108" i="9"/>
  <c r="AH107" i="9" a="1"/>
  <c r="AH107" i="9" s="1"/>
  <c r="AT109" i="9" a="1"/>
  <c r="AT109" i="9"/>
  <c r="AY108" i="9" a="1"/>
  <c r="AY108" i="9" s="1"/>
  <c r="AL108" i="9" a="1"/>
  <c r="AL108" i="9" s="1"/>
  <c r="AO108" i="9" a="1"/>
  <c r="AO108" i="9" s="1"/>
  <c r="AQ108" i="9" a="1"/>
  <c r="AQ108" i="9"/>
  <c r="AM108" i="9" a="1"/>
  <c r="AM108" i="9" s="1"/>
  <c r="AG109" i="9" a="1"/>
  <c r="AG109" i="9"/>
  <c r="AI107" i="9" a="1"/>
  <c r="AI107" i="9" s="1"/>
  <c r="AM107" i="9" a="1"/>
  <c r="AM107" i="9" s="1"/>
  <c r="BB109" i="9" a="1"/>
  <c r="BB109" i="9" s="1"/>
  <c r="AP107" i="9" a="1"/>
  <c r="AP107" i="9" s="1"/>
  <c r="BC109" i="9" a="1"/>
  <c r="BC109" i="9"/>
  <c r="AI109" i="9" a="1"/>
  <c r="AI109" i="9" s="1"/>
  <c r="AG107" i="9" a="1"/>
  <c r="AG107" i="9" s="1"/>
  <c r="AR108" i="9" a="1"/>
  <c r="AR108" i="9"/>
  <c r="BD109" i="9" a="1"/>
  <c r="BD109" i="9"/>
  <c r="AS108" i="9" a="1"/>
  <c r="AS108" i="9"/>
  <c r="BB107" i="9" a="1"/>
  <c r="BB107" i="9"/>
  <c r="AP109" i="9" a="1"/>
  <c r="AP109" i="9" s="1"/>
  <c r="AL107" i="9" a="1"/>
  <c r="AL107" i="9" s="1"/>
  <c r="AM109" i="9" a="1"/>
  <c r="AM109" i="9"/>
  <c r="AH108" i="9" a="1"/>
  <c r="AH108" i="9" s="1"/>
  <c r="AI108" i="9" a="1"/>
  <c r="AI108" i="9" s="1"/>
  <c r="AW109" i="9" a="1"/>
  <c r="AW109" i="9" s="1"/>
  <c r="AQ107" i="9" a="1"/>
  <c r="AQ107" i="9" s="1"/>
  <c r="AL109" i="9" a="1"/>
  <c r="AL109" i="9" s="1"/>
  <c r="AR107" i="9" a="1"/>
  <c r="AR107" i="9"/>
  <c r="AS107" i="9" a="1"/>
  <c r="AS107" i="9"/>
  <c r="AW108" i="9" a="1"/>
  <c r="AW108" i="9"/>
  <c r="AH109" i="9" a="1"/>
  <c r="AH109" i="9" s="1"/>
  <c r="AJ109" i="9" a="1"/>
  <c r="AJ109" i="9" s="1"/>
  <c r="AY107" i="9" a="1"/>
  <c r="AY107" i="9" s="1"/>
  <c r="AZ108" i="9" a="1"/>
  <c r="AZ108" i="9" s="1"/>
  <c r="Y43" i="5"/>
  <c r="Y29" i="5"/>
  <c r="Z63" i="5"/>
  <c r="Y26" i="5"/>
  <c r="Z42" i="5"/>
  <c r="Y68" i="5"/>
  <c r="Z53" i="5"/>
  <c r="P38" i="5"/>
  <c r="P63" i="5"/>
  <c r="Q24" i="5"/>
  <c r="AN23" i="9" a="1"/>
  <c r="AN23" i="9" s="1"/>
  <c r="AM24" i="9" a="1"/>
  <c r="AM24" i="9" s="1"/>
  <c r="AG9" i="9"/>
  <c r="BB24" i="9" a="1"/>
  <c r="BB24" i="9"/>
  <c r="AV24" i="9" a="1"/>
  <c r="AV24" i="9"/>
  <c r="AX24" i="9" a="1"/>
  <c r="AX24" i="9" s="1"/>
  <c r="AP23" i="9" a="1"/>
  <c r="AP23" i="9" s="1"/>
  <c r="AK24" i="9" a="1"/>
  <c r="AK24" i="9"/>
  <c r="AT23" i="9" a="1"/>
  <c r="AT23" i="9" s="1"/>
  <c r="BB23" i="9" a="1"/>
  <c r="BB23" i="9" s="1"/>
  <c r="AO25" i="9" a="1"/>
  <c r="AO25" i="9"/>
  <c r="AW24" i="9" a="1"/>
  <c r="AW24" i="9" s="1"/>
  <c r="AT25" i="9" a="1"/>
  <c r="AT25" i="9" s="1"/>
  <c r="BC24" i="9" a="1"/>
  <c r="BC24" i="9" s="1"/>
  <c r="AV25" i="9" a="1"/>
  <c r="AV25" i="9" s="1"/>
  <c r="AP24" i="9" a="1"/>
  <c r="AP24" i="9"/>
  <c r="AY25" i="9" a="1"/>
  <c r="AY25" i="9" s="1"/>
  <c r="AK25" i="9" a="1"/>
  <c r="AK25" i="9"/>
  <c r="AQ24" i="9" a="1"/>
  <c r="AQ24" i="9" s="1"/>
  <c r="AH24" i="9" a="1"/>
  <c r="AH24" i="9" s="1"/>
  <c r="AY24" i="9" a="1"/>
  <c r="AY24" i="9" s="1"/>
  <c r="AQ25" i="9" a="1"/>
  <c r="AQ25" i="9"/>
  <c r="AR23" i="9" a="1"/>
  <c r="AR23" i="9"/>
  <c r="AR25" i="9" a="1"/>
  <c r="AR25" i="9" s="1"/>
  <c r="BD23" i="9" a="1"/>
  <c r="BD23" i="9" s="1"/>
  <c r="AG23" i="9" a="1"/>
  <c r="AG23" i="9" s="1"/>
  <c r="AM23" i="9" a="1"/>
  <c r="AM23" i="9" s="1"/>
  <c r="AU25" i="9" a="1"/>
  <c r="AU25" i="9" s="1"/>
  <c r="AV23" i="9" a="1"/>
  <c r="AV23" i="9"/>
  <c r="BD24" i="9" a="1"/>
  <c r="BD24" i="9" s="1"/>
  <c r="AS25" i="9" a="1"/>
  <c r="AS25" i="9" s="1"/>
  <c r="BC23" i="9" a="1"/>
  <c r="BC23" i="9"/>
  <c r="AL25" i="9" a="1"/>
  <c r="AL25" i="9"/>
  <c r="AW25" i="9" a="1"/>
  <c r="AW25" i="9"/>
  <c r="AL23" i="9" a="1"/>
  <c r="AL23" i="9"/>
  <c r="AG25" i="9" a="1"/>
  <c r="AG25" i="9"/>
  <c r="AH25" i="9" a="1"/>
  <c r="AH25" i="9" s="1"/>
  <c r="AR24" i="9" a="1"/>
  <c r="AR24" i="9"/>
  <c r="AI24" i="9" a="1"/>
  <c r="AI24" i="9" s="1"/>
  <c r="S59" i="5"/>
  <c r="S52" i="5"/>
  <c r="S60" i="5"/>
  <c r="S54" i="5"/>
  <c r="W46" i="4"/>
  <c r="W38" i="4"/>
  <c r="Z50" i="5"/>
  <c r="Z22" i="5"/>
  <c r="Y45" i="5"/>
  <c r="Z52" i="5"/>
  <c r="Y44" i="5"/>
  <c r="Y21" i="5"/>
  <c r="Z26" i="5"/>
  <c r="Y62" i="5"/>
  <c r="Z23" i="5"/>
  <c r="P54" i="5"/>
  <c r="Q31" i="5"/>
  <c r="P41" i="5"/>
  <c r="Q34" i="5"/>
  <c r="AZ25" i="9" a="1"/>
  <c r="AZ25" i="9"/>
  <c r="Z41" i="5"/>
  <c r="Z29" i="5"/>
  <c r="Y31" i="5"/>
  <c r="Z68" i="5"/>
  <c r="Z24" i="5"/>
  <c r="Y42" i="5"/>
  <c r="Z51" i="5"/>
  <c r="Z69" i="5"/>
  <c r="Q56" i="5"/>
  <c r="Q51" i="5"/>
  <c r="Q30" i="5"/>
  <c r="Q48" i="5"/>
  <c r="AM45" i="9" a="1"/>
  <c r="AM45" i="9" s="1"/>
  <c r="AR44" i="9" a="1"/>
  <c r="AR44" i="9" s="1"/>
  <c r="BA45" i="9" a="1"/>
  <c r="BA45" i="9" s="1"/>
  <c r="AX46" i="9" a="1"/>
  <c r="AX46" i="9" s="1"/>
  <c r="BD44" i="9" a="1"/>
  <c r="BD44" i="9" s="1"/>
  <c r="N35" i="16"/>
  <c r="N31" i="16"/>
  <c r="N32" i="16"/>
  <c r="S58" i="5"/>
  <c r="N25" i="5"/>
  <c r="S37" i="5"/>
  <c r="S48" i="5"/>
  <c r="T20" i="5"/>
  <c r="K8" i="16"/>
  <c r="E20" i="16" s="1"/>
  <c r="L52" i="16"/>
  <c r="T57" i="5"/>
  <c r="S61" i="5"/>
  <c r="O55" i="16"/>
  <c r="T36" i="5"/>
  <c r="T58" i="5"/>
  <c r="T32" i="5"/>
  <c r="O49" i="16"/>
  <c r="L33" i="16"/>
  <c r="T68" i="5"/>
  <c r="S57" i="5"/>
  <c r="T50" i="5"/>
  <c r="T53" i="5"/>
  <c r="T34" i="5"/>
  <c r="S25" i="5"/>
  <c r="S20" i="5"/>
  <c r="S40" i="5"/>
  <c r="C47" i="22"/>
  <c r="Q45" i="5"/>
  <c r="P65" i="5"/>
  <c r="Q35" i="5"/>
  <c r="Q28" i="5"/>
  <c r="P30" i="5"/>
  <c r="Q23" i="5"/>
  <c r="P59" i="5"/>
  <c r="P36" i="5"/>
  <c r="AQ109" i="9" a="1"/>
  <c r="AQ109" i="9"/>
  <c r="BD108" i="9" a="1"/>
  <c r="BD108" i="9"/>
  <c r="AV107" i="9" a="1"/>
  <c r="AV107" i="9" s="1"/>
  <c r="Q25" i="5"/>
  <c r="P27" i="5"/>
  <c r="P52" i="5"/>
  <c r="P43" i="5"/>
  <c r="P68" i="5"/>
  <c r="AQ67" i="9" a="1"/>
  <c r="AQ67" i="9"/>
  <c r="AZ65" i="9" a="1"/>
  <c r="AZ65" i="9" s="1"/>
  <c r="BC66" i="9" a="1"/>
  <c r="BC66" i="9"/>
  <c r="AH67" i="9" a="1"/>
  <c r="AH67" i="9" s="1"/>
  <c r="AT65" i="9" a="1"/>
  <c r="AT65" i="9"/>
  <c r="AQ66" i="9" a="1"/>
  <c r="AQ66" i="9" s="1"/>
  <c r="AQ65" i="9" a="1"/>
  <c r="AQ65" i="9"/>
  <c r="AK66" i="9" a="1"/>
  <c r="AK66" i="9" s="1"/>
  <c r="AJ66" i="9" a="1"/>
  <c r="AJ66" i="9" s="1"/>
  <c r="AK67" i="9" a="1"/>
  <c r="AK67" i="9" s="1"/>
  <c r="Q29" i="5"/>
  <c r="P49" i="5"/>
  <c r="P67" i="5"/>
  <c r="P56" i="5"/>
  <c r="Q64" i="5"/>
  <c r="Q57" i="5"/>
  <c r="AJ24" i="9" a="1"/>
  <c r="AJ24" i="9"/>
  <c r="AG24" i="9" a="1"/>
  <c r="AG24" i="9" s="1"/>
  <c r="BA24" i="9" a="1"/>
  <c r="BA24" i="9" s="1"/>
  <c r="AN24" i="9" a="1"/>
  <c r="AN24" i="9" s="1"/>
  <c r="BA25" i="9" a="1"/>
  <c r="BA25" i="9"/>
  <c r="AT24" i="9" a="1"/>
  <c r="AT24" i="9" s="1"/>
  <c r="AP25" i="9" a="1"/>
  <c r="AP25" i="9" s="1"/>
  <c r="AO23" i="9" a="1"/>
  <c r="AO23" i="9"/>
  <c r="AS24" i="9" a="1"/>
  <c r="AS24" i="9" s="1"/>
  <c r="AJ23" i="9" a="1"/>
  <c r="AJ23" i="9" s="1"/>
  <c r="AQ23" i="9" a="1"/>
  <c r="AQ23" i="9" s="1"/>
  <c r="AO24" i="9" a="1"/>
  <c r="AO24" i="9" s="1"/>
  <c r="AZ23" i="9" a="1"/>
  <c r="AZ23" i="9" s="1"/>
  <c r="AT88" i="9" a="1"/>
  <c r="AT88" i="9" s="1"/>
  <c r="P40" i="5"/>
  <c r="P66" i="5"/>
  <c r="M35" i="5"/>
  <c r="M68" i="5"/>
  <c r="N40" i="5"/>
  <c r="M56" i="5"/>
  <c r="M42" i="5"/>
  <c r="M28" i="5"/>
  <c r="N64" i="5"/>
  <c r="N50" i="5"/>
  <c r="N67" i="5"/>
  <c r="N41" i="5"/>
  <c r="M23" i="5"/>
  <c r="N59" i="5"/>
  <c r="M43" i="5"/>
  <c r="N63" i="5"/>
  <c r="N65" i="5"/>
  <c r="N38" i="5"/>
  <c r="N68" i="5"/>
  <c r="M37" i="5"/>
  <c r="M49" i="5"/>
  <c r="O53" i="16"/>
  <c r="K34" i="16"/>
  <c r="N34" i="16"/>
  <c r="N33" i="16"/>
  <c r="K32" i="16"/>
  <c r="M52" i="16"/>
  <c r="M51" i="16"/>
  <c r="M56" i="16"/>
  <c r="M49" i="16"/>
  <c r="M53" i="16"/>
  <c r="K49" i="16"/>
  <c r="K55" i="16"/>
  <c r="K53" i="16"/>
  <c r="R53" i="16" s="1"/>
  <c r="K56" i="16"/>
  <c r="R56" i="16" s="1"/>
  <c r="N56" i="16"/>
  <c r="N52" i="16"/>
  <c r="N50" i="16"/>
  <c r="N53" i="16"/>
  <c r="M51" i="5"/>
  <c r="L34" i="16"/>
  <c r="L35" i="16"/>
  <c r="L31" i="16"/>
  <c r="O50" i="16"/>
  <c r="O56" i="16"/>
  <c r="O51" i="16"/>
  <c r="O54" i="16"/>
  <c r="M32" i="16"/>
  <c r="M50" i="5"/>
  <c r="N35" i="5"/>
  <c r="M63" i="5"/>
  <c r="M61" i="5"/>
  <c r="N30" i="5"/>
  <c r="N60" i="5"/>
  <c r="N58" i="5"/>
  <c r="M69" i="5"/>
  <c r="M36" i="5"/>
  <c r="N37" i="5"/>
  <c r="S67" i="5"/>
  <c r="T40" i="5"/>
  <c r="T27" i="5"/>
  <c r="T45" i="5"/>
  <c r="T47" i="5"/>
  <c r="S49" i="5"/>
  <c r="AJ11" i="12"/>
  <c r="AI11" i="12"/>
  <c r="AF11" i="12" s="1"/>
  <c r="AP11" i="12"/>
  <c r="AO11" i="12" s="1"/>
  <c r="AL11" i="12" s="1"/>
  <c r="M33" i="16"/>
  <c r="M34" i="5"/>
  <c r="M65" i="5"/>
  <c r="M31" i="5"/>
  <c r="M45" i="5"/>
  <c r="M59" i="5"/>
  <c r="N28" i="5"/>
  <c r="N42" i="5"/>
  <c r="M53" i="5"/>
  <c r="N54" i="5"/>
  <c r="N21" i="5"/>
  <c r="T38" i="5"/>
  <c r="S22" i="5"/>
  <c r="T59" i="5"/>
  <c r="S27" i="5"/>
  <c r="S29" i="5"/>
  <c r="N52" i="5"/>
  <c r="M64" i="5"/>
  <c r="N49" i="5"/>
  <c r="N47" i="5"/>
  <c r="N61" i="5"/>
  <c r="N43" i="5"/>
  <c r="M54" i="5"/>
  <c r="N55" i="5"/>
  <c r="N22" i="5"/>
  <c r="N36" i="5"/>
  <c r="M48" i="5"/>
  <c r="M46" i="5"/>
  <c r="N31" i="5"/>
  <c r="N45" i="5"/>
  <c r="M57" i="5"/>
  <c r="M38" i="5"/>
  <c r="N39" i="5"/>
  <c r="M67" i="5"/>
  <c r="S50" i="5"/>
  <c r="T23" i="5"/>
  <c r="S39" i="5"/>
  <c r="T44" i="5"/>
  <c r="T46" i="5"/>
  <c r="T64" i="5"/>
  <c r="N20" i="5"/>
  <c r="M32" i="5"/>
  <c r="M30" i="5"/>
  <c r="M44" i="5"/>
  <c r="N29" i="5"/>
  <c r="M41" i="5"/>
  <c r="N56" i="5"/>
  <c r="N23" i="5"/>
  <c r="T21" i="5"/>
  <c r="T55" i="5"/>
  <c r="T26" i="5"/>
  <c r="S26" i="5"/>
  <c r="S28" i="5"/>
  <c r="S46" i="5"/>
  <c r="S65" i="5"/>
  <c r="S30" i="5"/>
  <c r="T63" i="5"/>
  <c r="T62" i="5"/>
  <c r="T61" i="5"/>
  <c r="T60" i="5"/>
  <c r="T43" i="5"/>
  <c r="S55" i="5"/>
  <c r="T56" i="5"/>
  <c r="T39" i="5"/>
  <c r="T22" i="5"/>
  <c r="S66" i="5"/>
  <c r="T67" i="5"/>
  <c r="T48" i="5"/>
  <c r="T31" i="5"/>
  <c r="T30" i="5"/>
  <c r="T29" i="5"/>
  <c r="T28" i="5"/>
  <c r="S56" i="5"/>
  <c r="S23" i="5"/>
  <c r="T24" i="5"/>
  <c r="S68" i="5"/>
  <c r="S51" i="5"/>
  <c r="S34" i="5"/>
  <c r="T25" i="5"/>
  <c r="T35" i="5"/>
  <c r="T49" i="5"/>
  <c r="S31" i="5"/>
  <c r="S63" i="5"/>
  <c r="T65" i="5"/>
  <c r="S47" i="5"/>
  <c r="S24" i="5"/>
  <c r="T41" i="5"/>
  <c r="S53" i="5"/>
  <c r="S36" i="5"/>
  <c r="T69" i="5"/>
  <c r="T52" i="5"/>
  <c r="S64" i="5"/>
  <c r="S62" i="5"/>
  <c r="S45" i="5"/>
  <c r="S44" i="5"/>
  <c r="S43" i="5"/>
  <c r="S42" i="5"/>
  <c r="S41" i="5"/>
  <c r="T42" i="5"/>
  <c r="S38" i="5"/>
  <c r="S21" i="5"/>
  <c r="T54" i="5"/>
  <c r="T37" i="5"/>
  <c r="N69" i="5"/>
  <c r="M20" i="5"/>
  <c r="M21" i="5"/>
  <c r="M22" i="5"/>
  <c r="M40" i="5"/>
  <c r="N44" i="5"/>
  <c r="M27" i="5"/>
  <c r="M60" i="5"/>
  <c r="N48" i="5"/>
  <c r="M47" i="5"/>
  <c r="M25" i="5"/>
  <c r="M39" i="5"/>
  <c r="N57" i="5"/>
  <c r="M55" i="5"/>
  <c r="N26" i="5"/>
  <c r="N27" i="5"/>
  <c r="M58" i="5"/>
  <c r="N46" i="5"/>
  <c r="M29" i="5"/>
  <c r="M62" i="5"/>
  <c r="N66" i="5"/>
  <c r="M66" i="5"/>
  <c r="N51" i="5"/>
  <c r="N34" i="5"/>
  <c r="N32" i="5"/>
  <c r="N62" i="5"/>
  <c r="M26" i="5"/>
  <c r="M24" i="5"/>
  <c r="N24" i="5"/>
  <c r="M52" i="5"/>
  <c r="N53" i="5"/>
  <c r="S35" i="5"/>
  <c r="S69" i="5"/>
  <c r="T66" i="5"/>
  <c r="S32" i="5"/>
  <c r="T51" i="5"/>
  <c r="R50" i="16"/>
  <c r="V50" i="16" s="1"/>
  <c r="R33" i="16"/>
  <c r="U33" i="16" s="1"/>
  <c r="R55" i="16"/>
  <c r="V55" i="16" s="1"/>
  <c r="V33" i="16"/>
  <c r="R32" i="16"/>
  <c r="V32" i="16"/>
  <c r="U32" i="16"/>
  <c r="H31" i="4" l="1"/>
  <c r="D23" i="4"/>
  <c r="AH23" i="4" s="1"/>
  <c r="G22" i="4"/>
  <c r="U56" i="16"/>
  <c r="V56" i="16"/>
  <c r="U53" i="16"/>
  <c r="V53" i="16"/>
  <c r="V49" i="16"/>
  <c r="U49" i="16"/>
  <c r="K6" i="16"/>
  <c r="P23" i="5"/>
  <c r="P33" i="5"/>
  <c r="Q60" i="5"/>
  <c r="Q27" i="5"/>
  <c r="Y22" i="5"/>
  <c r="Z35" i="5"/>
  <c r="Z59" i="5"/>
  <c r="W66" i="5"/>
  <c r="Z66" i="5"/>
  <c r="F54" i="5"/>
  <c r="K54" i="5" s="1"/>
  <c r="AA54" i="5" s="1"/>
  <c r="AB54" i="5" s="1"/>
  <c r="F37" i="5"/>
  <c r="K37" i="5" s="1"/>
  <c r="F40" i="5"/>
  <c r="K40" i="5" s="1"/>
  <c r="H36" i="5"/>
  <c r="H29" i="5"/>
  <c r="Z48" i="5"/>
  <c r="P29" i="5"/>
  <c r="AA29" i="5" s="1"/>
  <c r="V40" i="5"/>
  <c r="W23" i="5"/>
  <c r="V21" i="5"/>
  <c r="W63" i="5"/>
  <c r="J41" i="5"/>
  <c r="Z31" i="5"/>
  <c r="Y27" i="5"/>
  <c r="AI44" i="9" a="1"/>
  <c r="AI44" i="9" s="1"/>
  <c r="AR46" i="9" a="1"/>
  <c r="AR46" i="9" s="1"/>
  <c r="BC87" i="9" a="1"/>
  <c r="BC87" i="9" s="1"/>
  <c r="BA88" i="9" a="1"/>
  <c r="BA88" i="9" s="1"/>
  <c r="AG87" i="9" a="1"/>
  <c r="AG87" i="9" s="1"/>
  <c r="AU87" i="9" a="1"/>
  <c r="AU87" i="9" s="1"/>
  <c r="AT86" i="9" a="1"/>
  <c r="AT86" i="9" s="1"/>
  <c r="AZ86" i="9" a="1"/>
  <c r="AZ86" i="9" s="1"/>
  <c r="AS88" i="9" a="1"/>
  <c r="AS88" i="9" s="1"/>
  <c r="AR88" i="9" a="1"/>
  <c r="AR88" i="9" s="1"/>
  <c r="AP87" i="9" a="1"/>
  <c r="AP87" i="9" s="1"/>
  <c r="AP86" i="9" a="1"/>
  <c r="AP86" i="9" s="1"/>
  <c r="AY87" i="9" a="1"/>
  <c r="AY87" i="9" s="1"/>
  <c r="AG88" i="9" a="1"/>
  <c r="AG88" i="9" s="1"/>
  <c r="AK86" i="9" a="1"/>
  <c r="AK86" i="9" s="1"/>
  <c r="AI87" i="9" a="1"/>
  <c r="AI87" i="9" s="1"/>
  <c r="AV88" i="9" a="1"/>
  <c r="AV88" i="9" s="1"/>
  <c r="AG86" i="9" a="1"/>
  <c r="AG86" i="9" s="1"/>
  <c r="BB86" i="9" a="1"/>
  <c r="BB86" i="9" s="1"/>
  <c r="BB87" i="9" a="1"/>
  <c r="BB87" i="9" s="1"/>
  <c r="Q46" i="5"/>
  <c r="Q63" i="5"/>
  <c r="Q69" i="5"/>
  <c r="Z36" i="5"/>
  <c r="Q37" i="5"/>
  <c r="Y24" i="5"/>
  <c r="Q50" i="5"/>
  <c r="F20" i="5"/>
  <c r="K20" i="5" s="1"/>
  <c r="J69" i="5"/>
  <c r="F53" i="5"/>
  <c r="K53" i="5" s="1"/>
  <c r="H47" i="5"/>
  <c r="H24" i="5"/>
  <c r="H22" i="5"/>
  <c r="J62" i="5"/>
  <c r="P57" i="5"/>
  <c r="V51" i="5"/>
  <c r="V59" i="5"/>
  <c r="Y48" i="5"/>
  <c r="V44" i="5"/>
  <c r="Y58" i="5"/>
  <c r="J23" i="5"/>
  <c r="AH44" i="9" a="1"/>
  <c r="AH44" i="9" s="1"/>
  <c r="AT45" i="9" a="1"/>
  <c r="AT45" i="9" s="1"/>
  <c r="AU86" i="9" a="1"/>
  <c r="AU86" i="9" s="1"/>
  <c r="AR87" i="9" a="1"/>
  <c r="AR87" i="9" s="1"/>
  <c r="BD86" i="9" a="1"/>
  <c r="BD86" i="9" s="1"/>
  <c r="Q33" i="5"/>
  <c r="AO87" i="9" a="1"/>
  <c r="AO87" i="9" s="1"/>
  <c r="P31" i="5"/>
  <c r="P55" i="5"/>
  <c r="Q61" i="5"/>
  <c r="Q40" i="5"/>
  <c r="Y52" i="5"/>
  <c r="Q47" i="5"/>
  <c r="Y50" i="5"/>
  <c r="Q55" i="5"/>
  <c r="H58" i="5"/>
  <c r="H55" i="5"/>
  <c r="J63" i="5"/>
  <c r="F65" i="5"/>
  <c r="K65" i="5" s="1"/>
  <c r="AA65" i="5" s="1"/>
  <c r="AB65" i="5" s="1"/>
  <c r="F63" i="5"/>
  <c r="K63" i="5" s="1"/>
  <c r="AA63" i="5" s="1"/>
  <c r="AB63" i="5" s="1"/>
  <c r="Q21" i="5"/>
  <c r="V60" i="5"/>
  <c r="AJ44" i="9" a="1"/>
  <c r="AJ44" i="9" s="1"/>
  <c r="J51" i="5"/>
  <c r="AY46" i="9" a="1"/>
  <c r="AY46" i="9" s="1"/>
  <c r="P58" i="5"/>
  <c r="H52" i="5"/>
  <c r="W41" i="5"/>
  <c r="H35" i="5"/>
  <c r="J32" i="5"/>
  <c r="J49" i="5"/>
  <c r="H67" i="5"/>
  <c r="Q39" i="5"/>
  <c r="Y67" i="5"/>
  <c r="V29" i="5"/>
  <c r="W28" i="5"/>
  <c r="W56" i="5"/>
  <c r="Z32" i="5"/>
  <c r="V43" i="5"/>
  <c r="AA43" i="5" s="1"/>
  <c r="AB43" i="5" s="1"/>
  <c r="AY86" i="9" a="1"/>
  <c r="AY86" i="9" s="1"/>
  <c r="BC88" i="9" a="1"/>
  <c r="BC88" i="9" s="1"/>
  <c r="H31" i="5"/>
  <c r="Z47" i="5"/>
  <c r="AZ45" i="9" a="1"/>
  <c r="AZ45" i="9" s="1"/>
  <c r="AP46" i="9" a="1"/>
  <c r="AP46" i="9" s="1"/>
  <c r="U50" i="16"/>
  <c r="AA58" i="5"/>
  <c r="AB58" i="5" s="1"/>
  <c r="AJ88" i="9" a="1"/>
  <c r="AJ88" i="9" s="1"/>
  <c r="BA87" i="9" a="1"/>
  <c r="BA87" i="9" s="1"/>
  <c r="P25" i="5"/>
  <c r="Q22" i="5"/>
  <c r="Q41" i="5"/>
  <c r="H43" i="5"/>
  <c r="W42" i="5"/>
  <c r="F39" i="5"/>
  <c r="K39" i="5" s="1"/>
  <c r="H60" i="5"/>
  <c r="F21" i="5"/>
  <c r="K21" i="5" s="1"/>
  <c r="V35" i="5"/>
  <c r="Y25" i="5"/>
  <c r="W54" i="5"/>
  <c r="V53" i="5"/>
  <c r="V22" i="5"/>
  <c r="J52" i="5"/>
  <c r="Y33" i="5"/>
  <c r="J25" i="5"/>
  <c r="J39" i="5"/>
  <c r="BD88" i="9" a="1"/>
  <c r="BD88" i="9" s="1"/>
  <c r="V36" i="5"/>
  <c r="AA36" i="5" s="1"/>
  <c r="AN45" i="9" a="1"/>
  <c r="AN45" i="9" s="1"/>
  <c r="P62" i="5"/>
  <c r="P45" i="5"/>
  <c r="AA45" i="5" s="1"/>
  <c r="AB45" i="5" s="1"/>
  <c r="J64" i="5"/>
  <c r="V33" i="5"/>
  <c r="F49" i="5"/>
  <c r="K49" i="5" s="1"/>
  <c r="J48" i="5"/>
  <c r="J30" i="5"/>
  <c r="H37" i="5"/>
  <c r="J67" i="5"/>
  <c r="W24" i="5"/>
  <c r="J58" i="5"/>
  <c r="V31" i="5"/>
  <c r="W32" i="5"/>
  <c r="V23" i="5"/>
  <c r="H41" i="5"/>
  <c r="J35" i="5"/>
  <c r="V28" i="5"/>
  <c r="AV44" i="9" a="1"/>
  <c r="AV44" i="9" s="1"/>
  <c r="AA30" i="5"/>
  <c r="AB30" i="5" s="1"/>
  <c r="AN86" i="9" a="1"/>
  <c r="AN86" i="9" s="1"/>
  <c r="Z55" i="5"/>
  <c r="V45" i="5"/>
  <c r="W22" i="5"/>
  <c r="J65" i="5"/>
  <c r="J44" i="5"/>
  <c r="W36" i="5"/>
  <c r="W33" i="5"/>
  <c r="V50" i="5"/>
  <c r="V32" i="5"/>
  <c r="H66" i="5"/>
  <c r="F34" i="5"/>
  <c r="K34" i="5" s="1"/>
  <c r="J50" i="5"/>
  <c r="Z46" i="5"/>
  <c r="AN87" i="9" a="1"/>
  <c r="AN87" i="9" s="1"/>
  <c r="AM88" i="9" a="1"/>
  <c r="AM88" i="9" s="1"/>
  <c r="P21" i="5"/>
  <c r="AI88" i="9" a="1"/>
  <c r="AI88" i="9" s="1"/>
  <c r="F55" i="5"/>
  <c r="K55" i="5" s="1"/>
  <c r="F52" i="5"/>
  <c r="K52" i="5" s="1"/>
  <c r="AA52" i="5" s="1"/>
  <c r="AB52" i="5" s="1"/>
  <c r="F35" i="5"/>
  <c r="K35" i="5" s="1"/>
  <c r="H46" i="5"/>
  <c r="H51" i="5"/>
  <c r="Y64" i="5"/>
  <c r="P24" i="5"/>
  <c r="W26" i="5"/>
  <c r="W59" i="5"/>
  <c r="W48" i="5"/>
  <c r="H64" i="5"/>
  <c r="F69" i="5"/>
  <c r="K69" i="5" s="1"/>
  <c r="AO86" i="9" a="1"/>
  <c r="AO86" i="9" s="1"/>
  <c r="AL87" i="9" a="1"/>
  <c r="AL87" i="9" s="1"/>
  <c r="F62" i="5"/>
  <c r="K62" i="5" s="1"/>
  <c r="AA62" i="5" s="1"/>
  <c r="AB62" i="5" s="1"/>
  <c r="W61" i="5"/>
  <c r="J66" i="5"/>
  <c r="AI86" i="9" a="1"/>
  <c r="AI86" i="9" s="1"/>
  <c r="V25" i="5"/>
  <c r="AA25" i="5" s="1"/>
  <c r="P22" i="5"/>
  <c r="AA22" i="5" s="1"/>
  <c r="Q59" i="5"/>
  <c r="P26" i="5"/>
  <c r="P60" i="5"/>
  <c r="Q36" i="5"/>
  <c r="P28" i="5"/>
  <c r="P44" i="5"/>
  <c r="P47" i="5"/>
  <c r="AA47" i="5" s="1"/>
  <c r="AB47" i="5" s="1"/>
  <c r="P39" i="5"/>
  <c r="Q62" i="5"/>
  <c r="Q26" i="5"/>
  <c r="P35" i="5"/>
  <c r="Q44" i="5"/>
  <c r="P53" i="5"/>
  <c r="Q49" i="5"/>
  <c r="Q32" i="5"/>
  <c r="Q52" i="5"/>
  <c r="P61" i="5"/>
  <c r="AA61" i="5" s="1"/>
  <c r="AB61" i="5" s="1"/>
  <c r="P42" i="5"/>
  <c r="AW86" i="9" a="1"/>
  <c r="AW86" i="9" s="1"/>
  <c r="W39" i="5"/>
  <c r="Y46" i="5"/>
  <c r="J31" i="5"/>
  <c r="H20" i="5"/>
  <c r="F41" i="5"/>
  <c r="K41" i="5" s="1"/>
  <c r="AA41" i="5" s="1"/>
  <c r="AB41" i="5" s="1"/>
  <c r="F32" i="5"/>
  <c r="K32" i="5" s="1"/>
  <c r="H57" i="5"/>
  <c r="Z37" i="5"/>
  <c r="Q58" i="5"/>
  <c r="W35" i="5"/>
  <c r="W65" i="5"/>
  <c r="V66" i="5"/>
  <c r="AA66" i="5" s="1"/>
  <c r="AB66" i="5" s="1"/>
  <c r="H68" i="5"/>
  <c r="W43" i="5"/>
  <c r="V38" i="5"/>
  <c r="V56" i="5"/>
  <c r="W50" i="5"/>
  <c r="W46" i="5"/>
  <c r="V37" i="5"/>
  <c r="V42" i="5"/>
  <c r="W37" i="5"/>
  <c r="V49" i="5"/>
  <c r="W34" i="5"/>
  <c r="V55" i="5"/>
  <c r="W44" i="5"/>
  <c r="W53" i="5"/>
  <c r="V64" i="5"/>
  <c r="W29" i="5"/>
  <c r="W47" i="5"/>
  <c r="W25" i="5"/>
  <c r="V34" i="5"/>
  <c r="W62" i="5"/>
  <c r="V61" i="5"/>
  <c r="W55" i="5"/>
  <c r="V26" i="5"/>
  <c r="V67" i="5"/>
  <c r="AA67" i="5" s="1"/>
  <c r="AB67" i="5" s="1"/>
  <c r="BA86" i="9" a="1"/>
  <c r="BA86" i="9" s="1"/>
  <c r="P20" i="5"/>
  <c r="R52" i="16"/>
  <c r="Y59" i="5"/>
  <c r="Z33" i="5"/>
  <c r="Z62" i="5"/>
  <c r="Z27" i="5"/>
  <c r="V46" i="5"/>
  <c r="F46" i="5"/>
  <c r="K46" i="5" s="1"/>
  <c r="Y35" i="5"/>
  <c r="F24" i="5"/>
  <c r="K24" i="5" s="1"/>
  <c r="H25" i="5"/>
  <c r="F28" i="5"/>
  <c r="K28" i="5" s="1"/>
  <c r="J57" i="5"/>
  <c r="Z43" i="5"/>
  <c r="P37" i="5"/>
  <c r="V69" i="5"/>
  <c r="W58" i="5"/>
  <c r="F48" i="5"/>
  <c r="K48" i="5" s="1"/>
  <c r="AA48" i="5" s="1"/>
  <c r="AB48" i="5" s="1"/>
  <c r="Y56" i="5"/>
  <c r="F44" i="5"/>
  <c r="K44" i="5" s="1"/>
  <c r="AA44" i="5" s="1"/>
  <c r="AB44" i="5" s="1"/>
  <c r="Q68" i="5"/>
  <c r="Y36" i="5"/>
  <c r="Y38" i="5"/>
  <c r="Z30" i="5"/>
  <c r="Y28" i="5"/>
  <c r="Y47" i="5"/>
  <c r="Y49" i="5"/>
  <c r="Z28" i="5"/>
  <c r="Z40" i="5"/>
  <c r="Z65" i="5"/>
  <c r="Z25" i="5"/>
  <c r="Y34" i="5"/>
  <c r="Z58" i="5"/>
  <c r="Z67" i="5"/>
  <c r="Y51" i="5"/>
  <c r="Z34" i="5"/>
  <c r="AK88" i="9" a="1"/>
  <c r="AK88" i="9" s="1"/>
  <c r="AY88" i="9" a="1"/>
  <c r="AY88" i="9" s="1"/>
  <c r="H63" i="5"/>
  <c r="H42" i="5"/>
  <c r="J55" i="5"/>
  <c r="H26" i="5"/>
  <c r="H61" i="5"/>
  <c r="F27" i="5"/>
  <c r="K27" i="5" s="1"/>
  <c r="F59" i="5"/>
  <c r="K59" i="5" s="1"/>
  <c r="AA59" i="5" s="1"/>
  <c r="AB59" i="5" s="1"/>
  <c r="F57" i="5"/>
  <c r="K57" i="5" s="1"/>
  <c r="AA57" i="5" s="1"/>
  <c r="AB57" i="5" s="1"/>
  <c r="J47" i="5"/>
  <c r="H39" i="5"/>
  <c r="F50" i="5"/>
  <c r="K50" i="5" s="1"/>
  <c r="AA50" i="5" s="1"/>
  <c r="AB50" i="5" s="1"/>
  <c r="F42" i="5"/>
  <c r="K42" i="5" s="1"/>
  <c r="AA42" i="5" s="1"/>
  <c r="AB42" i="5" s="1"/>
  <c r="F23" i="5"/>
  <c r="K23" i="5" s="1"/>
  <c r="J37" i="5"/>
  <c r="F60" i="5"/>
  <c r="K60" i="5" s="1"/>
  <c r="AA60" i="5" s="1"/>
  <c r="AB60" i="5" s="1"/>
  <c r="J46" i="5"/>
  <c r="H21" i="5"/>
  <c r="J53" i="5"/>
  <c r="H48" i="5"/>
  <c r="H27" i="5"/>
  <c r="H56" i="5"/>
  <c r="J60" i="5"/>
  <c r="F64" i="5"/>
  <c r="K64" i="5" s="1"/>
  <c r="AA64" i="5" s="1"/>
  <c r="AB64" i="5" s="1"/>
  <c r="H45" i="5"/>
  <c r="H30" i="5"/>
  <c r="J26" i="5"/>
  <c r="AM25" i="9" a="1"/>
  <c r="AM25" i="9" s="1"/>
  <c r="AJ25" i="9" a="1"/>
  <c r="AJ25" i="9" s="1"/>
  <c r="AL24" i="9" a="1"/>
  <c r="AL24" i="9" s="1"/>
  <c r="BA23" i="9" a="1"/>
  <c r="BA23" i="9" s="1"/>
  <c r="AI23" i="9" a="1"/>
  <c r="AI23" i="9" s="1"/>
  <c r="AZ24" i="9" a="1"/>
  <c r="AZ24" i="9" s="1"/>
  <c r="AS23" i="9" a="1"/>
  <c r="AS23" i="9" s="1"/>
  <c r="BB25" i="9" a="1"/>
  <c r="BB25" i="9" s="1"/>
  <c r="AN25" i="9" a="1"/>
  <c r="AN25" i="9" s="1"/>
  <c r="AW23" i="9" a="1"/>
  <c r="AW23" i="9" s="1"/>
  <c r="AC26" i="5"/>
  <c r="AA26" i="5"/>
  <c r="AB26" i="5" s="1"/>
  <c r="AQ87" i="9" a="1"/>
  <c r="AQ87" i="9" s="1"/>
  <c r="H38" i="5"/>
  <c r="F68" i="5"/>
  <c r="K68" i="5" s="1"/>
  <c r="AA68" i="5" s="1"/>
  <c r="AB68" i="5" s="1"/>
  <c r="J43" i="5"/>
  <c r="F51" i="5"/>
  <c r="K51" i="5" s="1"/>
  <c r="AA51" i="5" s="1"/>
  <c r="AB51" i="5" s="1"/>
  <c r="W60" i="5"/>
  <c r="V39" i="5"/>
  <c r="AN88" i="9" a="1"/>
  <c r="AN88" i="9" s="1"/>
  <c r="F38" i="5"/>
  <c r="K38" i="5" s="1"/>
  <c r="H62" i="5"/>
  <c r="AH87" i="9" a="1"/>
  <c r="AH87" i="9" s="1"/>
  <c r="AL46" i="9" a="1"/>
  <c r="AL46" i="9" s="1"/>
  <c r="AU45" i="9" a="1"/>
  <c r="AU45" i="9" s="1"/>
  <c r="AJ45" i="9" a="1"/>
  <c r="AJ45" i="9" s="1"/>
  <c r="AW45" i="9" a="1"/>
  <c r="AW45" i="9" s="1"/>
  <c r="AL44" i="9" a="1"/>
  <c r="AL44" i="9" s="1"/>
  <c r="AV46" i="9" a="1"/>
  <c r="AV46" i="9" s="1"/>
  <c r="AJ46" i="9" a="1"/>
  <c r="AJ46" i="9" s="1"/>
  <c r="AO44" i="9" a="1"/>
  <c r="AO44" i="9" s="1"/>
  <c r="AT46" i="9" a="1"/>
  <c r="AT46" i="9" s="1"/>
  <c r="AQ45" i="9" a="1"/>
  <c r="AQ45" i="9" s="1"/>
  <c r="BC46" i="9" a="1"/>
  <c r="BC46" i="9" s="1"/>
  <c r="AZ44" i="9" a="1"/>
  <c r="AZ44" i="9" s="1"/>
  <c r="AN44" i="9" a="1"/>
  <c r="AN44" i="9" s="1"/>
  <c r="AS45" i="9" a="1"/>
  <c r="AS45" i="9" s="1"/>
  <c r="AX45" i="9" a="1"/>
  <c r="AX45" i="9" s="1"/>
  <c r="AP45" i="9" a="1"/>
  <c r="AP45" i="9" s="1"/>
  <c r="AH46" i="9" a="1"/>
  <c r="AH46" i="9" s="1"/>
  <c r="BB46" i="9" a="1"/>
  <c r="BB46" i="9" s="1"/>
  <c r="AW44" i="9" a="1"/>
  <c r="AW44" i="9" s="1"/>
  <c r="AG46" i="9" a="1"/>
  <c r="AG46" i="9" s="1"/>
  <c r="AK46" i="9" a="1"/>
  <c r="AK46" i="9" s="1"/>
  <c r="AQ44" i="9" a="1"/>
  <c r="AQ44" i="9" s="1"/>
  <c r="AR45" i="9" a="1"/>
  <c r="AR45" i="9" s="1"/>
  <c r="AZ46" i="9" a="1"/>
  <c r="AZ46" i="9" s="1"/>
  <c r="AK45" i="9" a="1"/>
  <c r="AK45" i="9" s="1"/>
  <c r="W45" i="5"/>
  <c r="AP65" i="9" a="1"/>
  <c r="AP65" i="9" s="1"/>
  <c r="AY109" i="9" a="1"/>
  <c r="AY109" i="9" s="1"/>
  <c r="Z45" i="5"/>
  <c r="AW107" i="9" a="1"/>
  <c r="AW107" i="9" s="1"/>
  <c r="F31" i="5"/>
  <c r="K31" i="5" s="1"/>
  <c r="AN67" i="9" a="1"/>
  <c r="AN67" i="9" s="1"/>
  <c r="J52" i="4"/>
  <c r="AO128" i="9" a="1"/>
  <c r="AO128" i="9" s="1"/>
  <c r="BD128" i="9" a="1"/>
  <c r="BD128" i="9" s="1"/>
  <c r="AV65" i="9" a="1"/>
  <c r="AV65" i="9" s="1"/>
  <c r="AT107" i="9" a="1"/>
  <c r="AT107" i="9" s="1"/>
  <c r="AK108" i="9" a="1"/>
  <c r="AK108" i="9" s="1"/>
  <c r="AO107" i="9" a="1"/>
  <c r="AO107" i="9" s="1"/>
  <c r="BD107" i="9" a="1"/>
  <c r="BD107" i="9" s="1"/>
  <c r="AR129" i="9" a="1"/>
  <c r="AR129" i="9" s="1"/>
  <c r="AG128" i="9" a="1"/>
  <c r="AG128" i="9" s="1"/>
  <c r="AR128" i="9" a="1"/>
  <c r="AR128" i="9" s="1"/>
  <c r="AW65" i="9" a="1"/>
  <c r="AW65" i="9" s="1"/>
  <c r="AO109" i="9" a="1"/>
  <c r="AO109" i="9" s="1"/>
  <c r="AL65" i="9" a="1"/>
  <c r="AL65" i="9" s="1"/>
  <c r="AO66" i="9" a="1"/>
  <c r="AO66" i="9" s="1"/>
  <c r="AJ108" i="9" a="1"/>
  <c r="AJ108" i="9" s="1"/>
  <c r="BA107" i="9" a="1"/>
  <c r="BA107" i="9" s="1"/>
  <c r="AV109" i="9" a="1"/>
  <c r="AV109" i="9" s="1"/>
  <c r="AT108" i="9" a="1"/>
  <c r="AT108" i="9" s="1"/>
  <c r="AK109" i="9" a="1"/>
  <c r="AK109" i="9" s="1"/>
  <c r="AV108" i="9" a="1"/>
  <c r="AV108" i="9" s="1"/>
  <c r="AW128" i="9" a="1"/>
  <c r="AW128" i="9" s="1"/>
  <c r="AM130" i="9" a="1"/>
  <c r="AM130" i="9" s="1"/>
  <c r="AX128" i="9" a="1"/>
  <c r="AX128" i="9" s="1"/>
  <c r="AX129" i="9" a="1"/>
  <c r="AX129" i="9" s="1"/>
  <c r="AL129" i="9" a="1"/>
  <c r="AL129" i="9" s="1"/>
  <c r="BC67" i="9" a="1"/>
  <c r="BC67" i="9" s="1"/>
  <c r="AR65" i="9" a="1"/>
  <c r="AR65" i="9" s="1"/>
  <c r="AU65" i="9" a="1"/>
  <c r="AU65" i="9" s="1"/>
  <c r="AX109" i="9" a="1"/>
  <c r="AX109" i="9" s="1"/>
  <c r="BC65" i="9" a="1"/>
  <c r="BC65" i="9" s="1"/>
  <c r="AP67" i="9" a="1"/>
  <c r="AP67" i="9" s="1"/>
  <c r="AZ67" i="9" a="1"/>
  <c r="AZ67" i="9" s="1"/>
  <c r="BB66" i="9" a="1"/>
  <c r="BB66" i="9" s="1"/>
  <c r="BA66" i="9" a="1"/>
  <c r="BA66" i="9" s="1"/>
  <c r="AN108" i="9" a="1"/>
  <c r="AN108" i="9" s="1"/>
  <c r="AP108" i="9" a="1"/>
  <c r="AP108" i="9" s="1"/>
  <c r="AF21" i="6"/>
  <c r="S20" i="6"/>
  <c r="AY129" i="9" a="1"/>
  <c r="AY129" i="9" s="1"/>
  <c r="AZ130" i="9" a="1"/>
  <c r="AZ130" i="9" s="1"/>
  <c r="BA130" i="9" a="1"/>
  <c r="BA130" i="9" s="1"/>
  <c r="AZ128" i="9" a="1"/>
  <c r="AZ128" i="9" s="1"/>
  <c r="AG129" i="9" a="1"/>
  <c r="AG129" i="9" s="1"/>
  <c r="AP130" i="9" a="1"/>
  <c r="AP130" i="9" s="1"/>
  <c r="D66" i="18"/>
  <c r="G10" i="6" s="1"/>
  <c r="W8" i="6"/>
  <c r="Z7" i="6"/>
  <c r="R19" i="6" s="1"/>
  <c r="AC14" i="6"/>
  <c r="S26" i="6" s="1"/>
  <c r="AF13" i="6"/>
  <c r="T25" i="6" s="1"/>
  <c r="AI12" i="6"/>
  <c r="AL12" i="6"/>
  <c r="AO11" i="6"/>
  <c r="AR10" i="6"/>
  <c r="AU9" i="6"/>
  <c r="AX8" i="6"/>
  <c r="BA7" i="6"/>
  <c r="BJ12" i="6"/>
  <c r="AD24" i="6" s="1"/>
  <c r="BM11" i="6"/>
  <c r="BP10" i="6"/>
  <c r="BS9" i="6"/>
  <c r="AG21" i="6" s="1"/>
  <c r="X19" i="6"/>
  <c r="U20" i="6"/>
  <c r="O22" i="6"/>
  <c r="AE22" i="6"/>
  <c r="AB23" i="6"/>
  <c r="B79" i="18"/>
  <c r="E11" i="6" s="1"/>
  <c r="AF22" i="6"/>
  <c r="Z19" i="6"/>
  <c r="W20" i="6"/>
  <c r="AG22" i="6"/>
  <c r="AA24" i="6"/>
  <c r="C14" i="6"/>
  <c r="AA19" i="6"/>
  <c r="U21" i="6"/>
  <c r="O23" i="6"/>
  <c r="AE23" i="6"/>
  <c r="AB24" i="6"/>
  <c r="Y25" i="6"/>
  <c r="C11" i="6"/>
  <c r="D89" i="18"/>
  <c r="H12" i="6" s="1"/>
  <c r="V21" i="6"/>
  <c r="S22" i="6"/>
  <c r="AC24" i="6"/>
  <c r="Z25" i="6"/>
  <c r="D10" i="6"/>
  <c r="Z20" i="6"/>
  <c r="T22" i="6"/>
  <c r="AA20" i="6"/>
  <c r="X21" i="6"/>
  <c r="U22" i="6"/>
  <c r="O24" i="6"/>
  <c r="AB25" i="6"/>
  <c r="Y26" i="6"/>
  <c r="Y21" i="6"/>
  <c r="S23" i="6"/>
  <c r="AF19" i="6"/>
  <c r="AC20" i="6"/>
  <c r="Z21" i="6"/>
  <c r="W22" i="6"/>
  <c r="T23" i="6"/>
  <c r="X22" i="6"/>
  <c r="U23" i="6"/>
  <c r="R24" i="6"/>
  <c r="O25" i="6"/>
  <c r="AE25" i="6"/>
  <c r="AB26" i="6"/>
  <c r="N51" i="16"/>
  <c r="R51" i="16" s="1"/>
  <c r="U51" i="16" s="1"/>
  <c r="Y18" i="6"/>
  <c r="AG18" i="6"/>
  <c r="AE20" i="6"/>
  <c r="AF25" i="6"/>
  <c r="AC26" i="6"/>
  <c r="D45" i="18"/>
  <c r="H8" i="6" s="1"/>
  <c r="AF20" i="6"/>
  <c r="AC21" i="6"/>
  <c r="Z22" i="6"/>
  <c r="W23" i="6"/>
  <c r="Q25" i="6"/>
  <c r="Q20" i="6"/>
  <c r="AG20" i="6"/>
  <c r="AD21" i="6"/>
  <c r="AA22" i="6"/>
  <c r="X23" i="6"/>
  <c r="U24" i="6"/>
  <c r="R25" i="6"/>
  <c r="O26" i="6"/>
  <c r="AE26" i="6"/>
  <c r="V24" i="6"/>
  <c r="P26" i="6"/>
  <c r="P21" i="6"/>
  <c r="Q26" i="6"/>
  <c r="N25" i="6"/>
  <c r="W11" i="6"/>
  <c r="Q23" i="6" s="1"/>
  <c r="AC9" i="6"/>
  <c r="S21" i="6" s="1"/>
  <c r="AI7" i="6"/>
  <c r="U19" i="6" s="1"/>
  <c r="AO14" i="6"/>
  <c r="W26" i="6" s="1"/>
  <c r="AU12" i="6"/>
  <c r="Y24" i="6" s="1"/>
  <c r="BA10" i="6"/>
  <c r="BG8" i="6"/>
  <c r="Q6" i="6"/>
  <c r="O18" i="6" s="1"/>
  <c r="BM7" i="6"/>
  <c r="AE19" i="6" s="1"/>
  <c r="AX6" i="6"/>
  <c r="Z18" i="6" s="1"/>
  <c r="BA13" i="6"/>
  <c r="AA25" i="6" s="1"/>
  <c r="BM9" i="6"/>
  <c r="AE21" i="6" s="1"/>
  <c r="AL6" i="6"/>
  <c r="V18" i="6" s="1"/>
  <c r="AU8" i="6"/>
  <c r="Y20" i="6" s="1"/>
  <c r="BJ11" i="6"/>
  <c r="AD23" i="6" s="1"/>
  <c r="BM10" i="6"/>
  <c r="G39" i="4"/>
  <c r="H55" i="4"/>
  <c r="H33" i="4"/>
  <c r="D64" i="4"/>
  <c r="AN64" i="4" s="1"/>
  <c r="F32" i="4"/>
  <c r="F55" i="4"/>
  <c r="B40" i="22"/>
  <c r="D40" i="22" s="1" a="1"/>
  <c r="D40" i="22" s="1"/>
  <c r="H39" i="4"/>
  <c r="H23" i="4"/>
  <c r="F39" i="4"/>
  <c r="E47" i="22" a="1"/>
  <c r="E47" i="22" s="1"/>
  <c r="D20" i="5"/>
  <c r="K38" i="22"/>
  <c r="G49" i="4"/>
  <c r="H49" i="4"/>
  <c r="D50" i="22" a="1"/>
  <c r="D50" i="22" s="1"/>
  <c r="F47" i="22" a="1"/>
  <c r="F47" i="22" s="1"/>
  <c r="E50" i="22" a="1"/>
  <c r="E50" i="22" s="1"/>
  <c r="F61" i="4"/>
  <c r="F50" i="22" a="1"/>
  <c r="F50" i="22" s="1"/>
  <c r="D19" i="4"/>
  <c r="V19" i="4" s="1"/>
  <c r="B37" i="22"/>
  <c r="J37" i="22" s="1"/>
  <c r="D67" i="4"/>
  <c r="V67" i="4" s="1"/>
  <c r="D38" i="22" a="1"/>
  <c r="D38" i="22" s="1"/>
  <c r="D47" i="22" a="1"/>
  <c r="D47" i="22" s="1"/>
  <c r="G67" i="4"/>
  <c r="H67" i="4"/>
  <c r="T66" i="1"/>
  <c r="U35" i="6" s="1"/>
  <c r="V66" i="1"/>
  <c r="W66" i="1"/>
  <c r="X66" i="1"/>
  <c r="G66" i="4"/>
  <c r="H56" i="4"/>
  <c r="V34" i="4"/>
  <c r="D24" i="5"/>
  <c r="E38" i="22" a="1"/>
  <c r="E38" i="22" s="1"/>
  <c r="B49" i="22"/>
  <c r="J49" i="22" s="1"/>
  <c r="H66" i="4"/>
  <c r="F38" i="22" a="1"/>
  <c r="F38" i="22" s="1"/>
  <c r="F18" i="4"/>
  <c r="F34" i="4"/>
  <c r="H37" i="4"/>
  <c r="BA6" i="6"/>
  <c r="AA18" i="6" s="1"/>
  <c r="D13" i="18"/>
  <c r="I6" i="6" s="1"/>
  <c r="AC6" i="6"/>
  <c r="S18" i="6" s="1"/>
  <c r="BD6" i="6"/>
  <c r="AB18" i="6" s="1"/>
  <c r="BM6" i="6"/>
  <c r="AE18" i="6" s="1"/>
  <c r="W12" i="6"/>
  <c r="Q24" i="6" s="1"/>
  <c r="Z11" i="6"/>
  <c r="R23" i="6" s="1"/>
  <c r="AC10" i="6"/>
  <c r="AF9" i="6"/>
  <c r="T21" i="6" s="1"/>
  <c r="AI8" i="6"/>
  <c r="AL8" i="6"/>
  <c r="V20" i="6" s="1"/>
  <c r="AO7" i="6"/>
  <c r="W19" i="6" s="1"/>
  <c r="AR6" i="6"/>
  <c r="X18" i="6" s="1"/>
  <c r="AR14" i="6"/>
  <c r="X26" i="6" s="1"/>
  <c r="AU13" i="6"/>
  <c r="AX12" i="6"/>
  <c r="Z24" i="6" s="1"/>
  <c r="BA11" i="6"/>
  <c r="AA23" i="6" s="1"/>
  <c r="BD10" i="6"/>
  <c r="AB22" i="6" s="1"/>
  <c r="BG9" i="6"/>
  <c r="BJ8" i="6"/>
  <c r="AD20" i="6" s="1"/>
  <c r="BP6" i="6"/>
  <c r="AF18" i="6" s="1"/>
  <c r="BP14" i="6"/>
  <c r="AF26" i="6" s="1"/>
  <c r="BS13" i="6"/>
  <c r="AG25" i="6" s="1"/>
  <c r="Q8" i="6"/>
  <c r="O20" i="6" s="1"/>
  <c r="T14" i="6"/>
  <c r="W6" i="6"/>
  <c r="Q18" i="6" s="1"/>
  <c r="W14" i="6"/>
  <c r="Z13" i="6"/>
  <c r="AC12" i="6"/>
  <c r="S24" i="6" s="1"/>
  <c r="AF11" i="6"/>
  <c r="AI10" i="6"/>
  <c r="AL10" i="6"/>
  <c r="V22" i="6" s="1"/>
  <c r="AR8" i="6"/>
  <c r="X20" i="6" s="1"/>
  <c r="BG11" i="6"/>
  <c r="AC23" i="6" s="1"/>
  <c r="BS7" i="6"/>
  <c r="AG19" i="6" s="1"/>
  <c r="W7" i="6"/>
  <c r="Q19" i="6" s="1"/>
  <c r="Z14" i="6"/>
  <c r="R26" i="6" s="1"/>
  <c r="AF12" i="6"/>
  <c r="T24" i="6" s="1"/>
  <c r="AL11" i="6"/>
  <c r="V23" i="6" s="1"/>
  <c r="AX7" i="6"/>
  <c r="BA14" i="6"/>
  <c r="AA26" i="6" s="1"/>
  <c r="BD13" i="6"/>
  <c r="BP9" i="6"/>
  <c r="BS8" i="6"/>
  <c r="Q12" i="6"/>
  <c r="EG10" i="6" a="1"/>
  <c r="EG10" i="6" s="1"/>
  <c r="BD14" i="6"/>
  <c r="BG13" i="6"/>
  <c r="AC25" i="6" s="1"/>
  <c r="W9" i="6"/>
  <c r="Q21" i="6" s="1"/>
  <c r="Z8" i="6"/>
  <c r="R20" i="6" s="1"/>
  <c r="AC7" i="6"/>
  <c r="S19" i="6" s="1"/>
  <c r="AF6" i="6"/>
  <c r="T18" i="6" s="1"/>
  <c r="AF14" i="6"/>
  <c r="T26" i="6" s="1"/>
  <c r="AI13" i="6"/>
  <c r="U25" i="6" s="1"/>
  <c r="AL13" i="6"/>
  <c r="V25" i="6" s="1"/>
  <c r="AO12" i="6"/>
  <c r="W24" i="6" s="1"/>
  <c r="AR11" i="6"/>
  <c r="AU10" i="6"/>
  <c r="Y22" i="6" s="1"/>
  <c r="AX9" i="6"/>
  <c r="BA8" i="6"/>
  <c r="BD7" i="6"/>
  <c r="AB19" i="6" s="1"/>
  <c r="BG6" i="6"/>
  <c r="AC18" i="6" s="1"/>
  <c r="BG14" i="6"/>
  <c r="BJ13" i="6"/>
  <c r="AD25" i="6" s="1"/>
  <c r="BM12" i="6"/>
  <c r="AE24" i="6" s="1"/>
  <c r="BP11" i="6"/>
  <c r="AF23" i="6" s="1"/>
  <c r="Z9" i="6"/>
  <c r="R21" i="6" s="1"/>
  <c r="AF7" i="6"/>
  <c r="T19" i="6" s="1"/>
  <c r="AI14" i="6"/>
  <c r="U26" i="6" s="1"/>
  <c r="AL14" i="6"/>
  <c r="V26" i="6" s="1"/>
  <c r="AR12" i="6"/>
  <c r="X24" i="6" s="1"/>
  <c r="AX10" i="6"/>
  <c r="BD8" i="6"/>
  <c r="AB20" i="6" s="1"/>
  <c r="BM13" i="6"/>
  <c r="BS11" i="6"/>
  <c r="AG23" i="6" s="1"/>
  <c r="BJ14" i="6"/>
  <c r="AD26" i="6" s="1"/>
  <c r="BP12" i="6"/>
  <c r="AF24" i="6" s="1"/>
  <c r="T9" i="6"/>
  <c r="W10" i="6"/>
  <c r="Q22" i="6" s="1"/>
  <c r="AC8" i="6"/>
  <c r="AI6" i="6"/>
  <c r="U18" i="6" s="1"/>
  <c r="AO13" i="6"/>
  <c r="W25" i="6" s="1"/>
  <c r="AU11" i="6"/>
  <c r="Y23" i="6" s="1"/>
  <c r="BA9" i="6"/>
  <c r="AA21" i="6" s="1"/>
  <c r="BG7" i="6"/>
  <c r="AC19" i="6" s="1"/>
  <c r="Z10" i="6"/>
  <c r="R22" i="6" s="1"/>
  <c r="AF8" i="6"/>
  <c r="T20" i="6" s="1"/>
  <c r="AL7" i="6"/>
  <c r="V19" i="6" s="1"/>
  <c r="AO6" i="6"/>
  <c r="W18" i="6" s="1"/>
  <c r="AR13" i="6"/>
  <c r="X25" i="6" s="1"/>
  <c r="AX11" i="6"/>
  <c r="Z23" i="6" s="1"/>
  <c r="BD9" i="6"/>
  <c r="AB21" i="6" s="1"/>
  <c r="BJ7" i="6"/>
  <c r="AD19" i="6" s="1"/>
  <c r="BM14" i="6"/>
  <c r="BP13" i="6"/>
  <c r="BS12" i="6"/>
  <c r="AG24" i="6" s="1"/>
  <c r="Q13" i="6"/>
  <c r="Q7" i="6"/>
  <c r="O19" i="6" s="1"/>
  <c r="Q9" i="6"/>
  <c r="O21" i="6" s="1"/>
  <c r="Q10" i="6"/>
  <c r="AO9" i="6"/>
  <c r="W21" i="6" s="1"/>
  <c r="AU7" i="6"/>
  <c r="Y19" i="6" s="1"/>
  <c r="AX14" i="6"/>
  <c r="Z26" i="6" s="1"/>
  <c r="BD12" i="6"/>
  <c r="BJ10" i="6"/>
  <c r="AD22" i="6" s="1"/>
  <c r="BP8" i="6"/>
  <c r="BJ6" i="6"/>
  <c r="AD18" i="6" s="1"/>
  <c r="Q11" i="6"/>
  <c r="Z6" i="6"/>
  <c r="R18" i="6" s="1"/>
  <c r="AC13" i="6"/>
  <c r="S25" i="6" s="1"/>
  <c r="AI11" i="6"/>
  <c r="AO10" i="6"/>
  <c r="T12" i="6"/>
  <c r="P24" i="6" s="1"/>
  <c r="T11" i="6"/>
  <c r="P23" i="6" s="1"/>
  <c r="T10" i="6"/>
  <c r="P22" i="6" s="1"/>
  <c r="T7" i="6"/>
  <c r="P19" i="6" s="1"/>
  <c r="T13" i="6"/>
  <c r="P25" i="6" s="1"/>
  <c r="T6" i="6"/>
  <c r="P18" i="6" s="1"/>
  <c r="T8" i="6"/>
  <c r="P20" i="6" s="1"/>
  <c r="EG7" i="6" a="1"/>
  <c r="EG7" i="6" s="1"/>
  <c r="EG16" i="6" a="1"/>
  <c r="EG16" i="6" s="1"/>
  <c r="EG11" i="6" a="1"/>
  <c r="EG11" i="6" s="1"/>
  <c r="EV8" i="6" a="1"/>
  <c r="EV8" i="6" s="1"/>
  <c r="EG9" i="6" a="1"/>
  <c r="EG9" i="6" s="1"/>
  <c r="EG12" i="6" a="1"/>
  <c r="EG12" i="6" s="1"/>
  <c r="EG13" i="6" a="1"/>
  <c r="EG13" i="6" s="1"/>
  <c r="EG14" i="6" a="1"/>
  <c r="EG14" i="6" s="1"/>
  <c r="EV15" i="6" a="1"/>
  <c r="EV15" i="6" s="1"/>
  <c r="D99" i="18"/>
  <c r="G13" i="6" s="1"/>
  <c r="B90" i="18"/>
  <c r="E12" i="6" s="1"/>
  <c r="D12" i="6"/>
  <c r="C12" i="6"/>
  <c r="D77" i="18"/>
  <c r="G11" i="6" s="1"/>
  <c r="D7" i="6"/>
  <c r="D33" i="18"/>
  <c r="G7" i="6" s="1"/>
  <c r="D14" i="6"/>
  <c r="B24" i="18"/>
  <c r="E14" i="6" s="1"/>
  <c r="C6" i="6"/>
  <c r="D6" i="6"/>
  <c r="B13" i="18"/>
  <c r="EF12" i="6" a="1"/>
  <c r="EF12" i="6" s="1"/>
  <c r="EV12" i="6" a="1"/>
  <c r="EV12" i="6" s="1"/>
  <c r="EM6" i="6" a="1"/>
  <c r="EM6" i="6" s="1"/>
  <c r="EF7" i="6" a="1"/>
  <c r="EF7" i="6" s="1"/>
  <c r="EG8" i="6" a="1"/>
  <c r="EG8" i="6" s="1"/>
  <c r="EF14" i="6" a="1"/>
  <c r="EF14" i="6" s="1"/>
  <c r="EE13" i="6" a="1"/>
  <c r="EE13" i="6" s="1"/>
  <c r="EU11" i="6" a="1"/>
  <c r="EU11" i="6" s="1"/>
  <c r="EG15" i="6" a="1"/>
  <c r="EG15" i="6" s="1"/>
  <c r="EF13" i="6" a="1"/>
  <c r="EF13" i="6" s="1"/>
  <c r="EV10" i="6" a="1"/>
  <c r="EV10" i="6" s="1"/>
  <c r="EM12" i="6" a="1"/>
  <c r="EM12" i="6" s="1"/>
  <c r="EF15" i="6" a="1"/>
  <c r="EF15" i="6" s="1"/>
  <c r="EU15" i="6" a="1"/>
  <c r="EU15" i="6" s="1"/>
  <c r="EE9" i="6" a="1"/>
  <c r="EE9" i="6" s="1"/>
  <c r="EE12" i="6" a="1"/>
  <c r="EE12" i="6" s="1"/>
  <c r="EV7" i="6" a="1"/>
  <c r="EV7" i="6" s="1"/>
  <c r="EU12" i="6" a="1"/>
  <c r="EU12" i="6" s="1"/>
  <c r="ET14" i="6" a="1"/>
  <c r="ET14" i="6" s="1"/>
  <c r="EU14" i="6" a="1"/>
  <c r="EU14" i="6" s="1"/>
  <c r="EV14" i="6" a="1"/>
  <c r="EV14" i="6" s="1"/>
  <c r="EE7" i="6" a="1"/>
  <c r="EE7" i="6" s="1"/>
  <c r="EE10" i="6" a="1"/>
  <c r="EE10" i="6" s="1"/>
  <c r="ES14" i="6" a="1"/>
  <c r="ES14" i="6" s="1"/>
  <c r="EF10" i="6" a="1"/>
  <c r="EF10" i="6" s="1"/>
  <c r="EE16" i="6" a="1"/>
  <c r="EE16" i="6" s="1"/>
  <c r="EE14" i="6" a="1"/>
  <c r="EE14" i="6" s="1"/>
  <c r="EF11" i="6" a="1"/>
  <c r="EF11" i="6" s="1"/>
  <c r="EU8" i="6" a="1"/>
  <c r="EU8" i="6" s="1"/>
  <c r="EF9" i="6" a="1"/>
  <c r="EF9" i="6" s="1"/>
  <c r="EV13" i="6" a="1"/>
  <c r="EV13" i="6" s="1"/>
  <c r="EF16" i="6" a="1"/>
  <c r="EF16" i="6" s="1"/>
  <c r="EF8" i="6" a="1"/>
  <c r="EF8" i="6" s="1"/>
  <c r="N14" i="6"/>
  <c r="N6" i="6"/>
  <c r="N8" i="6"/>
  <c r="EM10" i="6" a="1"/>
  <c r="EM10" i="6" s="1"/>
  <c r="EM11" i="6" a="1"/>
  <c r="EM11" i="6" s="1"/>
  <c r="EM14" i="6" a="1"/>
  <c r="EM14" i="6" s="1"/>
  <c r="EG6" i="6" a="1"/>
  <c r="EG6" i="6" s="1"/>
  <c r="EM16" i="6" a="1"/>
  <c r="EM16" i="6" s="1"/>
  <c r="EV6" i="6" a="1"/>
  <c r="EV6" i="6" s="1"/>
  <c r="EE6" i="6" a="1"/>
  <c r="EE6" i="6" s="1"/>
  <c r="EF6" i="6" a="1"/>
  <c r="EF6" i="6" s="1"/>
  <c r="EU6" i="6" a="1"/>
  <c r="EU6" i="6" s="1"/>
  <c r="EM13" i="6" a="1"/>
  <c r="EM13" i="6" s="1"/>
  <c r="EM15" i="6" a="1"/>
  <c r="EM15" i="6" s="1"/>
  <c r="EM7" i="6" a="1"/>
  <c r="EM7" i="6" s="1"/>
  <c r="EM9" i="6" a="1"/>
  <c r="EM9" i="6" s="1"/>
  <c r="EN14" i="6" a="1"/>
  <c r="EN14" i="6" s="1"/>
  <c r="EO9" i="6" a="1"/>
  <c r="EO9" i="6" s="1"/>
  <c r="EP14" i="6" a="1"/>
  <c r="EP14" i="6" s="1"/>
  <c r="EJ11" i="6" a="1"/>
  <c r="EJ11" i="6" s="1"/>
  <c r="D100" i="18"/>
  <c r="B101" i="18"/>
  <c r="E13" i="6" s="1"/>
  <c r="D88" i="18"/>
  <c r="D79" i="18"/>
  <c r="I11" i="6" s="1"/>
  <c r="D11" i="6"/>
  <c r="D67" i="18"/>
  <c r="D57" i="18"/>
  <c r="I9" i="6" s="1"/>
  <c r="D44" i="18"/>
  <c r="C7" i="6"/>
  <c r="D24" i="18"/>
  <c r="I14" i="6" s="1"/>
  <c r="EI14" i="6" a="1"/>
  <c r="EI14" i="6" s="1"/>
  <c r="EN12" i="6" a="1"/>
  <c r="EN12" i="6" s="1"/>
  <c r="EH16" i="6" a="1"/>
  <c r="EH16" i="6" s="1"/>
  <c r="EH14" i="6" a="1"/>
  <c r="EH14" i="6" s="1"/>
  <c r="EN10" i="6" a="1"/>
  <c r="EN10" i="6" s="1"/>
  <c r="N13" i="6"/>
  <c r="EC12" i="6"/>
  <c r="EC11" i="6"/>
  <c r="EH6" i="6" a="1"/>
  <c r="EH6" i="6" s="1"/>
  <c r="EH10" i="6" a="1"/>
  <c r="EH10" i="6" s="1"/>
  <c r="EH12" i="6" a="1"/>
  <c r="EH12" i="6" s="1"/>
  <c r="EH9" i="6" a="1"/>
  <c r="EH9" i="6" s="1"/>
  <c r="EH7" i="6" a="1"/>
  <c r="EH7" i="6" s="1"/>
  <c r="EH11" i="6" a="1"/>
  <c r="EH11" i="6" s="1"/>
  <c r="EH15" i="6" a="1"/>
  <c r="EH15" i="6" s="1"/>
  <c r="EN11" i="6" a="1"/>
  <c r="EN11" i="6" s="1"/>
  <c r="EN8" i="6" a="1"/>
  <c r="EN8" i="6" s="1"/>
  <c r="EN16" i="6" a="1"/>
  <c r="EN16" i="6" s="1"/>
  <c r="EN13" i="6" a="1"/>
  <c r="EN13" i="6" s="1"/>
  <c r="EH13" i="6" a="1"/>
  <c r="EH13" i="6" s="1"/>
  <c r="EN15" i="6" a="1"/>
  <c r="EN15" i="6" s="1"/>
  <c r="EN9" i="6" a="1"/>
  <c r="EN9" i="6" s="1"/>
  <c r="EN7" i="6" a="1"/>
  <c r="EN7" i="6" s="1"/>
  <c r="EH8" i="6" a="1"/>
  <c r="EH8" i="6" s="1"/>
  <c r="EN6" i="6" a="1"/>
  <c r="EN6" i="6" s="1"/>
  <c r="EL13" i="6" a="1"/>
  <c r="EL13" i="6" s="1"/>
  <c r="EL7" i="6" a="1"/>
  <c r="EL7" i="6" s="1"/>
  <c r="EL11" i="6" a="1"/>
  <c r="EL11" i="6" s="1"/>
  <c r="EL15" i="6" a="1"/>
  <c r="EL15" i="6" s="1"/>
  <c r="EL16" i="6" a="1"/>
  <c r="EL16" i="6" s="1"/>
  <c r="EL6" i="6" a="1"/>
  <c r="EL6" i="6" s="1"/>
  <c r="EL14" i="6" a="1"/>
  <c r="EL14" i="6" s="1"/>
  <c r="EL9" i="6" a="1"/>
  <c r="EL9" i="6" s="1"/>
  <c r="EL12" i="6" a="1"/>
  <c r="EL12" i="6" s="1"/>
  <c r="EL8" i="6" a="1"/>
  <c r="EL8" i="6" s="1"/>
  <c r="EC10" i="6"/>
  <c r="ET12" i="6" a="1"/>
  <c r="ET12" i="6" s="1"/>
  <c r="EE11" i="6" a="1"/>
  <c r="EE11" i="6" s="1"/>
  <c r="EO6" i="6" a="1"/>
  <c r="EO6" i="6" s="1"/>
  <c r="EC14" i="6"/>
  <c r="EK15" i="6" a="1"/>
  <c r="EK15" i="6" s="1"/>
  <c r="EK12" i="6" a="1"/>
  <c r="EK12" i="6" s="1"/>
  <c r="EK11" i="6" a="1"/>
  <c r="EK11" i="6" s="1"/>
  <c r="EK9" i="6" a="1"/>
  <c r="EK9" i="6" s="1"/>
  <c r="EK7" i="6" a="1"/>
  <c r="EK7" i="6" s="1"/>
  <c r="EK13" i="6" a="1"/>
  <c r="EK13" i="6" s="1"/>
  <c r="EK6" i="6" a="1"/>
  <c r="EK6" i="6" s="1"/>
  <c r="EK8" i="6" a="1"/>
  <c r="EK8" i="6" s="1"/>
  <c r="EK16" i="6" a="1"/>
  <c r="EK16" i="6" s="1"/>
  <c r="EK14" i="6" a="1"/>
  <c r="EK14" i="6" s="1"/>
  <c r="EK10" i="6" a="1"/>
  <c r="EK10" i="6" s="1"/>
  <c r="EQ9" i="6" a="1"/>
  <c r="EQ9" i="6" s="1"/>
  <c r="EI13" i="6" a="1"/>
  <c r="EI13" i="6" s="1"/>
  <c r="EO13" i="6" a="1"/>
  <c r="EO13" i="6" s="1"/>
  <c r="EI6" i="6" a="1"/>
  <c r="EI6" i="6" s="1"/>
  <c r="EO10" i="6" a="1"/>
  <c r="EO10" i="6" s="1"/>
  <c r="EE8" i="6" a="1"/>
  <c r="EE8" i="6" s="1"/>
  <c r="EI11" i="6" a="1"/>
  <c r="EI11" i="6" s="1"/>
  <c r="EO16" i="6" a="1"/>
  <c r="EO16" i="6" s="1"/>
  <c r="EI16" i="6" a="1"/>
  <c r="EI16" i="6" s="1"/>
  <c r="EO14" i="6" a="1"/>
  <c r="EO14" i="6" s="1"/>
  <c r="EI9" i="6" a="1"/>
  <c r="EI9" i="6" s="1"/>
  <c r="EI8" i="6" a="1"/>
  <c r="EI8" i="6" s="1"/>
  <c r="EO8" i="6" a="1"/>
  <c r="EO8" i="6" s="1"/>
  <c r="EI15" i="6" a="1"/>
  <c r="EI15" i="6" s="1"/>
  <c r="EO7" i="6" a="1"/>
  <c r="EO7" i="6" s="1"/>
  <c r="EO12" i="6" a="1"/>
  <c r="EO12" i="6" s="1"/>
  <c r="ED6" i="6" a="1"/>
  <c r="ED6" i="6" s="1"/>
  <c r="EO15" i="6" a="1"/>
  <c r="EO15" i="6" s="1"/>
  <c r="EI7" i="6" a="1"/>
  <c r="EI7" i="6" s="1"/>
  <c r="EI10" i="6" a="1"/>
  <c r="EI10" i="6" s="1"/>
  <c r="EI12" i="6" a="1"/>
  <c r="EI12" i="6" s="1"/>
  <c r="EO11" i="6" a="1"/>
  <c r="EO11" i="6" s="1"/>
  <c r="EJ9" i="6" a="1"/>
  <c r="EJ9" i="6" s="1"/>
  <c r="ER15" i="6" a="1"/>
  <c r="ER15" i="6" s="1"/>
  <c r="ED15" i="6" a="1"/>
  <c r="ED15" i="6" s="1"/>
  <c r="EJ12" i="6" a="1"/>
  <c r="EJ12" i="6" s="1"/>
  <c r="EU16" i="6" a="1"/>
  <c r="EU16" i="6" s="1"/>
  <c r="EJ6" i="6" a="1"/>
  <c r="EJ6" i="6" s="1"/>
  <c r="EJ7" i="6" a="1"/>
  <c r="EJ7" i="6" s="1"/>
  <c r="EJ13" i="6" a="1"/>
  <c r="EJ13" i="6" s="1"/>
  <c r="EL10" i="6" a="1"/>
  <c r="EL10" i="6" s="1"/>
  <c r="EJ15" i="6" a="1"/>
  <c r="EJ15" i="6" s="1"/>
  <c r="EU9" i="6" a="1"/>
  <c r="EU9" i="6" s="1"/>
  <c r="EU7" i="6" a="1"/>
  <c r="EU7" i="6" s="1"/>
  <c r="ET6" i="6" a="1"/>
  <c r="ET6" i="6" s="1"/>
  <c r="EM8" i="6" a="1"/>
  <c r="EM8" i="6" s="1"/>
  <c r="EJ10" i="6" a="1"/>
  <c r="EJ10" i="6" s="1"/>
  <c r="EJ14" i="6" a="1"/>
  <c r="EJ14" i="6" s="1"/>
  <c r="EJ8" i="6" a="1"/>
  <c r="EJ8" i="6" s="1"/>
  <c r="EJ16" i="6" a="1"/>
  <c r="EJ16" i="6" s="1"/>
  <c r="ET10" i="6" a="1"/>
  <c r="ET10" i="6" s="1"/>
  <c r="ET7" i="6" a="1"/>
  <c r="ET7" i="6" s="1"/>
  <c r="ET15" i="6" a="1"/>
  <c r="ET15" i="6" s="1"/>
  <c r="ED16" i="6" a="1"/>
  <c r="ED16" i="6" s="1"/>
  <c r="ED9" i="6" a="1"/>
  <c r="ED9" i="6" s="1"/>
  <c r="ED14" i="6" a="1"/>
  <c r="ED14" i="6" s="1"/>
  <c r="ED7" i="6" a="1"/>
  <c r="ED7" i="6" s="1"/>
  <c r="ED12" i="6" a="1"/>
  <c r="ED12" i="6" s="1"/>
  <c r="ET8" i="6" a="1"/>
  <c r="ET8" i="6" s="1"/>
  <c r="ED8" i="6" a="1"/>
  <c r="ED8" i="6" s="1"/>
  <c r="ED11" i="6" a="1"/>
  <c r="ED11" i="6" s="1"/>
  <c r="ED10" i="6" a="1"/>
  <c r="ED10" i="6" s="1"/>
  <c r="ED13" i="6" a="1"/>
  <c r="ED13" i="6" s="1"/>
  <c r="EP6" i="6" a="1"/>
  <c r="EP6" i="6" s="1"/>
  <c r="EP12" i="6" a="1"/>
  <c r="EP12" i="6" s="1"/>
  <c r="EP16" i="6" a="1"/>
  <c r="EP16" i="6" s="1"/>
  <c r="EP11" i="6" a="1"/>
  <c r="EP11" i="6" s="1"/>
  <c r="EP15" i="6" a="1"/>
  <c r="EP15" i="6" s="1"/>
  <c r="EP10" i="6" a="1"/>
  <c r="EP10" i="6" s="1"/>
  <c r="EP8" i="6" a="1"/>
  <c r="EP8" i="6" s="1"/>
  <c r="EP13" i="6" a="1"/>
  <c r="EP13" i="6" s="1"/>
  <c r="ES6" i="6" a="1"/>
  <c r="ES6" i="6" s="1"/>
  <c r="ES8" i="6" a="1"/>
  <c r="ES8" i="6" s="1"/>
  <c r="EV9" i="6" a="1"/>
  <c r="EV9" i="6" s="1"/>
  <c r="ES12" i="6" a="1"/>
  <c r="ES12" i="6" s="1"/>
  <c r="EE15" i="6" a="1"/>
  <c r="EE15" i="6" s="1"/>
  <c r="ES7" i="6" a="1"/>
  <c r="ES7" i="6" s="1"/>
  <c r="ER12" i="6" a="1"/>
  <c r="ER12" i="6" s="1"/>
  <c r="EP9" i="6" a="1"/>
  <c r="EP9" i="6" s="1"/>
  <c r="ER13" i="6" a="1"/>
  <c r="ER13" i="6" s="1"/>
  <c r="ER11" i="6" a="1"/>
  <c r="ER11" i="6" s="1"/>
  <c r="ER7" i="6" a="1"/>
  <c r="ER7" i="6" s="1"/>
  <c r="ER10" i="6" a="1"/>
  <c r="ER10" i="6" s="1"/>
  <c r="EP7" i="6" a="1"/>
  <c r="EP7" i="6" s="1"/>
  <c r="ER8" i="6" a="1"/>
  <c r="ER8" i="6" s="1"/>
  <c r="ER6" i="6" a="1"/>
  <c r="ER6" i="6" s="1"/>
  <c r="ER14" i="6" a="1"/>
  <c r="ER14" i="6" s="1"/>
  <c r="EQ12" i="6" a="1"/>
  <c r="EQ12" i="6" s="1"/>
  <c r="EQ14" i="6" a="1"/>
  <c r="EQ14" i="6" s="1"/>
  <c r="EQ10" i="6" a="1"/>
  <c r="EQ10" i="6" s="1"/>
  <c r="EQ13" i="6" a="1"/>
  <c r="EQ13" i="6" s="1"/>
  <c r="EQ8" i="6" a="1"/>
  <c r="EQ8" i="6" s="1"/>
  <c r="EQ15" i="6" a="1"/>
  <c r="EQ15" i="6" s="1"/>
  <c r="ER9" i="6" a="1"/>
  <c r="ER9" i="6" s="1"/>
  <c r="EQ11" i="6" a="1"/>
  <c r="EQ11" i="6" s="1"/>
  <c r="EQ7" i="6" a="1"/>
  <c r="EQ7" i="6" s="1"/>
  <c r="EQ6" i="6" a="1"/>
  <c r="EQ6" i="6" s="1"/>
  <c r="EQ16" i="6" a="1"/>
  <c r="EQ16" i="6" s="1"/>
  <c r="ER16" i="6" a="1"/>
  <c r="ER16" i="6" s="1"/>
  <c r="D24" i="23"/>
  <c r="T24" i="23"/>
  <c r="I24" i="23"/>
  <c r="Y24" i="23"/>
  <c r="J24" i="23"/>
  <c r="Z24" i="23"/>
  <c r="K24" i="23"/>
  <c r="AA24" i="23"/>
  <c r="L24" i="23"/>
  <c r="M24" i="23"/>
  <c r="Q24" i="23"/>
  <c r="R24" i="23"/>
  <c r="M23" i="23"/>
  <c r="L23" i="23"/>
  <c r="N23" i="23"/>
  <c r="O23" i="23"/>
  <c r="P23" i="23"/>
  <c r="Q23" i="23"/>
  <c r="R23" i="23"/>
  <c r="S23" i="23"/>
  <c r="D23" i="23"/>
  <c r="T23" i="23"/>
  <c r="E23" i="23"/>
  <c r="U23" i="23"/>
  <c r="F23" i="23"/>
  <c r="V23" i="23"/>
  <c r="G23" i="23"/>
  <c r="W23" i="23"/>
  <c r="H23" i="23"/>
  <c r="X23" i="23"/>
  <c r="I23" i="23"/>
  <c r="Y23" i="23"/>
  <c r="J23" i="23"/>
  <c r="Z23" i="23"/>
  <c r="K23" i="23"/>
  <c r="N37" i="6"/>
  <c r="N31" i="6"/>
  <c r="EC9" i="6"/>
  <c r="N9" i="6"/>
  <c r="N30" i="6"/>
  <c r="EC6" i="6"/>
  <c r="N32" i="6"/>
  <c r="N10" i="6"/>
  <c r="EC16" i="6"/>
  <c r="N38" i="6"/>
  <c r="AB34" i="4"/>
  <c r="AH34" i="4"/>
  <c r="P34" i="4"/>
  <c r="J34" i="4"/>
  <c r="N7" i="6"/>
  <c r="F54" i="4"/>
  <c r="B46" i="22"/>
  <c r="C46" i="22" s="1"/>
  <c r="D22" i="4"/>
  <c r="V22" i="4" s="1"/>
  <c r="H40" i="4"/>
  <c r="J47" i="22"/>
  <c r="H34" i="4"/>
  <c r="G34" i="4"/>
  <c r="N11" i="6"/>
  <c r="N33" i="6"/>
  <c r="D45" i="22" a="1"/>
  <c r="D45" i="22" s="1"/>
  <c r="H22" i="4"/>
  <c r="D25" i="4"/>
  <c r="AN25" i="4" s="1"/>
  <c r="H41" i="4"/>
  <c r="V57" i="4"/>
  <c r="AN57" i="4"/>
  <c r="EC7" i="6"/>
  <c r="I48" i="22"/>
  <c r="AB39" i="4"/>
  <c r="D37" i="4"/>
  <c r="J37" i="4" s="1"/>
  <c r="G65" i="4"/>
  <c r="G57" i="4"/>
  <c r="D46" i="4"/>
  <c r="F41" i="4"/>
  <c r="AN39" i="4"/>
  <c r="G46" i="4"/>
  <c r="D41" i="4"/>
  <c r="AH39" i="4"/>
  <c r="E45" i="22" a="1"/>
  <c r="E45" i="22" s="1"/>
  <c r="J39" i="4"/>
  <c r="D45" i="4"/>
  <c r="AH45" i="4" s="1"/>
  <c r="D26" i="4"/>
  <c r="AB26" i="4" s="1"/>
  <c r="F26" i="4"/>
  <c r="H47" i="22" a="1"/>
  <c r="H47" i="22" s="1"/>
  <c r="H40" i="22" a="1"/>
  <c r="H40" i="22" s="1"/>
  <c r="D44" i="4"/>
  <c r="J44" i="4" s="1"/>
  <c r="D61" i="4"/>
  <c r="V61" i="4" s="1"/>
  <c r="K47" i="22"/>
  <c r="H28" i="4"/>
  <c r="D25" i="5"/>
  <c r="H38" i="22" a="1"/>
  <c r="H38" i="22" s="1"/>
  <c r="D36" i="4"/>
  <c r="AN36" i="4" s="1"/>
  <c r="H42" i="4"/>
  <c r="C41" i="22"/>
  <c r="I41" i="22"/>
  <c r="F41" i="22" a="1"/>
  <c r="F41" i="22" s="1"/>
  <c r="E41" i="22" a="1"/>
  <c r="E41" i="22" s="1"/>
  <c r="H41" i="22" a="1"/>
  <c r="H41" i="22" s="1"/>
  <c r="D41" i="22" a="1"/>
  <c r="D41" i="22" s="1"/>
  <c r="K41" i="22"/>
  <c r="G21" i="4"/>
  <c r="F27" i="4"/>
  <c r="D20" i="4"/>
  <c r="AH20" i="4" s="1"/>
  <c r="H50" i="22" a="1"/>
  <c r="H50" i="22" s="1"/>
  <c r="D53" i="4"/>
  <c r="I47" i="22"/>
  <c r="H26" i="4"/>
  <c r="D28" i="4"/>
  <c r="V28" i="4" s="1"/>
  <c r="F37" i="4"/>
  <c r="G28" i="4"/>
  <c r="H59" i="4"/>
  <c r="G29" i="4"/>
  <c r="F44" i="4"/>
  <c r="D29" i="4"/>
  <c r="P29" i="4" s="1"/>
  <c r="K45" i="22"/>
  <c r="C37" i="22"/>
  <c r="G59" i="4"/>
  <c r="I45" i="22"/>
  <c r="D32" i="5"/>
  <c r="G32" i="4"/>
  <c r="D59" i="4"/>
  <c r="C45" i="22"/>
  <c r="J45" i="22"/>
  <c r="I50" i="22"/>
  <c r="G33" i="4"/>
  <c r="H54" i="4"/>
  <c r="H37" i="22" a="1"/>
  <c r="H37" i="22" s="1"/>
  <c r="H29" i="4"/>
  <c r="H64" i="4"/>
  <c r="J50" i="22"/>
  <c r="I38" i="22"/>
  <c r="F38" i="4"/>
  <c r="F64" i="4"/>
  <c r="H45" i="22" a="1"/>
  <c r="H45" i="22" s="1"/>
  <c r="J19" i="4"/>
  <c r="F60" i="4"/>
  <c r="D29" i="5"/>
  <c r="H47" i="4"/>
  <c r="H38" i="4"/>
  <c r="G38" i="4"/>
  <c r="D60" i="4"/>
  <c r="AH60" i="4" s="1"/>
  <c r="K46" i="22"/>
  <c r="G60" i="4"/>
  <c r="F31" i="4"/>
  <c r="G63" i="4"/>
  <c r="D27" i="4"/>
  <c r="J27" i="4" s="1"/>
  <c r="H44" i="4"/>
  <c r="F45" i="22" a="1"/>
  <c r="F45" i="22" s="1"/>
  <c r="G27" i="4"/>
  <c r="H49" i="22" a="1"/>
  <c r="H49" i="22" s="1"/>
  <c r="J57" i="4"/>
  <c r="F66" i="4"/>
  <c r="D32" i="4"/>
  <c r="E43" i="22" a="1"/>
  <c r="E43" i="22" s="1"/>
  <c r="H43" i="22" a="1"/>
  <c r="H43" i="22" s="1"/>
  <c r="F43" i="22" a="1"/>
  <c r="F43" i="22" s="1"/>
  <c r="J43" i="22"/>
  <c r="K43" i="22"/>
  <c r="D43" i="22" a="1"/>
  <c r="D43" i="22" s="1"/>
  <c r="C43" i="22"/>
  <c r="P65" i="4"/>
  <c r="AH65" i="4"/>
  <c r="F40" i="22" a="1"/>
  <c r="F40" i="22" s="1"/>
  <c r="H46" i="22" a="1"/>
  <c r="H46" i="22" s="1"/>
  <c r="H65" i="4"/>
  <c r="D30" i="5"/>
  <c r="D48" i="22" a="1"/>
  <c r="D48" i="22" s="1"/>
  <c r="F48" i="22" a="1"/>
  <c r="F48" i="22" s="1"/>
  <c r="E48" i="22" a="1"/>
  <c r="E48" i="22" s="1"/>
  <c r="K40" i="22"/>
  <c r="F65" i="4"/>
  <c r="I46" i="22"/>
  <c r="G40" i="4"/>
  <c r="G51" i="4"/>
  <c r="I40" i="22"/>
  <c r="N34" i="6"/>
  <c r="F40" i="4"/>
  <c r="J33" i="4"/>
  <c r="H21" i="4"/>
  <c r="U62" i="1"/>
  <c r="P49" i="4"/>
  <c r="G35" i="4"/>
  <c r="V49" i="4"/>
  <c r="AB49" i="4"/>
  <c r="J40" i="22"/>
  <c r="G54" i="4"/>
  <c r="D50" i="4"/>
  <c r="V50" i="4" s="1"/>
  <c r="E46" i="22" a="1"/>
  <c r="E46" i="22" s="1"/>
  <c r="F50" i="4"/>
  <c r="H35" i="4"/>
  <c r="D48" i="4"/>
  <c r="V48" i="4" s="1"/>
  <c r="H24" i="4"/>
  <c r="E40" i="22" a="1"/>
  <c r="E40" i="22" s="1"/>
  <c r="G48" i="4"/>
  <c r="D21" i="4"/>
  <c r="AH21" i="4" s="1"/>
  <c r="F48" i="4"/>
  <c r="D35" i="4"/>
  <c r="J35" i="4" s="1"/>
  <c r="AH66" i="4"/>
  <c r="AB66" i="4"/>
  <c r="AN66" i="4"/>
  <c r="AN43" i="4"/>
  <c r="AB43" i="4"/>
  <c r="AH43" i="4"/>
  <c r="V43" i="4"/>
  <c r="J43" i="4"/>
  <c r="P43" i="4"/>
  <c r="AN56" i="4"/>
  <c r="AB56" i="4"/>
  <c r="P56" i="4"/>
  <c r="V56" i="4"/>
  <c r="AH56" i="4"/>
  <c r="J56" i="4"/>
  <c r="J44" i="22"/>
  <c r="C44" i="22"/>
  <c r="D44" i="22" a="1"/>
  <c r="D44" i="22" s="1"/>
  <c r="I44" i="22"/>
  <c r="K44" i="22"/>
  <c r="E44" i="22" a="1"/>
  <c r="E44" i="22" s="1"/>
  <c r="H44" i="22" a="1"/>
  <c r="H44" i="22" s="1"/>
  <c r="F44" i="22" a="1"/>
  <c r="F44" i="22" s="1"/>
  <c r="P23" i="4"/>
  <c r="D63" i="4"/>
  <c r="H52" i="4"/>
  <c r="F51" i="4"/>
  <c r="G62" i="4"/>
  <c r="F43" i="4"/>
  <c r="F63" i="4"/>
  <c r="F37" i="22" a="1"/>
  <c r="F37" i="22" s="1"/>
  <c r="K49" i="22"/>
  <c r="J23" i="4"/>
  <c r="G56" i="4"/>
  <c r="G20" i="4"/>
  <c r="K37" i="22"/>
  <c r="I49" i="22"/>
  <c r="G58" i="4"/>
  <c r="H19" i="4"/>
  <c r="V33" i="4"/>
  <c r="D37" i="22" a="1"/>
  <c r="D37" i="22" s="1"/>
  <c r="I37" i="22"/>
  <c r="G42" i="4"/>
  <c r="D26" i="5"/>
  <c r="F56" i="4"/>
  <c r="D42" i="4"/>
  <c r="B42" i="22"/>
  <c r="AH19" i="4"/>
  <c r="J65" i="4"/>
  <c r="H58" i="4"/>
  <c r="D31" i="4"/>
  <c r="P31" i="4" s="1"/>
  <c r="G18" i="4"/>
  <c r="AN19" i="4"/>
  <c r="H25" i="4"/>
  <c r="G47" i="4"/>
  <c r="D58" i="4"/>
  <c r="AB58" i="4" s="1"/>
  <c r="P33" i="4"/>
  <c r="D47" i="4"/>
  <c r="J47" i="4" s="1"/>
  <c r="D18" i="4"/>
  <c r="G43" i="4"/>
  <c r="D24" i="4"/>
  <c r="I43" i="22"/>
  <c r="H51" i="4"/>
  <c r="H43" i="4"/>
  <c r="F52" i="4"/>
  <c r="J41" i="22"/>
  <c r="C40" i="22"/>
  <c r="F24" i="4"/>
  <c r="F19" i="4"/>
  <c r="F30" i="4"/>
  <c r="D21" i="5"/>
  <c r="G52" i="4"/>
  <c r="D30" i="4"/>
  <c r="D27" i="5"/>
  <c r="AN52" i="4"/>
  <c r="AH38" i="4"/>
  <c r="J67" i="4"/>
  <c r="AB38" i="4"/>
  <c r="P38" i="4"/>
  <c r="AB52" i="4"/>
  <c r="V52" i="4"/>
  <c r="AB67" i="4"/>
  <c r="AH52" i="4"/>
  <c r="AH67" i="4"/>
  <c r="AB23" i="4"/>
  <c r="P67" i="4"/>
  <c r="AN67" i="4"/>
  <c r="P52" i="4"/>
  <c r="AB57" i="4"/>
  <c r="P57" i="4"/>
  <c r="N12" i="6"/>
  <c r="V65" i="4"/>
  <c r="AN65" i="4"/>
  <c r="P39" i="4"/>
  <c r="AB65" i="4"/>
  <c r="AN38" i="4"/>
  <c r="J38" i="4"/>
  <c r="AN51" i="4"/>
  <c r="V23" i="4"/>
  <c r="AN23" i="4"/>
  <c r="AH51" i="4"/>
  <c r="P51" i="4"/>
  <c r="AH33" i="4"/>
  <c r="AB51" i="4"/>
  <c r="J51" i="4"/>
  <c r="AB33" i="4"/>
  <c r="EC13" i="6"/>
  <c r="N35" i="6"/>
  <c r="EC8" i="6"/>
  <c r="N36" i="6"/>
  <c r="AN54" i="4"/>
  <c r="AB54" i="4"/>
  <c r="J54" i="4"/>
  <c r="P54" i="4"/>
  <c r="AH54" i="4"/>
  <c r="V54" i="4"/>
  <c r="AB55" i="4"/>
  <c r="J55" i="4"/>
  <c r="P55" i="4"/>
  <c r="V55" i="4"/>
  <c r="AN55" i="4"/>
  <c r="AH55" i="4"/>
  <c r="J48" i="22"/>
  <c r="K48" i="22"/>
  <c r="C48" i="22"/>
  <c r="H48" i="22" a="1"/>
  <c r="H48" i="22" s="1"/>
  <c r="C50" i="22"/>
  <c r="K50" i="22"/>
  <c r="C38" i="22"/>
  <c r="J38" i="22"/>
  <c r="U55" i="16"/>
  <c r="V51" i="16"/>
  <c r="J49" i="4"/>
  <c r="AN49" i="4"/>
  <c r="V40" i="4"/>
  <c r="AH40" i="4"/>
  <c r="AN40" i="4"/>
  <c r="P40" i="4"/>
  <c r="AB40" i="4"/>
  <c r="AK65" i="9" a="1"/>
  <c r="AK65" i="9" s="1"/>
  <c r="AS67" i="9" a="1"/>
  <c r="AS67" i="9" s="1"/>
  <c r="AL66" i="9" a="1"/>
  <c r="AL66" i="9" s="1"/>
  <c r="AL67" i="9" a="1"/>
  <c r="AL67" i="9" s="1"/>
  <c r="BB67" i="9" a="1"/>
  <c r="BB67" i="9" s="1"/>
  <c r="H46" i="4"/>
  <c r="AX88" i="9" a="1"/>
  <c r="AX88" i="9" s="1"/>
  <c r="AR86" i="9" a="1"/>
  <c r="AR86" i="9" s="1"/>
  <c r="AV86" i="9" a="1"/>
  <c r="AV86" i="9" s="1"/>
  <c r="AK87" i="9" a="1"/>
  <c r="AK87" i="9" s="1"/>
  <c r="BD87" i="9" a="1"/>
  <c r="BD87" i="9" s="1"/>
  <c r="AM87" i="9" a="1"/>
  <c r="AM87" i="9" s="1"/>
  <c r="AT87" i="9" a="1"/>
  <c r="AT87" i="9" s="1"/>
  <c r="AJ87" i="9" a="1"/>
  <c r="AJ87" i="9" s="1"/>
  <c r="AS87" i="9" a="1"/>
  <c r="AS87" i="9" s="1"/>
  <c r="AH88" i="9" a="1"/>
  <c r="AH88" i="9" s="1"/>
  <c r="AP88" i="9" a="1"/>
  <c r="AP88" i="9" s="1"/>
  <c r="F36" i="4"/>
  <c r="G36" i="4"/>
  <c r="K40" i="4"/>
  <c r="J40" i="4"/>
  <c r="J59" i="5"/>
  <c r="Z60" i="5"/>
  <c r="W69" i="5"/>
  <c r="AQ88" i="9" a="1"/>
  <c r="AQ88" i="9" s="1"/>
  <c r="F62" i="4"/>
  <c r="AZ87" i="9" a="1"/>
  <c r="AZ87" i="9" s="1"/>
  <c r="G55" i="4"/>
  <c r="D62" i="4"/>
  <c r="J66" i="4"/>
  <c r="AM86" i="9" a="1"/>
  <c r="AM86" i="9" s="1"/>
  <c r="AH57" i="4"/>
  <c r="W49" i="5"/>
  <c r="J22" i="5"/>
  <c r="H32" i="5"/>
  <c r="J24" i="5"/>
  <c r="J45" i="5"/>
  <c r="H59" i="5"/>
  <c r="H53" i="5"/>
  <c r="H23" i="5"/>
  <c r="AQ86" i="9" a="1"/>
  <c r="AQ86" i="9" s="1"/>
  <c r="G30" i="4"/>
  <c r="V66" i="4"/>
  <c r="BB88" i="9" a="1"/>
  <c r="BB88" i="9" s="1"/>
  <c r="AX86" i="9" a="1"/>
  <c r="AX86" i="9" s="1"/>
  <c r="AV87" i="9" a="1"/>
  <c r="AV87" i="9" s="1"/>
  <c r="W31" i="5"/>
  <c r="P66" i="4"/>
  <c r="H50" i="4"/>
  <c r="AX25" i="9" a="1"/>
  <c r="AX25" i="9" s="1"/>
  <c r="AJ86" i="9" a="1"/>
  <c r="AJ86" i="9" s="1"/>
  <c r="AL88" i="9" a="1"/>
  <c r="AL88" i="9" s="1"/>
  <c r="BC86" i="9" a="1"/>
  <c r="BC86" i="9" s="1"/>
  <c r="AW66" i="9" a="1"/>
  <c r="AW66" i="9" s="1"/>
  <c r="BB65" i="9" a="1"/>
  <c r="BB65" i="9" s="1"/>
  <c r="H57" i="4"/>
  <c r="F57" i="4"/>
  <c r="J46" i="22"/>
  <c r="AL86" i="9" a="1"/>
  <c r="AL86" i="9" s="1"/>
  <c r="AS86" i="9" a="1"/>
  <c r="AS86" i="9" s="1"/>
  <c r="AH86" i="9" a="1"/>
  <c r="AH86" i="9" s="1"/>
  <c r="AW88" i="9" a="1"/>
  <c r="AW88" i="9" s="1"/>
  <c r="F23" i="4"/>
  <c r="B39" i="22"/>
  <c r="K62" i="4"/>
  <c r="F20" i="4"/>
  <c r="AX87" i="9" a="1"/>
  <c r="AX87" i="9" s="1"/>
  <c r="AI67" i="9" a="1"/>
  <c r="AI67" i="9" s="1"/>
  <c r="AZ88" i="9" a="1"/>
  <c r="AZ88" i="9" s="1"/>
  <c r="AU88" i="9" a="1"/>
  <c r="AU88" i="9" s="1"/>
  <c r="AS65" i="9" a="1"/>
  <c r="AS65" i="9" s="1"/>
  <c r="AV45" i="9" a="1"/>
  <c r="AV45" i="9" s="1"/>
  <c r="AI46" i="9" a="1"/>
  <c r="AI46" i="9" s="1"/>
  <c r="AN46" i="9" a="1"/>
  <c r="AN46" i="9" s="1"/>
  <c r="BC44" i="9" a="1"/>
  <c r="BC44" i="9" s="1"/>
  <c r="AG44" i="9" a="1"/>
  <c r="AG44" i="9" s="1"/>
  <c r="AW46" i="9" a="1"/>
  <c r="AW46" i="9" s="1"/>
  <c r="G25" i="4"/>
  <c r="G45" i="4"/>
  <c r="H45" i="4"/>
  <c r="H53" i="4"/>
  <c r="F53" i="4"/>
  <c r="O31" i="16"/>
  <c r="R31" i="16" s="1"/>
  <c r="O34" i="16"/>
  <c r="R34" i="16" s="1"/>
  <c r="O35" i="16"/>
  <c r="R35" i="16" s="1"/>
  <c r="ES15" i="6" a="1"/>
  <c r="ES15" i="6" s="1"/>
  <c r="ES11" i="6" a="1"/>
  <c r="ES11" i="6" s="1"/>
  <c r="ES10" i="6" a="1"/>
  <c r="ES10" i="6" s="1"/>
  <c r="ES13" i="6" a="1"/>
  <c r="ES13" i="6" s="1"/>
  <c r="ES16" i="6" a="1"/>
  <c r="ES16" i="6" s="1"/>
  <c r="ES9" i="6" a="1"/>
  <c r="ES9" i="6" s="1"/>
  <c r="L54" i="16"/>
  <c r="R54" i="16" s="1"/>
  <c r="ET16" i="6" a="1"/>
  <c r="ET16" i="6" s="1"/>
  <c r="ET9" i="6" a="1"/>
  <c r="ET9" i="6" s="1"/>
  <c r="ET13" i="6" a="1"/>
  <c r="ET13" i="6" s="1"/>
  <c r="ET11" i="6" a="1"/>
  <c r="ET11" i="6" s="1"/>
  <c r="EU10" i="6" a="1"/>
  <c r="EU10" i="6" s="1"/>
  <c r="EU13" i="6" a="1"/>
  <c r="EU13" i="6" s="1"/>
  <c r="EV16" i="6" a="1"/>
  <c r="EV16" i="6" s="1"/>
  <c r="EV11" i="6" a="1"/>
  <c r="EV11" i="6" s="1"/>
  <c r="E37" i="22" l="1" a="1"/>
  <c r="E37" i="22" s="1"/>
  <c r="P64" i="4"/>
  <c r="AB64" i="4"/>
  <c r="V64" i="4"/>
  <c r="J64" i="4"/>
  <c r="AH64" i="4"/>
  <c r="AB36" i="5"/>
  <c r="AD36" i="5"/>
  <c r="AB29" i="5"/>
  <c r="AD29" i="5"/>
  <c r="AD22" i="5"/>
  <c r="AB22" i="5"/>
  <c r="AB25" i="5"/>
  <c r="AD25" i="5"/>
  <c r="AH19" i="6"/>
  <c r="D68" i="18"/>
  <c r="I10" i="6" s="1"/>
  <c r="H10" i="6"/>
  <c r="AC31" i="5"/>
  <c r="AA31" i="5"/>
  <c r="AB31" i="5" s="1"/>
  <c r="AA33" i="5"/>
  <c r="AC35" i="5"/>
  <c r="AD35" i="5" s="1"/>
  <c r="AA35" i="5"/>
  <c r="AB35" i="5" s="1"/>
  <c r="D90" i="18"/>
  <c r="I12" i="6" s="1"/>
  <c r="G12" i="6"/>
  <c r="AC23" i="5"/>
  <c r="AA23" i="5"/>
  <c r="AB23" i="5" s="1"/>
  <c r="AA55" i="5"/>
  <c r="AB55" i="5" s="1"/>
  <c r="V52" i="16"/>
  <c r="U52" i="16"/>
  <c r="AA40" i="5"/>
  <c r="AB40" i="5" s="1"/>
  <c r="AC32" i="5"/>
  <c r="AA32" i="5"/>
  <c r="AD32" i="5" s="1"/>
  <c r="AA49" i="5"/>
  <c r="AB49" i="5" s="1"/>
  <c r="AC37" i="5"/>
  <c r="AA37" i="5"/>
  <c r="AB37" i="5" s="1"/>
  <c r="AC21" i="5"/>
  <c r="AA21" i="5"/>
  <c r="AB21" i="5" s="1"/>
  <c r="AA69" i="5"/>
  <c r="AB69" i="5" s="1"/>
  <c r="AD30" i="5"/>
  <c r="AC38" i="5"/>
  <c r="AA38" i="5"/>
  <c r="AB38" i="5" s="1"/>
  <c r="AC27" i="5"/>
  <c r="AA27" i="5"/>
  <c r="AB27" i="5" s="1"/>
  <c r="AC39" i="5"/>
  <c r="AA39" i="5"/>
  <c r="AB39" i="5" s="1"/>
  <c r="AD26" i="5"/>
  <c r="AC28" i="5"/>
  <c r="AD28" i="5" s="1"/>
  <c r="AA28" i="5"/>
  <c r="AB28" i="5" s="1"/>
  <c r="AH18" i="6"/>
  <c r="D35" i="18"/>
  <c r="I7" i="6" s="1"/>
  <c r="AC24" i="5"/>
  <c r="AD24" i="5" s="1"/>
  <c r="AA24" i="5"/>
  <c r="AB24" i="5" s="1"/>
  <c r="AA56" i="5"/>
  <c r="AB56" i="5" s="1"/>
  <c r="AC34" i="5"/>
  <c r="AA34" i="5"/>
  <c r="AB34" i="5" s="1"/>
  <c r="AA53" i="5"/>
  <c r="AB53" i="5" s="1"/>
  <c r="D101" i="18"/>
  <c r="I13" i="6" s="1"/>
  <c r="H13" i="6"/>
  <c r="D46" i="18"/>
  <c r="I8" i="6" s="1"/>
  <c r="G8" i="6"/>
  <c r="AA46" i="5"/>
  <c r="AB46" i="5" s="1"/>
  <c r="AA20" i="5"/>
  <c r="AB20" i="5" s="1"/>
  <c r="AC20" i="5"/>
  <c r="AB27" i="4"/>
  <c r="AH20" i="6"/>
  <c r="AH26" i="6"/>
  <c r="AH21" i="6"/>
  <c r="AH22" i="6"/>
  <c r="AH23" i="6"/>
  <c r="AH25" i="6"/>
  <c r="AH24" i="6"/>
  <c r="J45" i="4"/>
  <c r="AB19" i="4"/>
  <c r="P19" i="4"/>
  <c r="AN45" i="4"/>
  <c r="AH26" i="4"/>
  <c r="AN29" i="4"/>
  <c r="V29" i="4"/>
  <c r="P26" i="4"/>
  <c r="J29" i="4"/>
  <c r="G49" i="22" a="1"/>
  <c r="G49" i="22" s="1"/>
  <c r="AN26" i="4"/>
  <c r="D46" i="22" a="1"/>
  <c r="D46" i="22" s="1"/>
  <c r="F46" i="22" a="1"/>
  <c r="F46" i="22" s="1"/>
  <c r="W30" i="6"/>
  <c r="T32" i="6"/>
  <c r="Y36" i="6"/>
  <c r="Z31" i="6"/>
  <c r="AD30" i="6"/>
  <c r="V33" i="6"/>
  <c r="AG35" i="6"/>
  <c r="Y38" i="6"/>
  <c r="AF31" i="6"/>
  <c r="R36" i="6"/>
  <c r="Y30" i="6"/>
  <c r="AG33" i="6"/>
  <c r="S38" i="6"/>
  <c r="T33" i="6"/>
  <c r="X32" i="6"/>
  <c r="P35" i="6"/>
  <c r="AA37" i="6"/>
  <c r="R30" i="6"/>
  <c r="Z33" i="6"/>
  <c r="AE37" i="6"/>
  <c r="V31" i="6"/>
  <c r="AD34" i="6"/>
  <c r="AG32" i="6"/>
  <c r="Q34" i="6"/>
  <c r="U33" i="6"/>
  <c r="AF35" i="6"/>
  <c r="X38" i="6"/>
  <c r="O31" i="6"/>
  <c r="W34" i="6"/>
  <c r="AB38" i="6"/>
  <c r="O37" i="6"/>
  <c r="AE38" i="6"/>
  <c r="S32" i="6"/>
  <c r="AA35" i="6"/>
  <c r="Y35" i="6"/>
  <c r="AG34" i="6"/>
  <c r="R34" i="6"/>
  <c r="AC36" i="6"/>
  <c r="Q32" i="6"/>
  <c r="AE31" i="6"/>
  <c r="T35" i="6"/>
  <c r="U30" i="6"/>
  <c r="T31" i="6"/>
  <c r="V30" i="6"/>
  <c r="P33" i="6"/>
  <c r="X36" i="6"/>
  <c r="AB30" i="6"/>
  <c r="AD35" i="6"/>
  <c r="O35" i="6"/>
  <c r="Z37" i="6"/>
  <c r="AB34" i="6"/>
  <c r="AB32" i="6"/>
  <c r="Q36" i="6"/>
  <c r="R31" i="6"/>
  <c r="AC32" i="6"/>
  <c r="S31" i="6"/>
  <c r="AF33" i="6"/>
  <c r="U37" i="6"/>
  <c r="Y31" i="6"/>
  <c r="AA36" i="6"/>
  <c r="AE35" i="6"/>
  <c r="W38" i="6"/>
  <c r="Q30" i="6"/>
  <c r="Y33" i="6"/>
  <c r="AG36" i="6"/>
  <c r="O32" i="6"/>
  <c r="AD36" i="6"/>
  <c r="P32" i="6"/>
  <c r="AC34" i="6"/>
  <c r="R38" i="6"/>
  <c r="V32" i="6"/>
  <c r="X37" i="6"/>
  <c r="AB36" i="6"/>
  <c r="X35" i="6"/>
  <c r="AG30" i="6"/>
  <c r="V34" i="6"/>
  <c r="AD37" i="6"/>
  <c r="AE32" i="6"/>
  <c r="W32" i="6"/>
  <c r="P36" i="4"/>
  <c r="AN22" i="4"/>
  <c r="AF32" i="6"/>
  <c r="Z35" i="6"/>
  <c r="AA34" i="6"/>
  <c r="S33" i="6"/>
  <c r="U38" i="6"/>
  <c r="Y37" i="6"/>
  <c r="S37" i="6"/>
  <c r="AD31" i="6"/>
  <c r="S35" i="6"/>
  <c r="AA38" i="6"/>
  <c r="AB33" i="6"/>
  <c r="AC33" i="6"/>
  <c r="W36" i="6"/>
  <c r="AA30" i="6"/>
  <c r="P34" i="6"/>
  <c r="O38" i="6"/>
  <c r="V38" i="6"/>
  <c r="P30" i="6"/>
  <c r="AA32" i="6"/>
  <c r="P36" i="6"/>
  <c r="T30" i="6"/>
  <c r="Y34" i="6"/>
  <c r="V37" i="6"/>
  <c r="Z34" i="6"/>
  <c r="T37" i="6"/>
  <c r="X31" i="6"/>
  <c r="AF34" i="6"/>
  <c r="X30" i="6"/>
  <c r="R37" i="6"/>
  <c r="AF30" i="6"/>
  <c r="X33" i="6"/>
  <c r="AF36" i="6"/>
  <c r="Q31" i="6"/>
  <c r="V35" i="6"/>
  <c r="AA31" i="6"/>
  <c r="W35" i="6"/>
  <c r="Q38" i="6"/>
  <c r="U32" i="6"/>
  <c r="AC35" i="6"/>
  <c r="U31" i="6"/>
  <c r="AF38" i="6"/>
  <c r="AC31" i="6"/>
  <c r="U34" i="6"/>
  <c r="AC37" i="6"/>
  <c r="AG31" i="6"/>
  <c r="S36" i="6"/>
  <c r="Q33" i="6"/>
  <c r="T36" i="6"/>
  <c r="AG38" i="6"/>
  <c r="R33" i="6"/>
  <c r="Z36" i="6"/>
  <c r="R32" i="6"/>
  <c r="O30" i="6"/>
  <c r="Z32" i="6"/>
  <c r="R35" i="6"/>
  <c r="Z38" i="6"/>
  <c r="AD32" i="6"/>
  <c r="P37" i="6"/>
  <c r="V36" i="6"/>
  <c r="Q37" i="6"/>
  <c r="U36" i="6"/>
  <c r="O34" i="6"/>
  <c r="W37" i="6"/>
  <c r="O33" i="6"/>
  <c r="AE30" i="6"/>
  <c r="W33" i="6"/>
  <c r="O36" i="6"/>
  <c r="AD33" i="6"/>
  <c r="AA33" i="6"/>
  <c r="AF37" i="6"/>
  <c r="S34" i="6"/>
  <c r="AG37" i="6"/>
  <c r="Z30" i="6"/>
  <c r="AE34" i="6"/>
  <c r="T38" i="6"/>
  <c r="AE33" i="6"/>
  <c r="AB31" i="6"/>
  <c r="T34" i="6"/>
  <c r="AE36" i="6"/>
  <c r="S30" i="6"/>
  <c r="X34" i="6"/>
  <c r="AC38" i="6"/>
  <c r="AD38" i="6"/>
  <c r="W31" i="6"/>
  <c r="AB35" i="6"/>
  <c r="AC30" i="6"/>
  <c r="P38" i="6"/>
  <c r="Y32" i="6"/>
  <c r="Q35" i="6"/>
  <c r="AB37" i="6"/>
  <c r="P31" i="6"/>
  <c r="V26" i="4"/>
  <c r="J26" i="4"/>
  <c r="AH22" i="4"/>
  <c r="V45" i="4"/>
  <c r="AB45" i="4"/>
  <c r="P27" i="4"/>
  <c r="V44" i="4"/>
  <c r="P22" i="4"/>
  <c r="P44" i="4"/>
  <c r="AB44" i="4"/>
  <c r="AB22" i="4"/>
  <c r="V20" i="4"/>
  <c r="AH61" i="4"/>
  <c r="J22" i="4"/>
  <c r="AN20" i="4"/>
  <c r="V36" i="4"/>
  <c r="AH36" i="4"/>
  <c r="AB36" i="4"/>
  <c r="AH44" i="4"/>
  <c r="J36" i="4"/>
  <c r="AB47" i="4"/>
  <c r="AN60" i="4"/>
  <c r="C49" i="22"/>
  <c r="F49" i="22" a="1"/>
  <c r="F49" i="22" s="1"/>
  <c r="D49" i="22" a="1"/>
  <c r="D49" i="22" s="1"/>
  <c r="E49" i="22" a="1"/>
  <c r="E49" i="22" s="1"/>
  <c r="P45" i="4"/>
  <c r="U39" i="1"/>
  <c r="EW12" i="6"/>
  <c r="EW14" i="6"/>
  <c r="EW8" i="6"/>
  <c r="EW15" i="6"/>
  <c r="EW6" i="6"/>
  <c r="EW7" i="6"/>
  <c r="EW13" i="6"/>
  <c r="EW10" i="6"/>
  <c r="AB29" i="4"/>
  <c r="AN44" i="4"/>
  <c r="P60" i="4"/>
  <c r="V60" i="4"/>
  <c r="J60" i="4"/>
  <c r="AB60" i="4"/>
  <c r="AH29" i="4"/>
  <c r="AB25" i="4"/>
  <c r="AH25" i="4"/>
  <c r="P25" i="4"/>
  <c r="V25" i="4"/>
  <c r="J25" i="4"/>
  <c r="AN61" i="4"/>
  <c r="J20" i="4"/>
  <c r="AB61" i="4"/>
  <c r="AB20" i="4"/>
  <c r="J61" i="4"/>
  <c r="P48" i="4"/>
  <c r="P61" i="4"/>
  <c r="P20" i="4"/>
  <c r="U56" i="1"/>
  <c r="P37" i="4"/>
  <c r="AN37" i="4"/>
  <c r="AH37" i="4"/>
  <c r="U55" i="1"/>
  <c r="AB37" i="4"/>
  <c r="U57" i="1"/>
  <c r="V37" i="4"/>
  <c r="U53" i="1"/>
  <c r="U33" i="1"/>
  <c r="U19" i="1"/>
  <c r="AB41" i="4"/>
  <c r="J41" i="4"/>
  <c r="P41" i="4"/>
  <c r="V41" i="4"/>
  <c r="AH41" i="4"/>
  <c r="AN41" i="4"/>
  <c r="U34" i="1"/>
  <c r="U48" i="1"/>
  <c r="U49" i="1"/>
  <c r="V46" i="4"/>
  <c r="J46" i="4"/>
  <c r="AB46" i="4"/>
  <c r="P46" i="4"/>
  <c r="AH46" i="4"/>
  <c r="AN46" i="4"/>
  <c r="U25" i="1"/>
  <c r="U21" i="1"/>
  <c r="J21" i="4"/>
  <c r="U50" i="1"/>
  <c r="U26" i="1"/>
  <c r="U38" i="1"/>
  <c r="V47" i="4"/>
  <c r="U28" i="1"/>
  <c r="U54" i="1"/>
  <c r="U22" i="1"/>
  <c r="J28" i="4"/>
  <c r="U46" i="1"/>
  <c r="U37" i="1"/>
  <c r="V53" i="4"/>
  <c r="AB53" i="4"/>
  <c r="AN53" i="4"/>
  <c r="AH53" i="4"/>
  <c r="P53" i="4"/>
  <c r="J53" i="4"/>
  <c r="U36" i="1"/>
  <c r="U27" i="1"/>
  <c r="U41" i="1"/>
  <c r="U63" i="1"/>
  <c r="U44" i="1"/>
  <c r="U45" i="1"/>
  <c r="U61" i="1"/>
  <c r="U17" i="1"/>
  <c r="U52" i="1"/>
  <c r="U30" i="1"/>
  <c r="U59" i="1"/>
  <c r="U23" i="1"/>
  <c r="AB28" i="4"/>
  <c r="AN28" i="4"/>
  <c r="AH28" i="4"/>
  <c r="U47" i="1"/>
  <c r="U40" i="1"/>
  <c r="P28" i="4"/>
  <c r="U35" i="1"/>
  <c r="P59" i="4"/>
  <c r="V59" i="4"/>
  <c r="AB59" i="4"/>
  <c r="J59" i="4"/>
  <c r="AN59" i="4"/>
  <c r="AH59" i="4"/>
  <c r="U60" i="1"/>
  <c r="V27" i="4"/>
  <c r="AN27" i="4"/>
  <c r="AH27" i="4"/>
  <c r="U20" i="1"/>
  <c r="U24" i="1"/>
  <c r="J48" i="4"/>
  <c r="D71" i="5"/>
  <c r="U51" i="1"/>
  <c r="AH48" i="4"/>
  <c r="U65" i="1"/>
  <c r="AN32" i="4"/>
  <c r="V32" i="4"/>
  <c r="AB32" i="4"/>
  <c r="J32" i="4"/>
  <c r="AH32" i="4"/>
  <c r="P32" i="4"/>
  <c r="U58" i="1"/>
  <c r="P21" i="4"/>
  <c r="U42" i="1"/>
  <c r="V21" i="4"/>
  <c r="AB21" i="4"/>
  <c r="U31" i="1"/>
  <c r="U32" i="1"/>
  <c r="U64" i="1"/>
  <c r="AN21" i="4"/>
  <c r="U18" i="1"/>
  <c r="V35" i="4"/>
  <c r="AB35" i="4"/>
  <c r="AN35" i="4"/>
  <c r="AH35" i="4"/>
  <c r="P35" i="4"/>
  <c r="AN31" i="4"/>
  <c r="AN50" i="4"/>
  <c r="J50" i="4"/>
  <c r="P50" i="4"/>
  <c r="AH50" i="4"/>
  <c r="AB50" i="4"/>
  <c r="P47" i="4"/>
  <c r="U43" i="1"/>
  <c r="U29" i="1"/>
  <c r="AB48" i="4"/>
  <c r="AN48" i="4"/>
  <c r="P24" i="4"/>
  <c r="V24" i="4"/>
  <c r="AN24" i="4"/>
  <c r="AB24" i="4"/>
  <c r="AH24" i="4"/>
  <c r="J24" i="4"/>
  <c r="AN63" i="4"/>
  <c r="P63" i="4"/>
  <c r="J63" i="4"/>
  <c r="V63" i="4"/>
  <c r="AH63" i="4"/>
  <c r="AB63" i="4"/>
  <c r="AH30" i="4"/>
  <c r="P30" i="4"/>
  <c r="J30" i="4"/>
  <c r="V30" i="4"/>
  <c r="AN30" i="4"/>
  <c r="AB30" i="4"/>
  <c r="V18" i="4"/>
  <c r="P18" i="4"/>
  <c r="AB18" i="4"/>
  <c r="J18" i="4"/>
  <c r="AN18" i="4"/>
  <c r="AH18" i="4"/>
  <c r="AN47" i="4"/>
  <c r="AH47" i="4"/>
  <c r="J42" i="22"/>
  <c r="I42" i="22"/>
  <c r="K42" i="22"/>
  <c r="AB31" i="4"/>
  <c r="V31" i="4"/>
  <c r="J31" i="4"/>
  <c r="AN58" i="4"/>
  <c r="AH58" i="4"/>
  <c r="V58" i="4"/>
  <c r="P58" i="4"/>
  <c r="P42" i="4"/>
  <c r="AH42" i="4"/>
  <c r="AB42" i="4"/>
  <c r="AN42" i="4"/>
  <c r="J42" i="4"/>
  <c r="V42" i="4"/>
  <c r="AH31" i="4"/>
  <c r="J58" i="4"/>
  <c r="AN62" i="4"/>
  <c r="AB62" i="4"/>
  <c r="V62" i="4"/>
  <c r="AH62" i="4"/>
  <c r="P62" i="4"/>
  <c r="D69" i="4"/>
  <c r="V34" i="16"/>
  <c r="U34" i="16"/>
  <c r="V35" i="16"/>
  <c r="U35" i="16"/>
  <c r="U31" i="16"/>
  <c r="V31" i="16"/>
  <c r="EW11" i="6"/>
  <c r="J62" i="4"/>
  <c r="EW9" i="6"/>
  <c r="AB14" i="5"/>
  <c r="I39" i="22"/>
  <c r="C39" i="22"/>
  <c r="J39" i="22"/>
  <c r="F39" i="22" a="1"/>
  <c r="F39" i="22" s="1"/>
  <c r="K39" i="22"/>
  <c r="E39" i="22" a="1"/>
  <c r="E39" i="22" s="1"/>
  <c r="H39" i="22" a="1"/>
  <c r="H39" i="22" s="1"/>
  <c r="G39" i="22" a="1"/>
  <c r="G39" i="22" s="1"/>
  <c r="D39" i="22" a="1"/>
  <c r="D39" i="22" s="1"/>
  <c r="U54" i="16"/>
  <c r="I57" i="16" s="1"/>
  <c r="V54" i="16"/>
  <c r="I58" i="16" s="1"/>
  <c r="EW16" i="6"/>
  <c r="AD21" i="5" l="1"/>
  <c r="AD33" i="5"/>
  <c r="AB33" i="5"/>
  <c r="I36" i="16"/>
  <c r="AD37" i="5"/>
  <c r="AD31" i="5"/>
  <c r="AD20" i="5"/>
  <c r="G44" i="22" a="1"/>
  <c r="G44" i="22" s="1"/>
  <c r="G46" i="22" a="1"/>
  <c r="G46" i="22" s="1"/>
  <c r="G47" i="22" a="1"/>
  <c r="G47" i="22" s="1"/>
  <c r="G48" i="22" a="1"/>
  <c r="G48" i="22" s="1"/>
  <c r="G50" i="22" a="1"/>
  <c r="G50" i="22" s="1"/>
  <c r="G37" i="22" a="1"/>
  <c r="G37" i="22" s="1"/>
  <c r="G38" i="22" a="1"/>
  <c r="G38" i="22" s="1"/>
  <c r="G41" i="22" a="1"/>
  <c r="G41" i="22" s="1"/>
  <c r="G45" i="22" a="1"/>
  <c r="G45" i="22" s="1"/>
  <c r="G43" i="22" a="1"/>
  <c r="G43" i="22" s="1"/>
  <c r="G40" i="22" a="1"/>
  <c r="G40" i="22" s="1"/>
  <c r="AD39" i="5"/>
  <c r="AD27" i="5"/>
  <c r="AB32" i="5"/>
  <c r="AD38" i="5"/>
  <c r="AD23" i="5"/>
  <c r="AD34" i="5"/>
  <c r="AH38" i="6"/>
  <c r="AH33" i="6"/>
  <c r="AH34" i="6"/>
  <c r="AH35" i="6"/>
  <c r="AH37" i="6"/>
  <c r="AH30" i="6"/>
  <c r="AH32" i="6"/>
  <c r="AH36" i="6"/>
  <c r="AH31" i="6"/>
  <c r="F7" i="6"/>
  <c r="F14" i="6"/>
  <c r="G82" i="16"/>
  <c r="H82" i="16" s="1"/>
  <c r="H85" i="16" s="1"/>
  <c r="G66" i="16"/>
  <c r="I37" i="16"/>
  <c r="D82" i="16"/>
  <c r="E82" i="16" s="1"/>
  <c r="H84" i="16" s="1"/>
  <c r="H87" i="16" s="1"/>
  <c r="H88" i="16" s="1"/>
  <c r="D66" i="16"/>
  <c r="F8" i="6" l="1"/>
  <c r="E66" i="16"/>
  <c r="H68" i="16" s="1"/>
  <c r="K66" i="16"/>
  <c r="M66" i="16" s="1"/>
  <c r="L66" i="16"/>
  <c r="N66" i="16" s="1"/>
  <c r="H66" i="16"/>
  <c r="H69" i="16" s="1"/>
  <c r="H70" i="16" s="1"/>
  <c r="F9" i="6" l="1"/>
  <c r="F10" i="6" l="1"/>
  <c r="F11" i="6" l="1"/>
  <c r="F12" i="6" l="1"/>
  <c r="F13" i="6" l="1"/>
  <c r="E6" i="6"/>
  <c r="J10" i="6" l="1"/>
  <c r="J11" i="6"/>
  <c r="J13" i="6"/>
  <c r="J12" i="6"/>
  <c r="F6" i="6"/>
  <c r="J14" i="6"/>
  <c r="J7" i="6"/>
  <c r="J8" i="6"/>
  <c r="J9" i="6"/>
  <c r="K7" i="6" l="1"/>
  <c r="K12" i="6" l="1"/>
  <c r="K14" i="6"/>
  <c r="K9" i="6"/>
  <c r="K13" i="6"/>
  <c r="K10" i="6"/>
  <c r="K11" i="6"/>
  <c r="K8"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N14" authorId="0" shapeId="0" xr:uid="{21514D04-50B3-4928-A169-E28FB6588DC4}">
      <text>
        <r>
          <rPr>
            <b/>
            <sz val="9"/>
            <color indexed="81"/>
            <rFont val="Tahoma"/>
            <family val="2"/>
          </rPr>
          <t>Kyle Garske:</t>
        </r>
        <r>
          <rPr>
            <sz val="9"/>
            <color indexed="81"/>
            <rFont val="Tahoma"/>
            <family val="2"/>
          </rPr>
          <t xml:space="preserve">
This will be green if you are able to use the 'Transfer Space Types' Button and will be Red if you cannot use the button. 
If this is Red, refer back to instruction 1a.
There must be more than 2 space types.</t>
        </r>
      </text>
    </comment>
    <comment ref="R15" authorId="0" shapeId="0" xr:uid="{A332BF03-081D-40C9-893F-2FC215760C36}">
      <text>
        <r>
          <rPr>
            <b/>
            <sz val="9"/>
            <color indexed="81"/>
            <rFont val="Tahoma"/>
            <family val="2"/>
          </rPr>
          <t>Kyle Garske:</t>
        </r>
        <r>
          <rPr>
            <sz val="9"/>
            <color indexed="81"/>
            <rFont val="Tahoma"/>
            <family val="2"/>
          </rPr>
          <t xml:space="preserve">
CAUTION!
Do not sort values in this table as it will cause issues on other linked worksheets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C5" authorId="0" shapeId="0" xr:uid="{F2F55039-26A6-4263-B201-72EB26736F54}">
      <text>
        <r>
          <rPr>
            <b/>
            <sz val="9"/>
            <color indexed="81"/>
            <rFont val="Tahoma"/>
            <family val="2"/>
          </rPr>
          <t>Kyle Garske:</t>
        </r>
        <r>
          <rPr>
            <sz val="9"/>
            <color indexed="81"/>
            <rFont val="Tahoma"/>
            <family val="2"/>
          </rPr>
          <t xml:space="preserve">
CAUTION!
Do not sort values in this table as it will cause issues on other linked worksheets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Q43" authorId="0" shapeId="0" xr:uid="{20D277F5-2DDC-4404-9CE0-34DDFA69CABD}">
      <text>
        <r>
          <rPr>
            <b/>
            <sz val="9"/>
            <color indexed="81"/>
            <rFont val="Tahoma"/>
            <family val="2"/>
          </rPr>
          <t>Kyle Garske:</t>
        </r>
        <r>
          <rPr>
            <sz val="9"/>
            <color indexed="81"/>
            <rFont val="Tahoma"/>
            <family val="2"/>
          </rPr>
          <t xml:space="preserve">
Maximum WWR% = 40%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C17" authorId="0" shapeId="0" xr:uid="{66D91F6A-F9B4-4D44-8027-D3EC42C85568}">
      <text>
        <r>
          <rPr>
            <b/>
            <sz val="9"/>
            <color indexed="81"/>
            <rFont val="Tahoma"/>
            <family val="2"/>
          </rPr>
          <t>Kyle Garske:</t>
        </r>
        <r>
          <rPr>
            <sz val="9"/>
            <color indexed="81"/>
            <rFont val="Tahoma"/>
            <family val="2"/>
          </rPr>
          <t xml:space="preserve">
CAUTION!
Do not sort values in this table as it will cause issues on other linked worksheets</t>
        </r>
      </text>
    </comment>
    <comment ref="G17" authorId="0" shapeId="0" xr:uid="{E751A786-45F3-40FF-A19F-7FF3A5D879C3}">
      <text>
        <r>
          <rPr>
            <b/>
            <sz val="9"/>
            <color indexed="81"/>
            <rFont val="Tahoma"/>
            <family val="2"/>
          </rPr>
          <t>Kyle Garske:</t>
        </r>
        <r>
          <rPr>
            <sz val="9"/>
            <color indexed="81"/>
            <rFont val="Tahoma"/>
            <family val="2"/>
          </rPr>
          <t xml:space="preserve">
See Table 140.6-C (attached right of the table) for primary function areas and corresponding qualified lighting systems.</t>
        </r>
      </text>
    </comment>
    <comment ref="I17" authorId="0" shapeId="0" xr:uid="{0CBD62A2-6C7C-4AE7-B865-5CA0D272B27F}">
      <text>
        <r>
          <rPr>
            <b/>
            <sz val="9"/>
            <color indexed="81"/>
            <rFont val="Tahoma"/>
            <family val="2"/>
          </rPr>
          <t>Kyle Garske:</t>
        </r>
        <r>
          <rPr>
            <sz val="9"/>
            <color indexed="81"/>
            <rFont val="Tahoma"/>
            <family val="2"/>
          </rPr>
          <t xml:space="preserve">
This is pulled from ASHRAE Standards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C19" authorId="0" shapeId="0" xr:uid="{1BD4049A-C9F1-4BFD-89F5-4AF5DFEBEB0B}">
      <text>
        <r>
          <rPr>
            <b/>
            <sz val="9"/>
            <color indexed="81"/>
            <rFont val="Tahoma"/>
            <family val="2"/>
          </rPr>
          <t>Kyle Garske:</t>
        </r>
        <r>
          <rPr>
            <sz val="9"/>
            <color indexed="81"/>
            <rFont val="Tahoma"/>
            <family val="2"/>
          </rPr>
          <t xml:space="preserve">
CAUTION!
Do not sort values in this table as it will cause issues on other linked worksheets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Kyle Garske</author>
    <author>tc={E1B580E3-A6A5-49C9-9646-8F7862B81A8C}</author>
  </authors>
  <commentList>
    <comment ref="O17" authorId="0" shapeId="0" xr:uid="{25CA2AEC-6D76-4523-B090-6686F32DE864}">
      <text>
        <r>
          <rPr>
            <b/>
            <sz val="9"/>
            <color indexed="81"/>
            <rFont val="Tahoma"/>
            <family val="2"/>
          </rPr>
          <t>Kyle Garske:</t>
        </r>
        <r>
          <rPr>
            <sz val="9"/>
            <color indexed="81"/>
            <rFont val="Tahoma"/>
            <family val="2"/>
          </rPr>
          <t xml:space="preserve">
Confirm this matches your IES model's design day.</t>
        </r>
      </text>
    </comment>
    <comment ref="J61" authorId="0" shapeId="0" xr:uid="{62C62080-0EED-410C-BFA0-C0898113BE0A}">
      <text>
        <r>
          <rPr>
            <b/>
            <sz val="9"/>
            <color indexed="81"/>
            <rFont val="Tahoma"/>
            <family val="2"/>
          </rPr>
          <t>Kyle Garske:</t>
        </r>
        <r>
          <rPr>
            <sz val="9"/>
            <color indexed="81"/>
            <rFont val="Tahoma"/>
            <family val="2"/>
          </rPr>
          <t xml:space="preserve">
Product of the Efficiency of the Motor and the Efficiency of the Pump (Effpump*Effmotor)</t>
        </r>
      </text>
    </comment>
    <comment ref="F62" authorId="1" shapeId="0" xr:uid="{E1B580E3-A6A5-49C9-9646-8F7862B81A8C}">
      <text>
        <t>[Threaded comment]
Your version of Excel allows you to read this threaded comment; however, any edits to it will get removed if the file is opened in a newer version of Excel. Learn more: https://go.microsoft.com/fwlink/?linkid=870924
Comment:
    Currently using typical values. Haakon cutsheets do not show the effectiveness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O17" authorId="0" shapeId="0" xr:uid="{AFECE980-1517-4300-89CD-B231AC551225}">
      <text>
        <r>
          <rPr>
            <b/>
            <sz val="9"/>
            <color indexed="81"/>
            <rFont val="Tahoma"/>
            <family val="2"/>
          </rPr>
          <t>Kyle Garske:</t>
        </r>
        <r>
          <rPr>
            <sz val="9"/>
            <color indexed="81"/>
            <rFont val="Tahoma"/>
            <family val="2"/>
          </rPr>
          <t xml:space="preserve">
Product of the Efficiency of the Motor and the Efficiency of the Pump (Effpump*Effmotor)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AE10" authorId="0" shapeId="0" xr:uid="{11DA9609-FCF8-4054-9313-A35E4753C3CB}">
      <text>
        <r>
          <rPr>
            <b/>
            <sz val="9"/>
            <color indexed="81"/>
            <rFont val="Tahoma"/>
            <family val="2"/>
          </rPr>
          <t>Kyle Garske:</t>
        </r>
        <r>
          <rPr>
            <sz val="9"/>
            <color indexed="81"/>
            <rFont val="Tahoma"/>
            <family val="2"/>
          </rPr>
          <t xml:space="preserve">
Table 10.8 for the next motor size greater than the bhp using a totally enclosed fancooled motor at 1800 rpm.
CFMs = the baseline system maximum design supply fan airflow rate in cfm.</t>
        </r>
      </text>
    </comment>
    <comment ref="AK10" authorId="0" shapeId="0" xr:uid="{AB22ECCD-A6B5-496F-B199-97F432965EED}">
      <text>
        <r>
          <rPr>
            <b/>
            <sz val="9"/>
            <color indexed="81"/>
            <rFont val="Tahoma"/>
            <family val="2"/>
          </rPr>
          <t>Kyle Garske:</t>
        </r>
        <r>
          <rPr>
            <sz val="9"/>
            <color indexed="81"/>
            <rFont val="Tahoma"/>
            <family val="2"/>
          </rPr>
          <t xml:space="preserve">
Table 10.8 for the next motor size greater than the bhp using a totally enclosed fancooled motor at 1800 rpm.
CFMs = the baseline system maximum design supply fan airflow rate in cfm.</t>
        </r>
      </text>
    </comment>
    <comment ref="C11" authorId="0" shapeId="0" xr:uid="{443A61AB-F059-47A3-90C7-6C7B181FDFF2}">
      <text>
        <r>
          <rPr>
            <b/>
            <sz val="9"/>
            <color indexed="81"/>
            <rFont val="Tahoma"/>
            <family val="2"/>
          </rPr>
          <t>Kyle Garske:</t>
        </r>
        <r>
          <rPr>
            <sz val="9"/>
            <color indexed="81"/>
            <rFont val="Tahoma"/>
            <family val="2"/>
          </rPr>
          <t xml:space="preserve">
Insert time in 
"## AM/PM" format. Make sure there is a space between the # and the AM or PM.</t>
        </r>
      </text>
    </comment>
    <comment ref="E11" authorId="0" shapeId="0" xr:uid="{E84EBA73-001E-4807-A109-B3AD40EE6F3D}">
      <text>
        <r>
          <rPr>
            <b/>
            <sz val="9"/>
            <color indexed="81"/>
            <rFont val="Tahoma"/>
            <family val="2"/>
          </rPr>
          <t>Kyle Garske:</t>
        </r>
        <r>
          <rPr>
            <sz val="9"/>
            <color indexed="81"/>
            <rFont val="Tahoma"/>
            <family val="2"/>
          </rPr>
          <t xml:space="preserve">
Insert time in 
"## AM/PM" format. Make sure there is a space between the # and the AM or PM.</t>
        </r>
      </text>
    </comment>
    <comment ref="G11" authorId="0" shapeId="0" xr:uid="{5E62F25E-AF47-4A40-9855-BEC0E4E289CA}">
      <text>
        <r>
          <rPr>
            <b/>
            <sz val="9"/>
            <color indexed="81"/>
            <rFont val="Tahoma"/>
            <family val="2"/>
          </rPr>
          <t>Kyle Garske:</t>
        </r>
        <r>
          <rPr>
            <sz val="9"/>
            <color indexed="81"/>
            <rFont val="Tahoma"/>
            <family val="2"/>
          </rPr>
          <t xml:space="preserve">
Insert time in 
"## AM/PM" format. Make sure there is a space between the # and the AM or PM.</t>
        </r>
      </text>
    </comment>
    <comment ref="C12" authorId="0" shapeId="0" xr:uid="{DA590E94-1355-4A5C-BC6C-3AACCFF493C9}">
      <text>
        <r>
          <rPr>
            <b/>
            <sz val="9"/>
            <color indexed="81"/>
            <rFont val="Tahoma"/>
            <family val="2"/>
          </rPr>
          <t>Kyle Garske:</t>
        </r>
        <r>
          <rPr>
            <sz val="9"/>
            <color indexed="81"/>
            <rFont val="Tahoma"/>
            <family val="2"/>
          </rPr>
          <t xml:space="preserve">
Insert time in 
"## AM/PM" format. Make sure there is a space between the # and the AM or PM.</t>
        </r>
      </text>
    </comment>
    <comment ref="E12" authorId="0" shapeId="0" xr:uid="{1716A3BF-1F82-4B74-A228-5ABB3703142E}">
      <text>
        <r>
          <rPr>
            <b/>
            <sz val="9"/>
            <color indexed="81"/>
            <rFont val="Tahoma"/>
            <family val="2"/>
          </rPr>
          <t>Kyle Garske:</t>
        </r>
        <r>
          <rPr>
            <sz val="9"/>
            <color indexed="81"/>
            <rFont val="Tahoma"/>
            <family val="2"/>
          </rPr>
          <t xml:space="preserve">
Insert time in 
"## AM/PM" format. Make sure there is a space between the # and the AM or PM.</t>
        </r>
      </text>
    </comment>
    <comment ref="G12" authorId="0" shapeId="0" xr:uid="{EDA41798-9891-4563-B159-982C51AAFED8}">
      <text>
        <r>
          <rPr>
            <b/>
            <sz val="9"/>
            <color indexed="81"/>
            <rFont val="Tahoma"/>
            <family val="2"/>
          </rPr>
          <t>Kyle Garske:</t>
        </r>
        <r>
          <rPr>
            <sz val="9"/>
            <color indexed="81"/>
            <rFont val="Tahoma"/>
            <family val="2"/>
          </rPr>
          <t xml:space="preserve">
Insert time in 
"## AM/PM" format. Make sure there is a space between the # and the AM or PM.</t>
        </r>
      </text>
    </comment>
    <comment ref="C13" authorId="0" shapeId="0" xr:uid="{885CA2FD-060A-4728-ABF0-815AB75BA221}">
      <text>
        <r>
          <rPr>
            <b/>
            <sz val="9"/>
            <color indexed="81"/>
            <rFont val="Tahoma"/>
            <family val="2"/>
          </rPr>
          <t>Kyle Garske:</t>
        </r>
        <r>
          <rPr>
            <sz val="9"/>
            <color indexed="81"/>
            <rFont val="Tahoma"/>
            <family val="2"/>
          </rPr>
          <t xml:space="preserve">
Insert time in 
"## AM/PM" format. Make sure there is a space between the # and the AM or PM.</t>
        </r>
      </text>
    </comment>
    <comment ref="E13" authorId="0" shapeId="0" xr:uid="{FF771C94-E9DF-4E24-88A9-07C994A5BF36}">
      <text>
        <r>
          <rPr>
            <b/>
            <sz val="9"/>
            <color indexed="81"/>
            <rFont val="Tahoma"/>
            <family val="2"/>
          </rPr>
          <t>Kyle Garske:</t>
        </r>
        <r>
          <rPr>
            <sz val="9"/>
            <color indexed="81"/>
            <rFont val="Tahoma"/>
            <family val="2"/>
          </rPr>
          <t xml:space="preserve">
Insert time in 
"## AM/PM" format. Make sure there is a space between the # and the AM or PM.</t>
        </r>
      </text>
    </comment>
    <comment ref="G13" authorId="0" shapeId="0" xr:uid="{BF081BEF-0FE8-448C-AD85-612C9207772A}">
      <text>
        <r>
          <rPr>
            <b/>
            <sz val="9"/>
            <color indexed="81"/>
            <rFont val="Tahoma"/>
            <family val="2"/>
          </rPr>
          <t>Kyle Garske:</t>
        </r>
        <r>
          <rPr>
            <sz val="9"/>
            <color indexed="81"/>
            <rFont val="Tahoma"/>
            <family val="2"/>
          </rPr>
          <t xml:space="preserve">
Insert time in 
"## AM/PM" format. Make sure there is a space between the # and the AM or PM.</t>
        </r>
      </text>
    </comment>
    <comment ref="C14" authorId="0" shapeId="0" xr:uid="{69539E55-D9FC-4BB9-A8DF-2081E43C0AD6}">
      <text>
        <r>
          <rPr>
            <b/>
            <sz val="9"/>
            <color indexed="81"/>
            <rFont val="Tahoma"/>
            <family val="2"/>
          </rPr>
          <t>Kyle Garske:</t>
        </r>
        <r>
          <rPr>
            <sz val="9"/>
            <color indexed="81"/>
            <rFont val="Tahoma"/>
            <family val="2"/>
          </rPr>
          <t xml:space="preserve">
Insert time in 
"## AM/PM" format. Make sure there is a space between the # and the AM or PM.</t>
        </r>
      </text>
    </comment>
    <comment ref="E14" authorId="0" shapeId="0" xr:uid="{1BDE44C4-9297-4A8B-80E2-284D5B11D7C6}">
      <text>
        <r>
          <rPr>
            <b/>
            <sz val="9"/>
            <color indexed="81"/>
            <rFont val="Tahoma"/>
            <family val="2"/>
          </rPr>
          <t>Kyle Garske:</t>
        </r>
        <r>
          <rPr>
            <sz val="9"/>
            <color indexed="81"/>
            <rFont val="Tahoma"/>
            <family val="2"/>
          </rPr>
          <t xml:space="preserve">
Insert time in 
"## AM/PM" format. Make sure there is a space between the # and the AM or PM.</t>
        </r>
      </text>
    </comment>
    <comment ref="G14" authorId="0" shapeId="0" xr:uid="{4895D9E8-4027-499D-962A-3CAD72BF059B}">
      <text>
        <r>
          <rPr>
            <b/>
            <sz val="9"/>
            <color indexed="81"/>
            <rFont val="Tahoma"/>
            <family val="2"/>
          </rPr>
          <t>Kyle Garske:</t>
        </r>
        <r>
          <rPr>
            <sz val="9"/>
            <color indexed="81"/>
            <rFont val="Tahoma"/>
            <family val="2"/>
          </rPr>
          <t xml:space="preserve">
Insert time in 
"## AM/PM" format. Make sure there is a space between the # and the AM or PM.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K5" authorId="0" shapeId="0" xr:uid="{A2462CCA-D2CB-4527-A117-0A9D9F15E77D}">
      <text>
        <r>
          <rPr>
            <b/>
            <sz val="9"/>
            <color indexed="81"/>
            <rFont val="Tahoma"/>
            <family val="2"/>
          </rPr>
          <t>Kyle Garske:</t>
        </r>
        <r>
          <rPr>
            <sz val="9"/>
            <color indexed="81"/>
            <rFont val="Tahoma"/>
            <family val="2"/>
          </rPr>
          <t xml:space="preserve">
Projects with non-default gender ratio must provide a narrative and supporting documentation (such as trend data forecasting forward or documentation of the code-required plumbing fixture counts per gender) in the LEED credit form to confirm that the alternate ratio applies for the life of the building.</t>
        </r>
      </text>
    </comment>
    <comment ref="I11" authorId="0" shapeId="0" xr:uid="{8672E151-3ED5-4386-A774-02805685099D}">
      <text>
        <r>
          <rPr>
            <b/>
            <sz val="9"/>
            <color indexed="81"/>
            <rFont val="Tahoma"/>
            <family val="2"/>
          </rPr>
          <t>Kyle Garske:</t>
        </r>
        <r>
          <rPr>
            <sz val="9"/>
            <color indexed="81"/>
            <rFont val="Tahoma"/>
            <family val="2"/>
          </rPr>
          <t xml:space="preserve">
To determine the percent of males expected to use restrooms with urinals, check the project floor plans to determine whether urinals are present in all male restrooms and in all gender-neutral/ADA restrooms. Enter 100% if all male and gender-neutral/ADA restrooms have urinals. Enter 0% if the project contains no urinals.  
If the project includes separate all-gender/ADA restrooms without urinals, enter the default value of 95%, or a project-specific estimate based on the project's restroom layout and anticipated usage patterns or weighted fixture counts.</t>
        </r>
      </text>
    </comment>
    <comment ref="I29" authorId="0" shapeId="0" xr:uid="{FE314C8B-1C60-4366-8F5C-E83A3AF67943}">
      <text>
        <r>
          <rPr>
            <b/>
            <sz val="9"/>
            <color indexed="81"/>
            <rFont val="Tahoma"/>
            <family val="2"/>
          </rPr>
          <t>Kyle Garske:</t>
        </r>
        <r>
          <rPr>
            <sz val="9"/>
            <color indexed="81"/>
            <rFont val="Tahoma"/>
            <family val="2"/>
          </rPr>
          <t xml:space="preserve">
If all fixtures within same fixture family have the same type and flush rate, then the percent of occupants value for that fixture is 100%.
If the project has a mix of fixtures with different flush rates within the same fixture family, then the percent of occupants value assigned to each of those fixtures may vary, but the sum for the fixture family must be 100%. For gender-neutral or ADA restrooms with different flush rates, the default percent of occupants that use these restrooms is 5% of males and 5% of females.
Do not reduce the percent of Occupants for urinals if the project includes separate gender-neutral or ADA restrooms without urinals. The calculator will account for urinal usage based on the Percent of males expected to use restrooms with urinals entered above.</t>
        </r>
      </text>
    </comment>
    <comment ref="S30" authorId="0" shapeId="0" xr:uid="{DB81C295-6F6A-4F20-8826-345F550782C4}">
      <text>
        <r>
          <rPr>
            <b/>
            <sz val="9"/>
            <color indexed="81"/>
            <rFont val="Tahoma"/>
            <family val="2"/>
          </rPr>
          <t>Kyle Garske:</t>
        </r>
        <r>
          <rPr>
            <sz val="9"/>
            <color indexed="81"/>
            <rFont val="Tahoma"/>
            <family val="2"/>
          </rPr>
          <t xml:space="preserve">
The default use value may be modified for special circumstances.  Provide a narrative and supporting documentation/calculations to justify any modifications.</t>
        </r>
      </text>
    </comment>
    <comment ref="I47" authorId="0" shapeId="0" xr:uid="{92C377AA-E217-42D1-8C62-A1F4DA0AE886}">
      <text>
        <r>
          <rPr>
            <b/>
            <sz val="9"/>
            <color indexed="81"/>
            <rFont val="Tahoma"/>
            <family val="2"/>
          </rPr>
          <t>Kyle Garske:</t>
        </r>
        <r>
          <rPr>
            <sz val="9"/>
            <color indexed="81"/>
            <rFont val="Tahoma"/>
            <family val="2"/>
          </rPr>
          <t xml:space="preserve">
If all fixtures within same fixture family have the same type and flow rate, then the percent of occupants value for that fixture is 100%.
If the project has a mix of fixtures with different flow rates within the same fixture family, then the percent of occupants value assigned to each of those fixtures may vary, but the sum for the fixture family must be 100%. For gender-neutral or ADA restrooms with different flow rates, the default percent of occupants that use these restrooms is 5% of males and 5% of females.</t>
        </r>
      </text>
    </comment>
    <comment ref="F48" authorId="0" shapeId="0" xr:uid="{FB452553-1728-4C18-B1DB-A19CCE4D07F8}">
      <text>
        <r>
          <rPr>
            <b/>
            <sz val="9"/>
            <color indexed="81"/>
            <rFont val="Tahoma"/>
            <family val="2"/>
          </rPr>
          <t>Kyle Garske:</t>
        </r>
        <r>
          <rPr>
            <sz val="9"/>
            <color indexed="81"/>
            <rFont val="Tahoma"/>
            <family val="2"/>
          </rPr>
          <t xml:space="preserve">
The default duration value may be modified for special circumstances.  Provide a narrative and supporting documentation/calculations to justify any modifications.
Note: The default duration lavatory faucets may be modified for special circumstances if there is published data or studies justifying an alternate usage duration. This value may not be modified for durations specified by a manufacturer, which may be preset to any duration, as the manufacturer’s duration setting may not reflect typical usage given variability in occupant behavior.</t>
        </r>
      </text>
    </comment>
    <comment ref="S48" authorId="0" shapeId="0" xr:uid="{791A1CA7-48C2-4F0D-8330-68C4586A5351}">
      <text>
        <r>
          <rPr>
            <b/>
            <sz val="9"/>
            <color indexed="81"/>
            <rFont val="Tahoma"/>
            <family val="2"/>
          </rPr>
          <t>Kyle Garske:</t>
        </r>
        <r>
          <rPr>
            <sz val="9"/>
            <color indexed="81"/>
            <rFont val="Tahoma"/>
            <family val="2"/>
          </rPr>
          <t xml:space="preserve">
The default use value may be modified for special circumstances.  Provide a narrative and supporting documentation/calculations to justify any modifications.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Christopher Stephan</author>
    <author>Callie Clark</author>
  </authors>
  <commentList>
    <comment ref="B3" authorId="0" shapeId="0" xr:uid="{CD332580-2A28-4AB4-B7F3-CB1F598A0467}">
      <text>
        <r>
          <rPr>
            <b/>
            <sz val="9"/>
            <color indexed="81"/>
            <rFont val="Tahoma"/>
            <family val="2"/>
          </rPr>
          <t>Verify that internal loads match values listed in the BOD.</t>
        </r>
      </text>
    </comment>
    <comment ref="G3" authorId="1" shapeId="0" xr:uid="{1F3A475B-8840-4DA2-A2DD-DD5E0917A054}">
      <text>
        <r>
          <rPr>
            <b/>
            <sz val="9"/>
            <color indexed="81"/>
            <rFont val="Tahoma"/>
            <family val="2"/>
          </rPr>
          <t>Callie Clark:</t>
        </r>
        <r>
          <rPr>
            <sz val="9"/>
            <color indexed="81"/>
            <rFont val="Tahoma"/>
            <family val="2"/>
          </rPr>
          <t xml:space="preserve">
Ventab uses this table in all cases. If other conditions exist, fill them in in project specific requirements and adjust formulas in airflow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<sst xmlns="http://schemas.openxmlformats.org/spreadsheetml/2006/main" count="7402" uniqueCount="2165">
  <si>
    <t>Project Number:</t>
  </si>
  <si>
    <t>Date Created</t>
  </si>
  <si>
    <t>Today</t>
  </si>
  <si>
    <t>Created By:</t>
  </si>
  <si>
    <t>Me</t>
  </si>
  <si>
    <t>Project Name:</t>
  </si>
  <si>
    <t>Example</t>
  </si>
  <si>
    <t>Date Modified</t>
  </si>
  <si>
    <t>Tomorrow</t>
  </si>
  <si>
    <t>Modified By:</t>
  </si>
  <si>
    <t>You</t>
  </si>
  <si>
    <t>Zone Map Link:</t>
  </si>
  <si>
    <t>Instructions:</t>
  </si>
  <si>
    <t>1. Enter all information into the 'Space Type Table'. Only enter information in the columns that are green.</t>
  </si>
  <si>
    <t>1a. If more rows are required, highlight the gray row, right click the highlighted region then select 'insert' then select 'Table rows above'.</t>
  </si>
  <si>
    <t>Once more rows are added, select the lowest row value, then drag the bottom right corner to the cell above the gray row.</t>
  </si>
  <si>
    <t>2. Check if the 'Number of Unique Space Types' is less than the maximum number of rows in the 'Space Type Table Summary'. If the number of unique spaces is sufficient, it will apear green.</t>
  </si>
  <si>
    <t>2a. If the 'Number of Unique Space Types' is red. Add more rows by using the same process as step 1a.</t>
  </si>
  <si>
    <t>3. Click the 'Transfer Space Types' Button to transfer all unique space types from the 'Space Type Table' to the 'Space Type Table Summary'. The values in this table will be used in the other worksheets.</t>
  </si>
  <si>
    <t>4. If there are unique zone maps, include a link to those PDFs above this table next to the cell that says 'Zone Map Link'</t>
  </si>
  <si>
    <t>Note: Tab Management - Red Tabs refer to Outputs. Yellow tabs refer to Inputs. Blue tabs refer to Coordination. Green tabs refer to LEED. Gray tabs refer to IES tools.</t>
  </si>
  <si>
    <t>Space Type Table</t>
  </si>
  <si>
    <t>Number of Unique Space Types</t>
  </si>
  <si>
    <t>Space Type Table Summary</t>
  </si>
  <si>
    <t>Row</t>
  </si>
  <si>
    <t>Space Number</t>
  </si>
  <si>
    <t>Space Name</t>
  </si>
  <si>
    <t>Achitectural Space Name</t>
  </si>
  <si>
    <t>Space Type</t>
  </si>
  <si>
    <t>Area (sf)</t>
  </si>
  <si>
    <t>SpaceType</t>
  </si>
  <si>
    <t>Number of Spaces</t>
  </si>
  <si>
    <t>Area (sqft)</t>
  </si>
  <si>
    <t>% of Total Area</t>
  </si>
  <si>
    <t>Total Area:</t>
  </si>
  <si>
    <t>Enter in california weather data as option</t>
  </si>
  <si>
    <t>1. Visit the following link:</t>
  </si>
  <si>
    <t>http://ashrae-meteo.info/v2.0/#</t>
  </si>
  <si>
    <t>https://efiling.energy.ca.gov/GetDocument.aspx?tn=223245-3&amp;DocumentContentId=27695</t>
  </si>
  <si>
    <t>2. At the top of the page click "2017" and "IP".</t>
  </si>
  <si>
    <t>3. Click on the Magnifying Glass symbol then search for the location of the project.</t>
  </si>
  <si>
    <t>4. Click on the appropriate weather station.</t>
  </si>
  <si>
    <t>5. In the bottom right of the screen, click the Printer Icon. On the screen that pops up, click "CTRL+A" to select all data</t>
  </si>
  <si>
    <t>5a. With the text selected, click "CTRL+C" then navigate back to this spreadsheet. Click on the "Paste Weather Data" button.</t>
  </si>
  <si>
    <t>2017 ASHRAE Handbook - Foundamentals (IP)</t>
  </si>
  <si>
    <t>SAN FRANCISCO INTL, CA, USA (WMO: 724940)</t>
  </si>
  <si>
    <t>Symbol</t>
  </si>
  <si>
    <t>Meaning</t>
  </si>
  <si>
    <r>
      <t>Lat:</t>
    </r>
    <r>
      <rPr>
        <b/>
        <sz val="11"/>
        <color theme="1"/>
        <rFont val="Times New Roman"/>
        <family val="1"/>
      </rPr>
      <t>37.620N</t>
    </r>
  </si>
  <si>
    <r>
      <t>Long:</t>
    </r>
    <r>
      <rPr>
        <b/>
        <sz val="11"/>
        <color theme="1"/>
        <rFont val="Times New Roman"/>
        <family val="1"/>
      </rPr>
      <t>122.365W</t>
    </r>
  </si>
  <si>
    <r>
      <t>Elev:</t>
    </r>
    <r>
      <rPr>
        <b/>
        <sz val="11"/>
        <color theme="1"/>
        <rFont val="Times New Roman"/>
        <family val="1"/>
      </rPr>
      <t>8</t>
    </r>
  </si>
  <si>
    <r>
      <t>StdP: </t>
    </r>
    <r>
      <rPr>
        <b/>
        <sz val="11"/>
        <color theme="1"/>
        <rFont val="Times New Roman"/>
        <family val="1"/>
      </rPr>
      <t>14.69</t>
    </r>
  </si>
  <si>
    <r>
      <t>Time zone:</t>
    </r>
    <r>
      <rPr>
        <b/>
        <sz val="11"/>
        <color theme="1"/>
        <rFont val="Times New Roman"/>
        <family val="1"/>
      </rPr>
      <t>-8.00</t>
    </r>
  </si>
  <si>
    <r>
      <t>Period:</t>
    </r>
    <r>
      <rPr>
        <b/>
        <sz val="11"/>
        <color theme="1"/>
        <rFont val="Times New Roman"/>
        <family val="1"/>
      </rPr>
      <t>90-14</t>
    </r>
  </si>
  <si>
    <r>
      <t>WBAN:</t>
    </r>
    <r>
      <rPr>
        <b/>
        <sz val="11"/>
        <color theme="1"/>
        <rFont val="Times New Roman"/>
        <family val="1"/>
      </rPr>
      <t>23234</t>
    </r>
  </si>
  <si>
    <t>CDDn</t>
  </si>
  <si>
    <t>Cooling degree-days base n°F, °F-day</t>
  </si>
  <si>
    <t>Annual Heating and Humidification Design Conditions</t>
  </si>
  <si>
    <t>CDHn</t>
  </si>
  <si>
    <t>Cooling degree-hours base n°F, °F-hour</t>
  </si>
  <si>
    <t>Coldest Month</t>
  </si>
  <si>
    <t>Heating DB</t>
  </si>
  <si>
    <t>Humidification DP/MCDB and HR</t>
  </si>
  <si>
    <t>Coldest month WS/MCDB</t>
  </si>
  <si>
    <t>MCWS/PCWD to 99.6% DB</t>
  </si>
  <si>
    <t>DB</t>
  </si>
  <si>
    <t>Dry bulb temperature, °F</t>
  </si>
  <si>
    <t>DP</t>
  </si>
  <si>
    <t>Dew point temperature, °F</t>
  </si>
  <si>
    <t>HR</t>
  </si>
  <si>
    <t>MCDB</t>
  </si>
  <si>
    <t>WS</t>
  </si>
  <si>
    <t>MCWS</t>
  </si>
  <si>
    <t>PCWD</t>
  </si>
  <si>
    <t>Ebn,noon</t>
  </si>
  <si>
    <t>Clear sky beam normal and diffuse horizontal irradiances at solar noon, Btu/h/ft2</t>
  </si>
  <si>
    <t>Elev</t>
  </si>
  <si>
    <t>Elevation, ft</t>
  </si>
  <si>
    <t>Enth</t>
  </si>
  <si>
    <t>Enthalpy, Btu/lb</t>
  </si>
  <si>
    <t>HDDn</t>
  </si>
  <si>
    <t>Heating degree-days base n°F, °F-day</t>
  </si>
  <si>
    <t>Annual Cooling, Dehumidification, and Enthalpy Design Conditions</t>
  </si>
  <si>
    <t>Hours 8/4 &amp; 55/69</t>
  </si>
  <si>
    <t>Number of hours between 8 a.m. and 4 p.m with DB between 55 and 69 °F</t>
  </si>
  <si>
    <t>Hottest Month</t>
  </si>
  <si>
    <t>Cooling DB/MCWB</t>
  </si>
  <si>
    <t>Evaporation WB/MCDB</t>
  </si>
  <si>
    <t>MCWS/PCWD to 0.4% DB</t>
  </si>
  <si>
    <t>Humidity ratio, grains of moisture per lb of dry air</t>
  </si>
  <si>
    <t>DB Range</t>
  </si>
  <si>
    <t>Lat</t>
  </si>
  <si>
    <t>Latitude, °</t>
  </si>
  <si>
    <t>MCWB</t>
  </si>
  <si>
    <t>WB</t>
  </si>
  <si>
    <t>Long</t>
  </si>
  <si>
    <t>Longitude, °</t>
  </si>
  <si>
    <t>Mean coincident dry bulb temperature, °F</t>
  </si>
  <si>
    <t>MCDBR</t>
  </si>
  <si>
    <t>Mean coincident dry bulb temp. range, °F</t>
  </si>
  <si>
    <t>MCDP</t>
  </si>
  <si>
    <t>Mean coincident dew point temperature, °F</t>
  </si>
  <si>
    <t>Dehumidification DP/MCDB and HR</t>
  </si>
  <si>
    <t>Enthalpy/MCDB</t>
  </si>
  <si>
    <t>Extreme Max WB</t>
  </si>
  <si>
    <t>Mean coincident wet bulb temperature, °F</t>
  </si>
  <si>
    <t>MCWBR</t>
  </si>
  <si>
    <t>Mean coincident wet bulb temp. range, °F</t>
  </si>
  <si>
    <t>Mean coincident wind speed, mph</t>
  </si>
  <si>
    <t>MDBR</t>
  </si>
  <si>
    <t>Mean dry bulb temp. range, °F</t>
  </si>
  <si>
    <t>Prevailing coincident wind direction, °,0 = North, 90 = East</t>
  </si>
  <si>
    <t>Period</t>
  </si>
  <si>
    <t>Years used to calculate the design conditions</t>
  </si>
  <si>
    <t>Extreme Annual Design Conditions</t>
  </si>
  <si>
    <t>Sd</t>
  </si>
  <si>
    <t>Standard deviation of daily average temperature, °F</t>
  </si>
  <si>
    <t>Extreme Annual WS</t>
  </si>
  <si>
    <t>Extreme Annual Temperature</t>
  </si>
  <si>
    <t>n-Year Return Period Values of Extreme Temperature</t>
  </si>
  <si>
    <t>StdP</t>
  </si>
  <si>
    <t>Standard pressure at station elevation, psi</t>
  </si>
  <si>
    <t>Mean</t>
  </si>
  <si>
    <t>Standard deviation</t>
  </si>
  <si>
    <t>n=5 years</t>
  </si>
  <si>
    <t>n=10 years</t>
  </si>
  <si>
    <t>n=20 years</t>
  </si>
  <si>
    <t>n=50 years</t>
  </si>
  <si>
    <t>taub</t>
  </si>
  <si>
    <t>Clear sky optical depth for beam irradiance</t>
  </si>
  <si>
    <t>Min</t>
  </si>
  <si>
    <t>Max</t>
  </si>
  <si>
    <t>taud</t>
  </si>
  <si>
    <t>Clear sky optical depth for diffuse irradiance</t>
  </si>
  <si>
    <t>Tavg</t>
  </si>
  <si>
    <t>Average temperature, °F</t>
  </si>
  <si>
    <t>Time Zone</t>
  </si>
  <si>
    <t>Hours ahead or behind UTC</t>
  </si>
  <si>
    <t>Wet bulb temperature, °F</t>
  </si>
  <si>
    <t>Wind speed, mph</t>
  </si>
  <si>
    <t>Monthly Climatic Design Conditions</t>
  </si>
  <si>
    <t>Annual</t>
  </si>
  <si>
    <t>Jan</t>
  </si>
  <si>
    <t>Feb</t>
  </si>
  <si>
    <t>Mar</t>
  </si>
  <si>
    <t>Apr</t>
  </si>
  <si>
    <t>May</t>
  </si>
  <si>
    <t>Jun</t>
  </si>
  <si>
    <t>Jul</t>
  </si>
  <si>
    <t>Aug</t>
  </si>
  <si>
    <t>Sep</t>
  </si>
  <si>
    <t>Oct</t>
  </si>
  <si>
    <t>Nov</t>
  </si>
  <si>
    <t>Dec</t>
  </si>
  <si>
    <t>Temperatures, Degree-Days and Degree-Hours</t>
  </si>
  <si>
    <t>DBAvg</t>
  </si>
  <si>
    <t>DBStd</t>
  </si>
  <si>
    <t>HDD50</t>
  </si>
  <si>
    <t>HDD65</t>
  </si>
  <si>
    <t>CDD50</t>
  </si>
  <si>
    <t>CDD65</t>
  </si>
  <si>
    <t>CDH74</t>
  </si>
  <si>
    <t>CDH80</t>
  </si>
  <si>
    <t>Wind</t>
  </si>
  <si>
    <t>WSAvg</t>
  </si>
  <si>
    <t>Precipitation</t>
  </si>
  <si>
    <t>PrecAvg</t>
  </si>
  <si>
    <t>PrecMax</t>
  </si>
  <si>
    <t>PrecMin</t>
  </si>
  <si>
    <t>PrecStd</t>
  </si>
  <si>
    <t>Monthly Design Dry Bulb and Mean Coincident Wet Bulb Temperatures</t>
  </si>
  <si>
    <t>Monthly Design Wet Bulb and Mean Coincident Dry Bulb Temperatures</t>
  </si>
  <si>
    <t>Mean Daily Temperature Range</t>
  </si>
  <si>
    <t>5% DB</t>
  </si>
  <si>
    <t>5% WB</t>
  </si>
  <si>
    <t>Clear Sky Solar Irradiance</t>
  </si>
  <si>
    <t>Edn,noon</t>
  </si>
  <si>
    <t>All-Sky Solar Radiation</t>
  </si>
  <si>
    <t>RadAvg</t>
  </si>
  <si>
    <t>RadStd</t>
  </si>
  <si>
    <t>Imported from Master Room List</t>
  </si>
  <si>
    <t>Dry Bulb Temperature</t>
  </si>
  <si>
    <t>Relative Humitdity
(Not Controlled)</t>
  </si>
  <si>
    <t>Cooling</t>
  </si>
  <si>
    <t>Cooling Setback</t>
  </si>
  <si>
    <t>Heating</t>
  </si>
  <si>
    <t>Heating Setback</t>
  </si>
  <si>
    <t>Year Round</t>
  </si>
  <si>
    <t>1. Use the checkboxes below to show/hide codes based on what is applicable for your project.</t>
  </si>
  <si>
    <t>2. Enter the final design assembly values in the 'Basis of Design' section.</t>
  </si>
  <si>
    <t>Orientation</t>
  </si>
  <si>
    <t>Above-grade wall area (ft²)</t>
  </si>
  <si>
    <t>Vertical glazing area (ft²)</t>
  </si>
  <si>
    <t>Vertical glazing area (%)</t>
  </si>
  <si>
    <t>North</t>
  </si>
  <si>
    <t>East</t>
  </si>
  <si>
    <t>South</t>
  </si>
  <si>
    <t>West</t>
  </si>
  <si>
    <t>Horizontal</t>
  </si>
  <si>
    <t>ASHRAE 90.1-2007 - Nonresidential
Climate Zone 3 (A,B,C)</t>
  </si>
  <si>
    <t>ASHRAE 90.1-2010 - Nonresidential
Climate Zone 3 (A,B,C)</t>
  </si>
  <si>
    <t>ASHRAE 90.1-2013 - Nonresidential
Climate Zone 3 (A,B,C)</t>
  </si>
  <si>
    <t>ASHRAE 90.1-2016 - Nonresidential
Climate Zone 3 (A,B,C)</t>
  </si>
  <si>
    <t>ASHRAE 90.1-2019 - Nonresidential
Climate Zone 3 (A,B,C)</t>
  </si>
  <si>
    <t>Title 24 - 2019 - Nonresidential
Climate Zone 3</t>
  </si>
  <si>
    <t>Basis of Design</t>
  </si>
  <si>
    <t>Total</t>
  </si>
  <si>
    <t>Opaque elements</t>
  </si>
  <si>
    <t>Assembly Maximum</t>
  </si>
  <si>
    <t>Insulation Min.
R-Value</t>
  </si>
  <si>
    <t>Roofs</t>
  </si>
  <si>
    <t>Insulation Entirely Above Deck</t>
  </si>
  <si>
    <t>R-20 c.i.</t>
  </si>
  <si>
    <t>R-25 c.i.</t>
  </si>
  <si>
    <t>-</t>
  </si>
  <si>
    <t>Metal Building</t>
  </si>
  <si>
    <t>R-19</t>
  </si>
  <si>
    <t>R-13 + R-13</t>
  </si>
  <si>
    <t>R-10 + R-19 FC</t>
  </si>
  <si>
    <t>Attic and Other</t>
  </si>
  <si>
    <t>R-38</t>
  </si>
  <si>
    <t>Roofing Products</t>
  </si>
  <si>
    <t>Low Sloped, Aged Solar Reflectance</t>
  </si>
  <si>
    <t>Low Sloped, Thermal Emittance</t>
  </si>
  <si>
    <t>Steep Sloped, Aged Solar Reflectance</t>
  </si>
  <si>
    <t>Steep Sloped, Thermal Emittance</t>
  </si>
  <si>
    <t>Walls, Above Grade</t>
  </si>
  <si>
    <t>Mass, Light</t>
  </si>
  <si>
    <t>Mass, Heavy/All Others</t>
  </si>
  <si>
    <t>R-7.6 c.i.</t>
  </si>
  <si>
    <t>R-5.7 c.i.</t>
  </si>
  <si>
    <t>R-13</t>
  </si>
  <si>
    <t>R-0 + R-9.8 c.i.</t>
  </si>
  <si>
    <t>Steel-Framed</t>
  </si>
  <si>
    <t>R-13 + R-3.8 c.i.</t>
  </si>
  <si>
    <t>R-13 + R-5 c.i.</t>
  </si>
  <si>
    <t>Wood-Framed and Other</t>
  </si>
  <si>
    <t>Walls, Below Grade</t>
  </si>
  <si>
    <t>Below Grade Wall</t>
  </si>
  <si>
    <t>C-1.140</t>
  </si>
  <si>
    <t>NR</t>
  </si>
  <si>
    <t>Floors</t>
  </si>
  <si>
    <t>Mass</t>
  </si>
  <si>
    <t>R-6.3 c.i.</t>
  </si>
  <si>
    <t>R-10 c.i.</t>
  </si>
  <si>
    <t>Steel-Joist</t>
  </si>
  <si>
    <t>R-30</t>
  </si>
  <si>
    <t>Slab-On-Grade Floors</t>
  </si>
  <si>
    <t>Unheated</t>
  </si>
  <si>
    <t>F-0.730</t>
  </si>
  <si>
    <t>U-0.071</t>
  </si>
  <si>
    <t>Heated</t>
  </si>
  <si>
    <t>F-0.900</t>
  </si>
  <si>
    <t>R-10 for 24"</t>
  </si>
  <si>
    <t>F-0.860</t>
  </si>
  <si>
    <t>R-15 for 24"</t>
  </si>
  <si>
    <t>Opaue Doors</t>
  </si>
  <si>
    <t>Swinging</t>
  </si>
  <si>
    <t>U-0.700</t>
  </si>
  <si>
    <t>Nonswinging</t>
  </si>
  <si>
    <t>U-1.450</t>
  </si>
  <si>
    <t>U-0.500</t>
  </si>
  <si>
    <t>Fenestrations</t>
  </si>
  <si>
    <t>Assembly Maximum U-Value</t>
  </si>
  <si>
    <t>Assembly Maximum SHGC</t>
  </si>
  <si>
    <t>Assembly Min. VT/SHGC</t>
  </si>
  <si>
    <t>Vertical Fenestration</t>
  </si>
  <si>
    <t>Nonmetal Framing (all)</t>
  </si>
  <si>
    <t>Metal Framing (Curtainwall/Storefront)</t>
  </si>
  <si>
    <t>Metal Framing (Entrance Door)</t>
  </si>
  <si>
    <t>Metal Framing (All Other)</t>
  </si>
  <si>
    <t>Fixed</t>
  </si>
  <si>
    <t>Operable</t>
  </si>
  <si>
    <t>Entrance Door</t>
  </si>
  <si>
    <t>Skylight</t>
  </si>
  <si>
    <t>With Curb, Glass, 0-2% of Roof Area</t>
  </si>
  <si>
    <t>With Curb, Glass, 2.1-5% of Roof Area</t>
  </si>
  <si>
    <t>With Curb, Plastic, 0-2% of Roof Area</t>
  </si>
  <si>
    <t>With Curb, Plastic, 2.1-5% of Roof Area</t>
  </si>
  <si>
    <t>Without Curb, 0-2% of Roof Area</t>
  </si>
  <si>
    <t>Without Curb, 2.1-5% of Roof Area</t>
  </si>
  <si>
    <t>Tubular Daylighting Devices (TDD)</t>
  </si>
  <si>
    <t>All Types</t>
  </si>
  <si>
    <t>1. Complete the information and instructions from the 'Master Room List' tab.</t>
  </si>
  <si>
    <t>2. Complete information in the table below in the green columns. DO NOT ENTER INFORMATION IN GRAY COLUMNS. Gray columns are autopopulated.</t>
  </si>
  <si>
    <t>Note: Many of the areas with information to input require the use of drop down menus.</t>
  </si>
  <si>
    <t>UNDER CONSTRUCTION. REQUIRES INPUT FOR ASHRAE AIRFLOW VALUES</t>
  </si>
  <si>
    <t>Occupancy and Airflow Assumptions</t>
  </si>
  <si>
    <t>Title-24 2019</t>
  </si>
  <si>
    <t>ASHRAE 90.1-2007</t>
  </si>
  <si>
    <t>ASHRAE 90.1-2010</t>
  </si>
  <si>
    <t>ASHRAE 90.1-2013</t>
  </si>
  <si>
    <t>ASHRAE 90.1-2016</t>
  </si>
  <si>
    <t>ASHRAE 90.1-2019</t>
  </si>
  <si>
    <t>Primary Function Area</t>
  </si>
  <si>
    <t>T24 Area Outdoor Air Rate
[CFM/SF]</t>
  </si>
  <si>
    <t>T24 Min Air Rate  for DCV
[CFM/SF]</t>
  </si>
  <si>
    <t>T24 Min Air for People [CFM/Person]</t>
  </si>
  <si>
    <t>Occupant Density
[People/1000SF]</t>
  </si>
  <si>
    <t>Occupants
[# of People]</t>
  </si>
  <si>
    <t>T24 DCV Required?</t>
  </si>
  <si>
    <t>ASHRAE 2007 Space Type</t>
  </si>
  <si>
    <t>ASHRAE 2007 Min Airflow per Person 
[CFM/Person]</t>
  </si>
  <si>
    <t>ASHRAE 2007 Min Airflow Per Area
[CFM/SF]</t>
  </si>
  <si>
    <t>ASHRAE 2007 Occupant Density
[People/1000SF]</t>
  </si>
  <si>
    <t>ASHRAE 2007 Occupants
[# of People]</t>
  </si>
  <si>
    <t>ASHRAE 2007 DCV Required?</t>
  </si>
  <si>
    <t>ASHRAE 2010 Space Type</t>
  </si>
  <si>
    <t>ASHRAE 2010 Min Airflow per Person 
[CFM/Person]</t>
  </si>
  <si>
    <t>ASHRAE 2010 Min Airflow Per Area
[CFM/SF]</t>
  </si>
  <si>
    <t>ASHRAE 2010 Occupant Density
[People/1000SF]</t>
  </si>
  <si>
    <t>ASHRAE 2010 Occupants
[# of People]</t>
  </si>
  <si>
    <t>ASHRAE 2010 DCV Required?</t>
  </si>
  <si>
    <t>ASHRAE 2013 Space Type</t>
  </si>
  <si>
    <t>ASHRAE 2013 Min Airflow per Person 
[CFM/Person]</t>
  </si>
  <si>
    <t>ASHRAE 2013 Min Airflow Per Area
[CFM/SF]</t>
  </si>
  <si>
    <t>ASHRAE 2013 Occupant Density
[People/1000SF]</t>
  </si>
  <si>
    <t>ASHRAE 2013 Occupants
[# of People]</t>
  </si>
  <si>
    <t>ASHRAE 2013 DCV Required?</t>
  </si>
  <si>
    <t>ASHRAE 2016 Space Type</t>
  </si>
  <si>
    <t>ASHRAE 2016 Min Airflow per Person 
[CFM/Person]</t>
  </si>
  <si>
    <t>ASHRAE 2016 Min Airflow Per Area
[CFM/SF]</t>
  </si>
  <si>
    <t>ASHRAE 2016 Occupant Density
[People/1000SF]</t>
  </si>
  <si>
    <t>ASHRAE 2016 Occupants
[# of People]</t>
  </si>
  <si>
    <t>ASHRAE 2016 DCV Required?</t>
  </si>
  <si>
    <t>ASHRAE 2019 Space Type</t>
  </si>
  <si>
    <t>ASHRAE 2019 Min Airflow per Person 
[CFM/Person]</t>
  </si>
  <si>
    <t>ASHRAE 2019 Min Airflow Per Area
[CFM/SF]</t>
  </si>
  <si>
    <t>ASHRAE 2019 Occupant Density
[People/1000SF]</t>
  </si>
  <si>
    <t>ASHRAE 2019 Occupants
[# of People]</t>
  </si>
  <si>
    <t>ASHRAE 2019 DCV Required?</t>
  </si>
  <si>
    <t>Design Min Airflow
[CFM/sqft]</t>
  </si>
  <si>
    <t>Design Min Total ACH</t>
  </si>
  <si>
    <t>Design Min OA ACH</t>
  </si>
  <si>
    <t>Design Occupant Density [SF/Person]</t>
  </si>
  <si>
    <t>Design Occupant Density
[People/1000SF]</t>
  </si>
  <si>
    <t>Design DCV Required?</t>
  </si>
  <si>
    <t>Notes</t>
  </si>
  <si>
    <t xml:space="preserve">Conference/meeting </t>
  </si>
  <si>
    <t>Conference/meeting</t>
  </si>
  <si>
    <t>Group therapy</t>
  </si>
  <si>
    <t xml:space="preserve">Corridors </t>
  </si>
  <si>
    <t>Corridors</t>
  </si>
  <si>
    <t xml:space="preserve">Office space </t>
  </si>
  <si>
    <t>Office space</t>
  </si>
  <si>
    <t>Science laboratories</t>
  </si>
  <si>
    <t>Same as exam</t>
  </si>
  <si>
    <t xml:space="preserve">Main entry lobbies </t>
  </si>
  <si>
    <t>Lobbies</t>
  </si>
  <si>
    <t>same as waiting</t>
  </si>
  <si>
    <t xml:space="preserve">Break rooms </t>
  </si>
  <si>
    <t>Break rooms (Office)</t>
  </si>
  <si>
    <t>From 9/23: (Jeff Mark - Electrical)</t>
  </si>
  <si>
    <t>2. Use the checkboxes below to show/hide codes based on what is applicable for your project.</t>
  </si>
  <si>
    <t>3. Complete information in the table below in the green columns. DO NOT ENTER INFORMATION IN GRAY COLUMNS. Gray columns are autopopulated.</t>
  </si>
  <si>
    <t>Lighting Assumptions</t>
  </si>
  <si>
    <t>Allowed LPD (W/sqft)</t>
  </si>
  <si>
    <t>Qualified Lighting System 1</t>
  </si>
  <si>
    <t>Additional Allowance (W/sqft, unless noted otherwise)</t>
  </si>
  <si>
    <t>Qualified Lighting System 2</t>
  </si>
  <si>
    <t>Additional Allowance (W/sqft, unless noted otherwise)2</t>
  </si>
  <si>
    <t>Total Allowed LPD (W/sqft, Unless noted otherwise)</t>
  </si>
  <si>
    <t>LPD
W/sqft</t>
  </si>
  <si>
    <t>RCR
Threshold</t>
  </si>
  <si>
    <t>LPD
W/sqft3</t>
  </si>
  <si>
    <t>RCR
Threshold4</t>
  </si>
  <si>
    <t>LPD
W/sqft33</t>
  </si>
  <si>
    <t>RCR
Threshold44</t>
  </si>
  <si>
    <t>LPD-
W/sqft</t>
  </si>
  <si>
    <t>RCR,
Threshold</t>
  </si>
  <si>
    <t>LPD,
W/sqft</t>
  </si>
  <si>
    <t>RCR Threshold</t>
  </si>
  <si>
    <t>Min Code LPD 
[W/sqft]</t>
  </si>
  <si>
    <t>MinCode LPD Reference</t>
  </si>
  <si>
    <t>Design LPD 
[W/sqft]</t>
  </si>
  <si>
    <t>Improvement over Baseline
[%]</t>
  </si>
  <si>
    <t>EPD
[W/sqft]</t>
  </si>
  <si>
    <t>Convention, Conference, Multipurpose and Meeting Area</t>
  </si>
  <si>
    <t>Conference/Meeting/Multipurpose Rooms</t>
  </si>
  <si>
    <t>Corridor Area</t>
  </si>
  <si>
    <t>Corridor *2 - Hospital</t>
  </si>
  <si>
    <t>Electrical, Mechanical, Telephone Room</t>
  </si>
  <si>
    <t>Electrical/Mechanical Room *7</t>
  </si>
  <si>
    <t>Healthcare Facility and Hospitals - Exam/Treatment Room</t>
  </si>
  <si>
    <t>Healthcare Facility - Exam/Treatment Room</t>
  </si>
  <si>
    <t>Healthcare Facility and Hospitals - Imaging Room</t>
  </si>
  <si>
    <t>Healthcare Facility - Radiology/Imaging</t>
  </si>
  <si>
    <t>Healthcare Facility - Imaging Room</t>
  </si>
  <si>
    <t>Scientific Laboratory Area</t>
  </si>
  <si>
    <t>Laboratory</t>
  </si>
  <si>
    <t>Laboratory - All other laboratories</t>
  </si>
  <si>
    <t>FREEZER - 20 W/SF EPD</t>
  </si>
  <si>
    <t>Main Entry Lobby</t>
  </si>
  <si>
    <t>Lobby - All other lobbies</t>
  </si>
  <si>
    <t>Lounge, Breakroom, or Waiting Area</t>
  </si>
  <si>
    <t>Lounge/Recreation - Healthcare Facility</t>
  </si>
  <si>
    <t>Lounge/Breakroom - Healthcare Facility</t>
  </si>
  <si>
    <t>Office Area - &gt; 250 sqft</t>
  </si>
  <si>
    <t>Office - Enclosed</t>
  </si>
  <si>
    <t>Office - Enclosed and &lt;=250sqft</t>
  </si>
  <si>
    <t>Office Area - &lt;= 250 sqft</t>
  </si>
  <si>
    <t>Office - Open Plan</t>
  </si>
  <si>
    <t>Restrooms</t>
  </si>
  <si>
    <t>Restroom - All other restrooms</t>
  </si>
  <si>
    <t>Stairwell</t>
  </si>
  <si>
    <t>Stairway</t>
  </si>
  <si>
    <t>All other</t>
  </si>
  <si>
    <t>Storage (Inactive)</t>
  </si>
  <si>
    <t>Storage Room - &lt;50sqft</t>
  </si>
  <si>
    <t>Copy Room</t>
  </si>
  <si>
    <t>Retail Sales Area - Retail Merchandise Sales</t>
  </si>
  <si>
    <t>Sales Area</t>
  </si>
  <si>
    <t>Category</t>
  </si>
  <si>
    <t>Concept/Schematic - 12/09/2020</t>
  </si>
  <si>
    <t>Design Development - 02/17/2021</t>
  </si>
  <si>
    <t>Construction Documents - 3/05/2021</t>
  </si>
  <si>
    <t>Comments/References</t>
  </si>
  <si>
    <t>General</t>
  </si>
  <si>
    <t>Climate Zone</t>
  </si>
  <si>
    <t>Zone 3C</t>
  </si>
  <si>
    <t>Weather Data</t>
  </si>
  <si>
    <t>Phoenix Sky Harbor TMY3</t>
  </si>
  <si>
    <t>San Francisco INTL, CA TMY3</t>
  </si>
  <si>
    <t>Cooling Design Day</t>
  </si>
  <si>
    <r>
      <rPr>
        <u/>
        <sz val="11"/>
        <color theme="1"/>
        <rFont val="Calibri"/>
        <family val="2"/>
        <scheme val="minor"/>
      </rPr>
      <t>108.1 °F DB @ 69.8°F MCWB: 1.0% Annual Cooling</t>
    </r>
    <r>
      <rPr>
        <sz val="11"/>
        <color theme="1"/>
        <rFont val="Calibri"/>
        <family val="2"/>
        <scheme val="minor"/>
      </rPr>
      <t xml:space="preserve">
</t>
    </r>
  </si>
  <si>
    <r>
      <rPr>
        <u/>
        <sz val="11"/>
        <color theme="1"/>
        <rFont val="Calibri"/>
        <family val="2"/>
        <scheme val="minor"/>
      </rPr>
      <t>108.1 °F DB @ 69.8°F MCWB: 1.0% Annual Cooling</t>
    </r>
    <r>
      <rPr>
        <sz val="11"/>
        <color theme="1"/>
        <rFont val="Calibri"/>
        <family val="2"/>
        <scheme val="minor"/>
      </rPr>
      <t xml:space="preserve">
</t>
    </r>
    <r>
      <rPr>
        <b/>
        <sz val="11"/>
        <color theme="1"/>
        <rFont val="Calibri"/>
        <family val="2"/>
        <scheme val="minor"/>
      </rPr>
      <t xml:space="preserve">40.2 Btu/lb @ 95.6 °F MCDB: 0.4% Enthalpy
</t>
    </r>
    <r>
      <rPr>
        <b/>
        <sz val="11"/>
        <rFont val="Calibri"/>
        <family val="2"/>
        <scheme val="minor"/>
      </rPr>
      <t>120°F DB : 50-yr Cooling Extreme</t>
    </r>
    <r>
      <rPr>
        <sz val="11"/>
        <color theme="1"/>
        <rFont val="Calibri"/>
        <family val="2"/>
        <scheme val="minor"/>
      </rPr>
      <t xml:space="preserve">
</t>
    </r>
  </si>
  <si>
    <t>Weather Data Threshold:</t>
  </si>
  <si>
    <t>99.6%/0.4%</t>
  </si>
  <si>
    <t>Heating Design Day</t>
  </si>
  <si>
    <t xml:space="preserve">38.6°F DB: 0.4% Annual Heating
</t>
  </si>
  <si>
    <r>
      <rPr>
        <u/>
        <sz val="11"/>
        <rFont val="Calibri"/>
        <family val="2"/>
        <scheme val="minor"/>
      </rPr>
      <t xml:space="preserve">38.6°F DB: 0.4% Annual Heating
</t>
    </r>
    <r>
      <rPr>
        <b/>
        <sz val="11"/>
        <rFont val="Calibri"/>
        <family val="2"/>
        <scheme val="minor"/>
      </rPr>
      <t>30.9°F DB: 10-yr Heating Extreme</t>
    </r>
    <r>
      <rPr>
        <sz val="11"/>
        <rFont val="Calibri"/>
        <family val="2"/>
        <scheme val="minor"/>
      </rPr>
      <t xml:space="preserve">
</t>
    </r>
  </si>
  <si>
    <t>Building Geometry</t>
  </si>
  <si>
    <t xml:space="preserve">L-Shape </t>
  </si>
  <si>
    <r>
      <t xml:space="preserve">L-Shape
</t>
    </r>
    <r>
      <rPr>
        <b/>
        <sz val="11"/>
        <color theme="1"/>
        <rFont val="Calibri"/>
        <family val="2"/>
        <scheme val="minor"/>
      </rPr>
      <t>The building stands six stories tall including a small basement. Level one floor-to-floor height is 16 ft., while all remaining floors are about 14 ft. floor-to-floor.</t>
    </r>
  </si>
  <si>
    <r>
      <t xml:space="preserve">L-Shape 
The building stands six stories tall including a small basement. Level one floor-to-floor height is 16 ft., while all remaining floors are about 14 ft. floor-to-floor.
</t>
    </r>
    <r>
      <rPr>
        <b/>
        <sz val="11"/>
        <color theme="1"/>
        <rFont val="Calibri"/>
        <family val="2"/>
        <scheme val="minor"/>
      </rPr>
      <t>Adjacent B and F wing shading modeled.</t>
    </r>
  </si>
  <si>
    <t>Building Image</t>
  </si>
  <si>
    <t xml:space="preserve">
</t>
  </si>
  <si>
    <t>Energy Code/Guideline</t>
  </si>
  <si>
    <t>IECC 2018
LEEDv4.0 ASHRAE 90.1-2010</t>
  </si>
  <si>
    <r>
      <t xml:space="preserve">IECC 2018 </t>
    </r>
    <r>
      <rPr>
        <b/>
        <sz val="11"/>
        <color theme="1"/>
        <rFont val="Calibri"/>
        <family val="2"/>
        <scheme val="minor"/>
      </rPr>
      <t>(prescriptive path)</t>
    </r>
    <r>
      <rPr>
        <sz val="11"/>
        <color theme="1"/>
        <rFont val="Calibri"/>
        <family val="2"/>
        <scheme val="minor"/>
      </rPr>
      <t xml:space="preserve">
LEEDv4.0 ASHRAE 90.1-2010 </t>
    </r>
    <r>
      <rPr>
        <b/>
        <sz val="11"/>
        <color theme="1"/>
        <rFont val="Calibri"/>
        <family val="2"/>
        <scheme val="minor"/>
      </rPr>
      <t>(prescriptive path)</t>
    </r>
  </si>
  <si>
    <t>LEED 2009 ASHRAE 90.1-2010 (prescriptive path)</t>
  </si>
  <si>
    <t>As adopted by ASU
Incorporated by ASU PDG reference</t>
  </si>
  <si>
    <t>Certifications Pursued</t>
  </si>
  <si>
    <t>LEEDv4</t>
  </si>
  <si>
    <r>
      <t xml:space="preserve">LEEDv4 </t>
    </r>
    <r>
      <rPr>
        <b/>
        <sz val="11"/>
        <color theme="1"/>
        <rFont val="Calibri"/>
        <family val="2"/>
        <scheme val="minor"/>
      </rPr>
      <t>Silver</t>
    </r>
  </si>
  <si>
    <r>
      <t xml:space="preserve">LEEDv4 Silver
</t>
    </r>
    <r>
      <rPr>
        <b/>
        <sz val="11"/>
        <color theme="1"/>
        <rFont val="Calibri"/>
        <family val="2"/>
        <scheme val="minor"/>
      </rPr>
      <t>Optimize Energy: -- points est.</t>
    </r>
  </si>
  <si>
    <t>Owner's Project Requirements 
     Issue date 02/17/2020</t>
  </si>
  <si>
    <t>https://www.usgbc.org/credits/core-shell-new-construction/v2009/eap2?return=/credits/New%20Construction/v2009/Energy%20&amp;%20atmosphere</t>
  </si>
  <si>
    <t>Simulation Engine</t>
  </si>
  <si>
    <t>ApacheHVAC</t>
  </si>
  <si>
    <t>https://www.usgbc.org/credits/new-construction/v2009/eac1?return=/credits/New%20Construction/v2009/Energy%20&amp;%20atmosphere</t>
  </si>
  <si>
    <t>Simulation GUI</t>
  </si>
  <si>
    <t>IESVE</t>
  </si>
  <si>
    <r>
      <t xml:space="preserve">IESVE </t>
    </r>
    <r>
      <rPr>
        <b/>
        <sz val="11"/>
        <color theme="1"/>
        <rFont val="Calibri"/>
        <family val="2"/>
        <scheme val="minor"/>
      </rPr>
      <t>Version 2021.2.0.0</t>
    </r>
  </si>
  <si>
    <t>IESVE Version 2021.3.0.0</t>
  </si>
  <si>
    <t>4 (including penthouse)</t>
  </si>
  <si>
    <t>100% CD set issued 03/05/2021</t>
  </si>
  <si>
    <t>Building Occupancy</t>
  </si>
  <si>
    <t>200 SF/per</t>
  </si>
  <si>
    <t>2500 non-coincident peak occupants</t>
  </si>
  <si>
    <r>
      <t xml:space="preserve">2,500 non-coincident peak occupants
</t>
    </r>
    <r>
      <rPr>
        <b/>
        <sz val="11"/>
        <color theme="1"/>
        <rFont val="Calibri"/>
        <family val="2"/>
        <scheme val="minor"/>
      </rPr>
      <t>1,800 coincident peak occupants</t>
    </r>
  </si>
  <si>
    <t>Program Documents - 11/03/19
E-mail dated 01/25/21
100% CD Mechanical Set - 03/05/21</t>
  </si>
  <si>
    <t>Building GSF</t>
  </si>
  <si>
    <t>160,000 GSF</t>
  </si>
  <si>
    <t>164,000 GSF</t>
  </si>
  <si>
    <t>66,570 GSF</t>
  </si>
  <si>
    <t>Revit geometry accessed 09/16/21</t>
  </si>
  <si>
    <t>Reviewed By</t>
  </si>
  <si>
    <t>Clinet Name - xx/xx/xx</t>
  </si>
  <si>
    <t>Utilities</t>
  </si>
  <si>
    <t>Arizona Public Service
District Chilled Water
District Steam
Water/Rates TBD</t>
  </si>
  <si>
    <r>
      <t xml:space="preserve">Arizona Public Service
Southwest Natural Gas
District Chilled Water
District Steam
</t>
    </r>
    <r>
      <rPr>
        <b/>
        <sz val="11"/>
        <color theme="1"/>
        <rFont val="Calibri"/>
        <family val="2"/>
        <scheme val="minor"/>
      </rPr>
      <t>City of Scottsdale Water
Maricopa County Sewer</t>
    </r>
  </si>
  <si>
    <r>
      <t>Arizona Public Service</t>
    </r>
    <r>
      <rPr>
        <b/>
        <sz val="11"/>
        <color theme="1"/>
        <rFont val="Calibri"/>
        <family val="2"/>
        <scheme val="minor"/>
      </rPr>
      <t>: E32 TOU plan</t>
    </r>
    <r>
      <rPr>
        <sz val="11"/>
        <color theme="1"/>
        <rFont val="Calibri"/>
        <family val="2"/>
        <scheme val="minor"/>
      </rPr>
      <t xml:space="preserve">
Southwest Natural Gas</t>
    </r>
    <r>
      <rPr>
        <b/>
        <sz val="11"/>
        <color theme="1"/>
        <rFont val="Calibri"/>
        <family val="2"/>
        <scheme val="minor"/>
      </rPr>
      <t xml:space="preserve">: G-25 plan
</t>
    </r>
    <r>
      <rPr>
        <sz val="11"/>
        <color theme="1"/>
        <rFont val="Calibri"/>
        <family val="2"/>
        <scheme val="minor"/>
      </rPr>
      <t>District Chilled Water
District Steam
City of Scottsdale Water</t>
    </r>
    <r>
      <rPr>
        <b/>
        <sz val="11"/>
        <color theme="1"/>
        <rFont val="Calibri"/>
        <family val="2"/>
        <scheme val="minor"/>
      </rPr>
      <t>: General Service</t>
    </r>
    <r>
      <rPr>
        <sz val="11"/>
        <color theme="1"/>
        <rFont val="Calibri"/>
        <family val="2"/>
        <scheme val="minor"/>
      </rPr>
      <t xml:space="preserve">
Maricopa County Sewer</t>
    </r>
    <r>
      <rPr>
        <b/>
        <sz val="11"/>
        <color theme="1"/>
        <rFont val="Calibri"/>
        <family val="2"/>
        <scheme val="minor"/>
      </rPr>
      <t>: General Service</t>
    </r>
  </si>
  <si>
    <t>Owner's Project Requirements 
     Issue date 02/17/2020
E-mail dated 1/28/21</t>
  </si>
  <si>
    <t>Electric Rate</t>
  </si>
  <si>
    <t>Electric: $0.092/kWh
Complex rate to be added at future cycle</t>
  </si>
  <si>
    <t>ElectricRates based on an APS E35 (TOU) rate structure.
On-Peak rate: $0.0502/kWh , $20.559/kW
On-peak hours: 11:00 AM- 9:00 PM Monday through Friday 
Off -peak: $0.0399 /kWh , $3.147/kW
Off-peak hours: all remaining hours</t>
  </si>
  <si>
    <t>Owner rates per John Smith 
     E-mail on 01/11/2019</t>
  </si>
  <si>
    <t>Chilled Water Rate</t>
  </si>
  <si>
    <t xml:space="preserve">$0.063/Ton-hr ($5.25/MBTU modeled)
</t>
  </si>
  <si>
    <t>Steam Rate</t>
  </si>
  <si>
    <t>$0.7348/therm</t>
  </si>
  <si>
    <r>
      <t xml:space="preserve">$0.7348/therm
</t>
    </r>
    <r>
      <rPr>
        <b/>
        <sz val="11"/>
        <color theme="1"/>
        <rFont val="Calibri"/>
        <family val="2"/>
        <scheme val="minor"/>
      </rPr>
      <t>$0.55/therm (plant natural gas)</t>
    </r>
  </si>
  <si>
    <t>Operations/Schedules</t>
  </si>
  <si>
    <t>Hours of Operation</t>
  </si>
  <si>
    <t>8am-5pm all</t>
  </si>
  <si>
    <t>7am to 6pm for offices
7am to 8pm for classrooms</t>
  </si>
  <si>
    <r>
      <t xml:space="preserve">7am to 6pm for offices
7am to 8pm for classrooms
</t>
    </r>
    <r>
      <rPr>
        <b/>
        <sz val="11"/>
        <color theme="1"/>
        <rFont val="Calibri"/>
        <family val="2"/>
        <scheme val="minor"/>
      </rPr>
      <t>10-hr HVAC Operation</t>
    </r>
  </si>
  <si>
    <t>Days of Operation</t>
  </si>
  <si>
    <t>M-F
Holidays to be added in future cycle</t>
  </si>
  <si>
    <r>
      <t xml:space="preserve">M-F
</t>
    </r>
    <r>
      <rPr>
        <b/>
        <sz val="11"/>
        <color theme="1"/>
        <rFont val="Calibri"/>
        <family val="2"/>
        <scheme val="minor"/>
      </rPr>
      <t>ASU Holiday Schedule</t>
    </r>
  </si>
  <si>
    <r>
      <t xml:space="preserve">M-F
ASU Holiday Schedule
</t>
    </r>
    <r>
      <rPr>
        <b/>
        <sz val="11"/>
        <color theme="1"/>
        <rFont val="Calibri"/>
        <family val="2"/>
        <scheme val="minor"/>
      </rPr>
      <t>250 days/year</t>
    </r>
  </si>
  <si>
    <t>Owner's Project Requirements 
     Issue date 02/17/2020
https://students.asu.edu/academic-calendar</t>
  </si>
  <si>
    <t>Temperatures</t>
  </si>
  <si>
    <t>70-75°F</t>
  </si>
  <si>
    <r>
      <t>70-</t>
    </r>
    <r>
      <rPr>
        <b/>
        <sz val="11"/>
        <color theme="1"/>
        <rFont val="Calibri"/>
        <family val="2"/>
        <scheme val="minor"/>
      </rPr>
      <t>78°F during regular occupancy
5°F occupied setbacks outside regular occupancy hours</t>
    </r>
  </si>
  <si>
    <r>
      <t xml:space="preserve">70-78°F during regular occupancy
</t>
    </r>
    <r>
      <rPr>
        <b/>
        <sz val="11"/>
        <color theme="1"/>
        <rFont val="Calibri"/>
        <family val="2"/>
        <scheme val="minor"/>
      </rPr>
      <t>72-74°F design</t>
    </r>
    <r>
      <rPr>
        <sz val="11"/>
        <color theme="1"/>
        <rFont val="Calibri"/>
        <family val="2"/>
        <scheme val="minor"/>
      </rPr>
      <t xml:space="preserve">
5°F occupied setbacks outside regular occupancy hours</t>
    </r>
  </si>
  <si>
    <t>Owner Technical Design Guidelines
     Issue date 02/03/2020
     Issue date 10/01/2020</t>
  </si>
  <si>
    <t>Occupancy</t>
  </si>
  <si>
    <t>Based on 90.1-2010 User Manual Office Schedules. Modified to reflect hours of operation.</t>
  </si>
  <si>
    <t>Lighting</t>
  </si>
  <si>
    <t>Receptacles</t>
  </si>
  <si>
    <t>Envelope</t>
  </si>
  <si>
    <t>Opaque Assemblies</t>
  </si>
  <si>
    <t>Wall Description</t>
  </si>
  <si>
    <t>10% better than IECC 2018 
Steel-framed construction</t>
  </si>
  <si>
    <t>R-7.5 batt insulation
R-13 continous insulation</t>
  </si>
  <si>
    <t>Cold formed steel stud framing 16" on center with R-7.5 cavity insulation (6" fiberglass batts) and R-13 continuous insulation (3.5" XPS)</t>
  </si>
  <si>
    <t>100% CD set issued 03/05/21</t>
  </si>
  <si>
    <t>Wall U-Value</t>
  </si>
  <si>
    <t>ASHRAE 90.1 Appendix A Table A3.3</t>
  </si>
  <si>
    <t>Roof Description</t>
  </si>
  <si>
    <t>10% better than IECC 2018
Insulation above roof deck</t>
  </si>
  <si>
    <t>R-38 continuous insulation entirely above deck</t>
  </si>
  <si>
    <t>TPO SRI 80 roof
R-38 continuous insulation entirely above deck</t>
  </si>
  <si>
    <t>Roof U-Value</t>
  </si>
  <si>
    <t>ASHRAE 90.1 Appendix A Table A2.2</t>
  </si>
  <si>
    <t>Slab-On-Grade Floor Description</t>
  </si>
  <si>
    <t>No insulation</t>
  </si>
  <si>
    <t>No Insulation</t>
  </si>
  <si>
    <t>Slab-On-Grade Floor F-Value</t>
  </si>
  <si>
    <r>
      <t xml:space="preserve">0.74
</t>
    </r>
    <r>
      <rPr>
        <b/>
        <sz val="11"/>
        <color theme="1"/>
        <rFont val="Calibri"/>
        <family val="2"/>
        <scheme val="minor"/>
      </rPr>
      <t>Modeled as equivalent u-value in perimeter zones</t>
    </r>
  </si>
  <si>
    <t>ASHRAE 90.1 Appendix A Table A6.3</t>
  </si>
  <si>
    <t>Below Grade Wall Description</t>
  </si>
  <si>
    <t>None</t>
  </si>
  <si>
    <t>6" concrete wall with no insulation</t>
  </si>
  <si>
    <t>Below Grade Wall C-Value</t>
  </si>
  <si>
    <t>N/A</t>
  </si>
  <si>
    <t>ASHRAE 90.1 Appendix A Table A4.2</t>
  </si>
  <si>
    <t>Exposed Floor Description</t>
  </si>
  <si>
    <t>10% better than IECC 2018</t>
  </si>
  <si>
    <t>R-19 continous insulation</t>
  </si>
  <si>
    <t>8" concrete floor with rubber pad and carpet and R-19 pinned boards</t>
  </si>
  <si>
    <t>Exposed Floor U-Value</t>
  </si>
  <si>
    <t>ASHRAE 90.1 Appendix A Table A5.2</t>
  </si>
  <si>
    <t>Envelope Leakage</t>
  </si>
  <si>
    <t>Code minimum
Not modeled in this cycle</t>
  </si>
  <si>
    <t xml:space="preserve">Wall Envelope: 0.4 cfm/sf
Window Leakage: 0.06 cfm/sf
</t>
  </si>
  <si>
    <r>
      <t xml:space="preserve">Opaque Envelope: 0.4 cfm/sf
Window Leakage: 0.06 cfm/sf
</t>
    </r>
    <r>
      <rPr>
        <b/>
        <sz val="11"/>
        <color theme="1"/>
        <rFont val="Calibri"/>
        <family val="2"/>
        <scheme val="minor"/>
      </rPr>
      <t>@ 0.3 in wc rated condition
Modeled at 0.0955 cfm @ 0.05 in wc</t>
    </r>
  </si>
  <si>
    <t>ASHRAE 90.1-2010
Modeling method per 'Mass Save Hourly Simulation Guidelines'</t>
  </si>
  <si>
    <t>Shading and Fenestration</t>
  </si>
  <si>
    <t>Glass selection</t>
  </si>
  <si>
    <t>Triple silver low-e coating 
Double paned clear</t>
  </si>
  <si>
    <r>
      <t xml:space="preserve">Triple silver low-e coating </t>
    </r>
    <r>
      <rPr>
        <b/>
        <sz val="11"/>
        <color theme="1"/>
        <rFont val="Calibri"/>
        <family val="2"/>
        <scheme val="minor"/>
      </rPr>
      <t>(Basis Solarban 90)</t>
    </r>
    <r>
      <rPr>
        <sz val="11"/>
        <color theme="1"/>
        <rFont val="Calibri"/>
        <family val="2"/>
        <scheme val="minor"/>
      </rPr>
      <t xml:space="preserve">
Double paned clear</t>
    </r>
  </si>
  <si>
    <t>Frame Type</t>
  </si>
  <si>
    <t>Aluminum framing
Insulated spacer for thermal break</t>
  </si>
  <si>
    <r>
      <t>Aluminum framing</t>
    </r>
    <r>
      <rPr>
        <b/>
        <sz val="11"/>
        <color theme="1"/>
        <rFont val="Calibri"/>
        <family val="2"/>
        <scheme val="minor"/>
      </rPr>
      <t xml:space="preserve"> (Basis Kawneer model XYZ)</t>
    </r>
    <r>
      <rPr>
        <sz val="11"/>
        <color theme="1"/>
        <rFont val="Calibri"/>
        <family val="2"/>
        <scheme val="minor"/>
      </rPr>
      <t xml:space="preserve">
Insulated spacer for thermal break</t>
    </r>
  </si>
  <si>
    <t>Exterior Shade</t>
  </si>
  <si>
    <t>Perforated screens
Not modeled in current cycle</t>
  </si>
  <si>
    <r>
      <t xml:space="preserve">Perforated screens
</t>
    </r>
    <r>
      <rPr>
        <b/>
        <sz val="11"/>
        <color theme="1"/>
        <rFont val="Calibri"/>
        <family val="2"/>
        <scheme val="minor"/>
      </rPr>
      <t>Modeled as fixed exterior translucent shade</t>
    </r>
  </si>
  <si>
    <t>Window Assembly U-Value</t>
  </si>
  <si>
    <t>0.65 assembly</t>
  </si>
  <si>
    <t>0.50
Glazing selection + 10% frame</t>
  </si>
  <si>
    <t>0.45
Window manufacturer's data</t>
  </si>
  <si>
    <t>Window SHGC</t>
  </si>
  <si>
    <t>Gross Window-Wall Ratio</t>
  </si>
  <si>
    <t>30% target</t>
  </si>
  <si>
    <t>25% North, 25% East, 30% South, 20% West</t>
  </si>
  <si>
    <r>
      <t xml:space="preserve">25% North, </t>
    </r>
    <r>
      <rPr>
        <b/>
        <sz val="11"/>
        <color theme="1"/>
        <rFont val="Calibri"/>
        <family val="2"/>
        <scheme val="minor"/>
      </rPr>
      <t>23%</t>
    </r>
    <r>
      <rPr>
        <sz val="11"/>
        <color theme="1"/>
        <rFont val="Calibri"/>
        <family val="2"/>
        <scheme val="minor"/>
      </rPr>
      <t xml:space="preserve"> East, </t>
    </r>
    <r>
      <rPr>
        <b/>
        <sz val="11"/>
        <color theme="1"/>
        <rFont val="Calibri"/>
        <family val="2"/>
        <scheme val="minor"/>
      </rPr>
      <t>29%</t>
    </r>
    <r>
      <rPr>
        <sz val="11"/>
        <color theme="1"/>
        <rFont val="Calibri"/>
        <family val="2"/>
        <scheme val="minor"/>
      </rPr>
      <t xml:space="preserve"> South, </t>
    </r>
    <r>
      <rPr>
        <b/>
        <sz val="11"/>
        <color theme="1"/>
        <rFont val="Calibri"/>
        <family val="2"/>
        <scheme val="minor"/>
      </rPr>
      <t>18%</t>
    </r>
    <r>
      <rPr>
        <sz val="11"/>
        <color theme="1"/>
        <rFont val="Calibri"/>
        <family val="2"/>
        <scheme val="minor"/>
      </rPr>
      <t xml:space="preserve"> West</t>
    </r>
  </si>
  <si>
    <t>Architect Name - xx/xx/xx</t>
  </si>
  <si>
    <t>Electrical</t>
  </si>
  <si>
    <t>Lighting Power</t>
  </si>
  <si>
    <t>0.7 W/SF building target</t>
  </si>
  <si>
    <t xml:space="preserve">Classrooms: 0.96 W/SF
Computer Lab: 1.33 W/SF
Conference: 1.07 W/SF
Office: 0.93 W/SF
MIDF: 0.43 W/SF
Electrical Room: 0.43 W/SF
Mechanical Room: 0.43 W/SF
</t>
  </si>
  <si>
    <r>
      <t xml:space="preserve">Classrooms: 0.96 W/SF
Computer Lab: 1.33 W/SF
Conference: 1.07 W/SF
Office: 0.93 W/SF
MIDF: 0.43 W/SF
Electrical Room: 0.43 W/SF
Mechanical Room: 0.43 W/SF
</t>
    </r>
    <r>
      <rPr>
        <b/>
        <sz val="11"/>
        <color theme="1"/>
        <rFont val="Calibri"/>
        <family val="2"/>
        <scheme val="minor"/>
      </rPr>
      <t>126.7 kW non-coincident</t>
    </r>
  </si>
  <si>
    <t>Past project reference: BSRL
ASHRAE 90.1-2010
100% CD set issued 03/05/21</t>
  </si>
  <si>
    <t>Lighting Controls</t>
  </si>
  <si>
    <t>None modeled</t>
  </si>
  <si>
    <t>10% occupancy/vacancy controls
Daylighting to be modeled in future cycle.</t>
  </si>
  <si>
    <r>
      <t xml:space="preserve">10% occupancy/vacancy controls
</t>
    </r>
    <r>
      <rPr>
        <b/>
        <sz val="11"/>
        <color theme="1"/>
        <rFont val="Calibri"/>
        <family val="2"/>
        <scheme val="minor"/>
      </rPr>
      <t>Daylighting controls modeled</t>
    </r>
  </si>
  <si>
    <t>Exterior Lighting Power</t>
  </si>
  <si>
    <t>15 kW (placeholder)</t>
  </si>
  <si>
    <t>3.5 kW tradable
0.47 kW non-tradable
4.07 kW total</t>
  </si>
  <si>
    <t>Assumed 1000 ft of walkways, 2000 sf of plaza area, 4000 sf of entry canopy, and 20 ft of main entries.</t>
  </si>
  <si>
    <t>Process Loads</t>
  </si>
  <si>
    <t>2 W/GSF building peak 
     including elevators/IT/process</t>
  </si>
  <si>
    <t>1.5 W/NSF receptacle loads</t>
  </si>
  <si>
    <t>Classrooms: 0.75 W/SF
Computer Lab: 3.00 W/SF
Conference: 1.00 W/SF
Office: 1.50 W/SF
MIDF: 75.00 W/SF
Electrical Room: 2.00 W/SF
Mechanical Room: 1.00 W/SF
253 kW total non-coincident</t>
  </si>
  <si>
    <t>Comnet Appendix B - 02/19/19
Past project reference: BSRL
100% CD set issued 03/05/21</t>
  </si>
  <si>
    <t>Receptacle Controls</t>
  </si>
  <si>
    <t>Not modeled under LEED Interpretation ID#10462</t>
  </si>
  <si>
    <t>https://www.usgbc.org/leedaddenda/10462</t>
  </si>
  <si>
    <t>AV/IT Infrastructure</t>
  </si>
  <si>
    <t>Included in building receptacle loads</t>
  </si>
  <si>
    <t>75 W/SF total</t>
  </si>
  <si>
    <t>5 kW per IDF room
25 kW MDF room</t>
  </si>
  <si>
    <t>IT consultant e-mail 12/04/20</t>
  </si>
  <si>
    <t>Elevators</t>
  </si>
  <si>
    <t>100 kW placeholder</t>
  </si>
  <si>
    <t>(2) 30 kW passenger elevators
(1) 40 kW service elevator
Schedule based on 90.1-2013 User Manual Office Building</t>
  </si>
  <si>
    <t>Calculated using ASHRAE 90.1-2016 App. G Table 3.1.16
Traction elevator, 4500 lb rated load, 6400 lb car weight, and 350 fpm car speed. Service elevator car weight of 8200 lb.</t>
  </si>
  <si>
    <t>Electrical Designer/Engineer Name - xx/xx/xx</t>
  </si>
  <si>
    <t>Plumbing &amp; Gas</t>
  </si>
  <si>
    <t>Domestic Cold Water</t>
  </si>
  <si>
    <t>Not modeled</t>
  </si>
  <si>
    <r>
      <t xml:space="preserve">Not modeled in simulation
</t>
    </r>
    <r>
      <rPr>
        <b/>
        <sz val="11"/>
        <color theme="1"/>
        <rFont val="Calibri"/>
        <family val="2"/>
        <scheme val="minor"/>
      </rPr>
      <t>Water Closets: 1.28 GPF
Urinals: 0.125 GPF
Lavatories: 0.5 GPM
Kitchen Sinks: 1.5 GPM</t>
    </r>
  </si>
  <si>
    <r>
      <t xml:space="preserve">Water Closets: 1.28 GPF
Urinals: 0.125 GPF
Lavatories: 0.5 GPM
Kitchen Sinks: 1.5 GPM
</t>
    </r>
    <r>
      <rPr>
        <b/>
        <sz val="11"/>
        <color theme="1"/>
        <rFont val="Calibri"/>
        <family val="2"/>
        <scheme val="minor"/>
      </rPr>
      <t xml:space="preserve">Modeled at 0.01 gph peak </t>
    </r>
  </si>
  <si>
    <t>LEEDv4 IWURC - 02/07/21
100% CD set issued 03/05/21
     Specification 22 4000</t>
  </si>
  <si>
    <t>Domestic Hot Water</t>
  </si>
  <si>
    <t>300 Btu/hr-occ (0.02 gal/hr-occ)</t>
  </si>
  <si>
    <t>Lavatories: 0.5 GPM
Kitchen Sinks: 1.5 GPM</t>
  </si>
  <si>
    <r>
      <t xml:space="preserve">Lavatories: 0.5 GPM
Kitchen Sinks: 1.5 GPM
</t>
    </r>
    <r>
      <rPr>
        <b/>
        <sz val="11"/>
        <color theme="1"/>
        <rFont val="Calibri"/>
        <family val="2"/>
        <scheme val="minor"/>
      </rPr>
      <t>Modeled at 0.05 gph peak</t>
    </r>
  </si>
  <si>
    <t>Domestic Heating Source</t>
  </si>
  <si>
    <t>Electric</t>
  </si>
  <si>
    <t>Lifecycle cost analysis meeting
     03/12/20</t>
  </si>
  <si>
    <t>Domestic Heating Description</t>
  </si>
  <si>
    <t>Electric hot water heaters</t>
  </si>
  <si>
    <t>Domestic Hot Temperature</t>
  </si>
  <si>
    <t>110°F</t>
  </si>
  <si>
    <t>140°F generated and stored
     Mixed down to 110°F or lower at fixtures</t>
  </si>
  <si>
    <t>Domestic Hot Capacity</t>
  </si>
  <si>
    <t>Autosized</t>
  </si>
  <si>
    <t>450 kW</t>
  </si>
  <si>
    <t>(10) 4.5 kW Heaters</t>
  </si>
  <si>
    <t>100% CD set issued 03/05/21
     P901</t>
  </si>
  <si>
    <t>Domestic Hot Storage</t>
  </si>
  <si>
    <t>None - instantaneous</t>
  </si>
  <si>
    <t>300 gallons
No standby losses modeled</t>
  </si>
  <si>
    <t>30 gallon each
0.8  btu/hr standby loss per heater</t>
  </si>
  <si>
    <t>100% CD set issued 03/05/21
     P901
ASHRAE 90.1-2010 SL</t>
  </si>
  <si>
    <t>Domestic Heating Efficiency</t>
  </si>
  <si>
    <t>HVAC Water Use</t>
  </si>
  <si>
    <t>Cooling tower default cycles of concentration (3)</t>
  </si>
  <si>
    <t>Cooling tower at 3.5 cycles of concentration</t>
  </si>
  <si>
    <t>E-mail with facilities - 9/2/20</t>
  </si>
  <si>
    <t>Process Plumbing</t>
  </si>
  <si>
    <t>Booster pumps: 5kW placeholder</t>
  </si>
  <si>
    <t xml:space="preserve">(3) 3HP booster pumps
     Modeled at 7.63 kW </t>
  </si>
  <si>
    <t>Process Gas</t>
  </si>
  <si>
    <t>0.3 Btu/hr-sf modeled for lab classrooms</t>
  </si>
  <si>
    <r>
      <t xml:space="preserve">0.3 Btu/hr-sf modeled for lab classrooms
</t>
    </r>
    <r>
      <rPr>
        <b/>
        <sz val="11"/>
        <color theme="1"/>
        <rFont val="Calibri"/>
        <family val="2"/>
        <scheme val="minor"/>
      </rPr>
      <t>15 cfh peak</t>
    </r>
  </si>
  <si>
    <t>100% CD set issued 03/05/21
     P203 drawing</t>
  </si>
  <si>
    <t>Plumbing Designer/Engineer Name - xx/xx/xx</t>
  </si>
  <si>
    <t>Air-Side HVAC</t>
  </si>
  <si>
    <t>System Description</t>
  </si>
  <si>
    <t>Primary System:
System 7 - VAV with Reheat (1 per floor) with purchased chilled water and purchased heat
Support Spaces:
System 4 - Packaged Single Zone Heat Pump with purchased chilled water and no heating</t>
  </si>
  <si>
    <t>Primary System:
DOAS units with terminal chilled beams
Support Spaces:
Cooling-only chilled water FCUs</t>
  </si>
  <si>
    <r>
      <t xml:space="preserve">Primary System:
</t>
    </r>
    <r>
      <rPr>
        <b/>
        <sz val="11"/>
        <color theme="1"/>
        <rFont val="Calibri"/>
        <family val="2"/>
        <scheme val="minor"/>
      </rPr>
      <t xml:space="preserve">(2) </t>
    </r>
    <r>
      <rPr>
        <sz val="11"/>
        <color theme="1"/>
        <rFont val="Calibri"/>
        <family val="2"/>
        <scheme val="minor"/>
      </rPr>
      <t xml:space="preserve">DOAS units with terminal chilled beams </t>
    </r>
    <r>
      <rPr>
        <b/>
        <sz val="11"/>
        <color theme="1"/>
        <rFont val="Calibri"/>
        <family val="2"/>
        <scheme val="minor"/>
      </rPr>
      <t>serving the east and west wings of the building separately.</t>
    </r>
    <r>
      <rPr>
        <sz val="11"/>
        <color theme="1"/>
        <rFont val="Calibri"/>
        <family val="2"/>
        <scheme val="minor"/>
      </rPr>
      <t xml:space="preserve"> </t>
    </r>
    <r>
      <rPr>
        <b/>
        <sz val="11"/>
        <color theme="1"/>
        <rFont val="Calibri"/>
        <family val="2"/>
        <scheme val="minor"/>
      </rPr>
      <t xml:space="preserve">Terminal fan coil units used in select labs.
</t>
    </r>
    <r>
      <rPr>
        <sz val="11"/>
        <color theme="1"/>
        <rFont val="Calibri"/>
        <family val="2"/>
        <scheme val="minor"/>
      </rPr>
      <t xml:space="preserve">
Support Spaces:
</t>
    </r>
    <r>
      <rPr>
        <b/>
        <sz val="11"/>
        <color theme="1"/>
        <rFont val="Calibri"/>
        <family val="2"/>
        <scheme val="minor"/>
      </rPr>
      <t>Cooling-only chilled water FCUs</t>
    </r>
  </si>
  <si>
    <t>Cooling Source</t>
  </si>
  <si>
    <t>ASU District Chilled Water</t>
  </si>
  <si>
    <t>Heating Source</t>
  </si>
  <si>
    <t>ASU District Steam to Heating Hot Water</t>
  </si>
  <si>
    <t>Supply Airflow</t>
  </si>
  <si>
    <t>Autosized at 20°F temperature differential</t>
  </si>
  <si>
    <r>
      <rPr>
        <b/>
        <sz val="11"/>
        <color theme="1"/>
        <rFont val="Calibri"/>
        <family val="2"/>
        <scheme val="minor"/>
      </rPr>
      <t xml:space="preserve">East DOAS: 31,000 CFM
West DOAS: 37,000 CFM
</t>
    </r>
    <r>
      <rPr>
        <sz val="11"/>
        <color theme="1"/>
        <rFont val="Calibri"/>
        <family val="2"/>
        <scheme val="minor"/>
      </rPr>
      <t>FCUs autosized at 20°F temperature differential</t>
    </r>
  </si>
  <si>
    <r>
      <rPr>
        <sz val="11"/>
        <color theme="1"/>
        <rFont val="Calibri"/>
        <family val="2"/>
        <scheme val="minor"/>
      </rPr>
      <t>East DOAS: 31,000 CFM</t>
    </r>
    <r>
      <rPr>
        <b/>
        <sz val="11"/>
        <color theme="1"/>
        <rFont val="Calibri"/>
        <family val="2"/>
        <scheme val="minor"/>
      </rPr>
      <t xml:space="preserve">
     10,000 cfm terminal FCUS
</t>
    </r>
    <r>
      <rPr>
        <sz val="11"/>
        <color theme="1"/>
        <rFont val="Calibri"/>
        <family val="2"/>
        <scheme val="minor"/>
      </rPr>
      <t>West DOAS: 37,000 CFM</t>
    </r>
    <r>
      <rPr>
        <b/>
        <sz val="11"/>
        <color theme="1"/>
        <rFont val="Calibri"/>
        <family val="2"/>
        <scheme val="minor"/>
      </rPr>
      <t xml:space="preserve">
FCU-1 to 5,7,8: 1,500 CFM
FCU-6: 500 cfm 
FCU-10: 1,000 CFM</t>
    </r>
  </si>
  <si>
    <t>Supply Fan Power</t>
  </si>
  <si>
    <t>AHUs: 0.8 W/CFM
FCUs: 0.35 W/CFM</t>
  </si>
  <si>
    <t>AHUs: 6.5" TSP
     90% motor efficiency
     65% mechanical efficiency
FCUs: 1.5" TSP
     85% motor efficiency
     55% mechanical efficiency</t>
  </si>
  <si>
    <t>DOAS: 50.4 kW
Terminal FCUs: 7.9 kW
Independent FCUs: 5.7 kW</t>
  </si>
  <si>
    <t>DOAS pressure drop based on 100%SD Mechanical schedules. The FCU fan power is assumed to be the same as the ASHRAE 90.1 Baseline.</t>
  </si>
  <si>
    <t>Pressure Drop Adjustments</t>
  </si>
  <si>
    <t>None - to be determined in design development</t>
  </si>
  <si>
    <t>Chilled Water Coil: 0.60 in wc  (no credit)
Preheat Coil: 0.30 in wc (no credit)
Energy Recovery Device: 0.6 (no credit)
External duct friction: 1.50 in wc  (no credit)
MERV 7 filter: 0.50 in wc  (no credit)
MERV 14 filter: 0.90 in wc
Airflow control valve: 0.50 in wc (no credit) 
Reheat Coil: 0.25 in wc (no credit)
VAV Box: 0.50 in wc  (no credit)
Sound attenuator: 0.15 in wc</t>
  </si>
  <si>
    <r>
      <rPr>
        <b/>
        <sz val="11"/>
        <color theme="1"/>
        <rFont val="Calibri"/>
        <family val="2"/>
        <scheme val="minor"/>
      </rPr>
      <t>AHU</t>
    </r>
    <r>
      <rPr>
        <sz val="11"/>
        <color theme="1"/>
        <rFont val="Calibri"/>
        <family val="2"/>
        <scheme val="minor"/>
      </rPr>
      <t xml:space="preserve">
      Chilled Water Coil: 0.60 in wc  (no credit)
      Preheat Coil: 0.30 in wc (no credit)
      External duct friction: 1.50 in wc  (no credit)
      MERV 7 filter: 0.50 in wc  (no credit)
      MERV 14 filter: 0.90 in wc</t>
    </r>
    <r>
      <rPr>
        <b/>
        <sz val="11"/>
        <color theme="1"/>
        <rFont val="Calibri"/>
        <family val="2"/>
        <scheme val="minor"/>
      </rPr>
      <t xml:space="preserve"> @ 68,000 cfm</t>
    </r>
    <r>
      <rPr>
        <sz val="11"/>
        <color theme="1"/>
        <rFont val="Calibri"/>
        <family val="2"/>
        <scheme val="minor"/>
      </rPr>
      <t xml:space="preserve">
      Airflow control valve: 0.50 in wc</t>
    </r>
    <r>
      <rPr>
        <b/>
        <sz val="11"/>
        <color theme="1"/>
        <rFont val="Calibri"/>
        <family val="2"/>
        <scheme val="minor"/>
      </rPr>
      <t xml:space="preserve"> </t>
    </r>
    <r>
      <rPr>
        <sz val="11"/>
        <color theme="1"/>
        <rFont val="Calibri"/>
        <family val="2"/>
        <scheme val="minor"/>
      </rPr>
      <t>(no credit)
      Reheat Coil: 0.25 in wc (no credit)
      VAV Box: 0.50 in wc  (no credit)
     Sound attenuator: 0.15 in wc</t>
    </r>
    <r>
      <rPr>
        <b/>
        <sz val="11"/>
        <color theme="1"/>
        <rFont val="Calibri"/>
        <family val="2"/>
        <scheme val="minor"/>
      </rPr>
      <t xml:space="preserve"> @ 15,000 cfm</t>
    </r>
    <r>
      <rPr>
        <sz val="11"/>
        <color theme="1"/>
        <rFont val="Calibri"/>
        <family val="2"/>
        <scheme val="minor"/>
      </rPr>
      <t xml:space="preserve">
</t>
    </r>
    <r>
      <rPr>
        <b/>
        <sz val="11"/>
        <color theme="1"/>
        <rFont val="Calibri"/>
        <family val="2"/>
        <scheme val="minor"/>
      </rPr>
      <t>FCUs
     No credits taken</t>
    </r>
  </si>
  <si>
    <t>ASHRAE 90.1-2010
100% CD set issued 03/05/21
      M901 to M903</t>
  </si>
  <si>
    <t>Exhaust Airflow</t>
  </si>
  <si>
    <t>Autosized at 100% outside air</t>
  </si>
  <si>
    <t>East DOAS: 28,000 CFM
West DOAS: 34,000 CFM</t>
  </si>
  <si>
    <t>100% CD set issued 03/05/21
     M901</t>
  </si>
  <si>
    <t>Exhaust Fan Power</t>
  </si>
  <si>
    <t>0.6 W/CFM</t>
  </si>
  <si>
    <t xml:space="preserve">External duct friction: 1.50 in wc  (no credit)
Energy Recovery Device: 0.6 (no credit)
Airflow control valve: 0.50 in wc </t>
  </si>
  <si>
    <r>
      <t>External duct friction: 1.50 in wc  (no credit)
Energy Recovery Device: 0.6 (no credit)
Airflow control valve: 0.50 in wc</t>
    </r>
    <r>
      <rPr>
        <b/>
        <sz val="11"/>
        <color theme="1"/>
        <rFont val="Calibri"/>
        <family val="2"/>
        <scheme val="minor"/>
      </rPr>
      <t xml:space="preserve"> @ 68,000 cfm</t>
    </r>
  </si>
  <si>
    <t>Fan Control</t>
  </si>
  <si>
    <t>Variable speed</t>
  </si>
  <si>
    <r>
      <t xml:space="preserve">Variable speed </t>
    </r>
    <r>
      <rPr>
        <b/>
        <sz val="11"/>
        <color theme="1"/>
        <rFont val="Calibri"/>
        <family val="2"/>
        <scheme val="minor"/>
      </rPr>
      <t>fans operating at constant volume.</t>
    </r>
    <r>
      <rPr>
        <sz val="11"/>
        <color theme="1"/>
        <rFont val="Calibri"/>
        <family val="2"/>
        <scheme val="minor"/>
      </rPr>
      <t xml:space="preserve">
</t>
    </r>
    <r>
      <rPr>
        <b/>
        <sz val="11"/>
        <color theme="1"/>
        <rFont val="Calibri"/>
        <family val="2"/>
        <scheme val="minor"/>
      </rPr>
      <t>ASHRAE 90.1 default fan curve utilized</t>
    </r>
  </si>
  <si>
    <t>100% CD set issued 03/05/21
     M704 SOO</t>
  </si>
  <si>
    <t>Primary Air Temperature</t>
  </si>
  <si>
    <t>65°F Fixed</t>
  </si>
  <si>
    <t>Outdoor air reset:
     65°F SAT @ 65°F OAT
     70°F SAT @ 70°F OAT</t>
  </si>
  <si>
    <r>
      <t xml:space="preserve">Outdoor air reset:
     65°F SAT @ 65°F OAT
     70°F SAT @ 70°F OAT
</t>
    </r>
    <r>
      <rPr>
        <b/>
        <sz val="11"/>
        <color theme="1"/>
        <rFont val="Calibri"/>
        <family val="2"/>
        <scheme val="minor"/>
      </rPr>
      <t>Dehumidification reset down to 52°F</t>
    </r>
  </si>
  <si>
    <t>Zone Discharge Temperature</t>
  </si>
  <si>
    <t>20°F temperature differential</t>
  </si>
  <si>
    <t>85°F (Reheat Delta T 30°F)</t>
  </si>
  <si>
    <r>
      <rPr>
        <sz val="11"/>
        <color theme="1"/>
        <rFont val="Calibri"/>
        <family val="2"/>
        <scheme val="minor"/>
      </rPr>
      <t>85°F (Reheat Delta T 30°F)</t>
    </r>
    <r>
      <rPr>
        <b/>
        <sz val="11"/>
        <color theme="1"/>
        <rFont val="Calibri"/>
        <family val="2"/>
        <scheme val="minor"/>
      </rPr>
      <t xml:space="preserve">
55°F design EAT
Dual maximum control</t>
    </r>
  </si>
  <si>
    <t>100% CD set issued 03/05/21
     M706 SOO</t>
  </si>
  <si>
    <t>Humidity Control</t>
  </si>
  <si>
    <t>Not modeled in current simulation cycle</t>
  </si>
  <si>
    <t>60% RH at spaces</t>
  </si>
  <si>
    <t>Maximum Space Dew Point: 55°F</t>
  </si>
  <si>
    <t>Ventilation</t>
  </si>
  <si>
    <t>Autosized at 25 cfm/person</t>
  </si>
  <si>
    <t>Autosized based on:
Office/Meeting: 5 cfm/person &amp; 0.06 cfm/sf
Circulation: 0.06 cfm/sf
Classrooms: 7.5 cfm/person &amp; 0.06 cfm/sf</t>
  </si>
  <si>
    <r>
      <t xml:space="preserve">Office/Meeting/Common Areas: 5 cfm/person &amp; 0.06 cfm/sf
Circulation: 0.06 cfm/sf
Classrooms: 7.5 cfm/person &amp; 0.06 cfm/sf
</t>
    </r>
    <r>
      <rPr>
        <b/>
        <sz val="11"/>
        <rFont val="Calibri"/>
        <family val="2"/>
        <scheme val="minor"/>
      </rPr>
      <t>68,000 CFM Total</t>
    </r>
  </si>
  <si>
    <t>100% CD set issued 03/05/21
     M003 ventilation tables</t>
  </si>
  <si>
    <t>Demand Control</t>
  </si>
  <si>
    <t xml:space="preserve">Modeled using occupancy-based minimum airflow reset in
     Conference rooms
     Classrooms </t>
  </si>
  <si>
    <r>
      <t xml:space="preserve">Modeled using occupancy-based minimum airflow reset in
     Conference rooms </t>
    </r>
    <r>
      <rPr>
        <b/>
        <sz val="11"/>
        <color theme="1"/>
        <rFont val="Calibri"/>
        <family val="2"/>
        <scheme val="minor"/>
      </rPr>
      <t>(&gt;500 SF)</t>
    </r>
    <r>
      <rPr>
        <sz val="11"/>
        <color theme="1"/>
        <rFont val="Calibri"/>
        <family val="2"/>
        <scheme val="minor"/>
      </rPr>
      <t xml:space="preserve">
     Classrooms</t>
    </r>
    <r>
      <rPr>
        <b/>
        <sz val="11"/>
        <color theme="1"/>
        <rFont val="Calibri"/>
        <family val="2"/>
        <scheme val="minor"/>
      </rPr>
      <t xml:space="preserve"> (&gt;500 SF)</t>
    </r>
  </si>
  <si>
    <t>Per IECC 2018/ASHRAE 90.1-2016</t>
  </si>
  <si>
    <t>Energy Recovery</t>
  </si>
  <si>
    <t>AHU-1 RAL: 50% sensible effectiveness</t>
  </si>
  <si>
    <r>
      <t xml:space="preserve">AHU-1 RAL: 53% sensible effectiveness
</t>
    </r>
    <r>
      <rPr>
        <b/>
        <sz val="11"/>
        <color theme="1"/>
        <rFont val="Calibri"/>
        <family val="2"/>
        <scheme val="minor"/>
      </rPr>
      <t xml:space="preserve">     Active for heating and cooling</t>
    </r>
  </si>
  <si>
    <r>
      <t xml:space="preserve">AHU-1 RAL: 53% sensible effectiveness
     Active for heating and cooling
</t>
    </r>
    <r>
      <rPr>
        <b/>
        <sz val="11"/>
        <color theme="1"/>
        <rFont val="Calibri"/>
        <family val="2"/>
        <scheme val="minor"/>
      </rPr>
      <t xml:space="preserve">     0.3 W/cfm pump power modeled
     0.5 in wc bypass included during economizer hours</t>
    </r>
  </si>
  <si>
    <t>Mechanical Designer/Engineer Name - xx/xx/xx</t>
  </si>
  <si>
    <t>Water-Side/Plant HVAC</t>
  </si>
  <si>
    <t xml:space="preserve">District Chilled Water </t>
  </si>
  <si>
    <t xml:space="preserve">District Steam </t>
  </si>
  <si>
    <t>Cooling Plant</t>
  </si>
  <si>
    <t>District water-cooled electric chillers</t>
  </si>
  <si>
    <t>Facilites meeting 4/01/20</t>
  </si>
  <si>
    <t>Cooling Efficiency</t>
  </si>
  <si>
    <t>Not modeled - system modeled with COP of 1</t>
  </si>
  <si>
    <t>Annual 0.70 kWh/ton-hr average per facilities meeting</t>
  </si>
  <si>
    <r>
      <t xml:space="preserve">Annual </t>
    </r>
    <r>
      <rPr>
        <b/>
        <sz val="11"/>
        <color theme="1"/>
        <rFont val="Calibri"/>
        <family val="2"/>
        <scheme val="minor"/>
      </rPr>
      <t>0.64</t>
    </r>
    <r>
      <rPr>
        <sz val="11"/>
        <color theme="1"/>
        <rFont val="Calibri"/>
        <family val="2"/>
        <scheme val="minor"/>
      </rPr>
      <t xml:space="preserve"> kWh/ton-hr average </t>
    </r>
    <r>
      <rPr>
        <b/>
        <sz val="11"/>
        <color theme="1"/>
        <rFont val="Calibri"/>
        <family val="2"/>
        <scheme val="minor"/>
      </rPr>
      <t>based on metered data</t>
    </r>
  </si>
  <si>
    <t>Facilites meeting 4/01/20
Facilities e-mail 02/15/21
DES efficiency not modeled when using LEED DES Path 3.</t>
  </si>
  <si>
    <t>Cooling Temperature</t>
  </si>
  <si>
    <t>44 EWT with 12°F design temperature drop</t>
  </si>
  <si>
    <r>
      <rPr>
        <b/>
        <sz val="11"/>
        <rFont val="Calibri"/>
        <family val="2"/>
        <scheme val="minor"/>
      </rPr>
      <t>44°F CHW Supply Design Temperature</t>
    </r>
    <r>
      <rPr>
        <b/>
        <sz val="11"/>
        <color rgb="FFFF0000"/>
        <rFont val="Calibri"/>
        <family val="2"/>
        <scheme val="minor"/>
      </rPr>
      <t xml:space="preserve">
    </t>
    </r>
    <r>
      <rPr>
        <b/>
        <sz val="11"/>
        <rFont val="Calibri"/>
        <family val="2"/>
        <scheme val="minor"/>
      </rPr>
      <t xml:space="preserve">Loop Design </t>
    </r>
    <r>
      <rPr>
        <b/>
        <sz val="11"/>
        <rFont val="Calibri"/>
        <family val="2"/>
      </rPr>
      <t>ΔT:  12°F
57°F Chilled Beam Supply Design Temperature
    Beam Loop Design ΔT: 8°F</t>
    </r>
  </si>
  <si>
    <r>
      <rPr>
        <sz val="11"/>
        <rFont val="Calibri"/>
        <family val="2"/>
        <scheme val="minor"/>
      </rPr>
      <t>44°F CHW Supply Design Temperature</t>
    </r>
    <r>
      <rPr>
        <sz val="11"/>
        <color rgb="FFFF0000"/>
        <rFont val="Calibri"/>
        <family val="2"/>
        <scheme val="minor"/>
      </rPr>
      <t xml:space="preserve">
    </t>
    </r>
    <r>
      <rPr>
        <sz val="11"/>
        <rFont val="Calibri"/>
        <family val="2"/>
        <scheme val="minor"/>
      </rPr>
      <t xml:space="preserve">Loop Design </t>
    </r>
    <r>
      <rPr>
        <sz val="11"/>
        <rFont val="Calibri"/>
        <family val="2"/>
      </rPr>
      <t xml:space="preserve">ΔT:  </t>
    </r>
    <r>
      <rPr>
        <b/>
        <sz val="11"/>
        <rFont val="Calibri"/>
        <family val="2"/>
      </rPr>
      <t>16°F</t>
    </r>
    <r>
      <rPr>
        <sz val="11"/>
        <rFont val="Calibri"/>
        <family val="2"/>
      </rPr>
      <t xml:space="preserve">
57°F Chilled Beam Supply Design Temperature
    Beam Loop Design ΔT: 8°F</t>
    </r>
  </si>
  <si>
    <t>100% CD set issued 03/05/21
     M702</t>
  </si>
  <si>
    <t>Cooling Capacity</t>
  </si>
  <si>
    <t>Autosized in simulation</t>
  </si>
  <si>
    <t>400 tons</t>
  </si>
  <si>
    <t>(2) 367 ton heat exchangers</t>
  </si>
  <si>
    <t>100% CD set issued 03/05/21
     M902</t>
  </si>
  <si>
    <t>Cooling Pumps</t>
  </si>
  <si>
    <t>Autosized in simulation
17 W/GPM</t>
  </si>
  <si>
    <t>1200 gpm
     75 TDH
     90% motor efficiency
     80% mechanical efficiency</t>
  </si>
  <si>
    <t>Building CHW Loop: 3 variable-speed pumps 
     17.6 kW | 19 W/GPM
Building CHB Loop: 2 variable-speed pumps 
     7.2 kW | 14 W/GPM</t>
  </si>
  <si>
    <t>Cooling Control</t>
  </si>
  <si>
    <t>Fixed temperature</t>
  </si>
  <si>
    <r>
      <t>Fixed temperature</t>
    </r>
    <r>
      <rPr>
        <b/>
        <sz val="11"/>
        <rFont val="Calibri"/>
        <family val="2"/>
        <scheme val="minor"/>
      </rPr>
      <t>, variable speed</t>
    </r>
  </si>
  <si>
    <r>
      <t xml:space="preserve">Fixed temperature, varied speed
</t>
    </r>
    <r>
      <rPr>
        <b/>
        <sz val="11"/>
        <rFont val="Calibri"/>
        <family val="2"/>
        <scheme val="minor"/>
      </rPr>
      <t>PICV valves modeled with custom pump curve (Belimo)
5' head set-point
Standby operation</t>
    </r>
  </si>
  <si>
    <t>Heating Plant</t>
  </si>
  <si>
    <t>District natural gas steam boilers</t>
  </si>
  <si>
    <t>Heating Efficiency</t>
  </si>
  <si>
    <t>Not modeled - system modeled at 100% efficiency</t>
  </si>
  <si>
    <t>70% plant thermal efficiecny per facilities meeting</t>
  </si>
  <si>
    <t>53% total thermal efficiency including 
     71% annual boiler efficiency     
     25% distribution losses
187 electrical COP including
     Distribution pumps
     Controls</t>
  </si>
  <si>
    <t>Heating Temperature</t>
  </si>
  <si>
    <t>140°F HHW Supply Design Temperature
Loop Design ΔT: 30°F</t>
  </si>
  <si>
    <r>
      <rPr>
        <b/>
        <sz val="11"/>
        <rFont val="Calibri"/>
        <family val="2"/>
        <scheme val="minor"/>
      </rPr>
      <t xml:space="preserve">Outside air reset
     140°F HWST at 50°F OAT
     120°F HWST at 80°F OAT
</t>
    </r>
    <r>
      <rPr>
        <sz val="11"/>
        <rFont val="Calibri"/>
        <family val="2"/>
        <scheme val="minor"/>
      </rPr>
      <t xml:space="preserve">Loop Design ΔT: 30°F
</t>
    </r>
    <r>
      <rPr>
        <b/>
        <sz val="11"/>
        <rFont val="Calibri"/>
        <family val="2"/>
        <scheme val="minor"/>
      </rPr>
      <t>Steam accessory losses not currently modeled.</t>
    </r>
  </si>
  <si>
    <t>100% CD set issued 03/05/21
     M703</t>
  </si>
  <si>
    <t>Heating Capacity</t>
  </si>
  <si>
    <t>2,500 MBH</t>
  </si>
  <si>
    <t>(2) 1,300 MBH heat exchangers</t>
  </si>
  <si>
    <t>Heating Pumps</t>
  </si>
  <si>
    <t>Autosized in simulation
15W/GPM</t>
  </si>
  <si>
    <t>500 gpm
     75 TDH
     90% motor efficiency
     70% mechanical efficiency</t>
  </si>
  <si>
    <t>HHW Loop: 2 staging pumps
     4.3 kW | 19 W/GPM</t>
  </si>
  <si>
    <t>Heating Control</t>
  </si>
  <si>
    <r>
      <t xml:space="preserve">Fixed temperature, varied speed
</t>
    </r>
    <r>
      <rPr>
        <b/>
        <sz val="11"/>
        <rFont val="Calibri"/>
        <family val="2"/>
        <scheme val="minor"/>
      </rPr>
      <t>5' head set-point
Standby operation</t>
    </r>
  </si>
  <si>
    <t>Design Input</t>
  </si>
  <si>
    <t>Location: San Francisco, CA</t>
  </si>
  <si>
    <t>California Climate Zone 3</t>
  </si>
  <si>
    <t>ASHRAE Climate Zone 3C</t>
  </si>
  <si>
    <r>
      <rPr>
        <i/>
        <sz val="11"/>
        <color theme="1"/>
        <rFont val="Calibri"/>
        <family val="2"/>
        <scheme val="minor"/>
      </rPr>
      <t>TMY3 Weather File:</t>
    </r>
    <r>
      <rPr>
        <sz val="11"/>
        <color theme="1"/>
        <rFont val="Calibri"/>
        <family val="2"/>
        <scheme val="minor"/>
      </rPr>
      <t xml:space="preserve">
CA_San_Francisco_Intl_AP.bin</t>
    </r>
  </si>
  <si>
    <t>Architectural Code Reference:</t>
  </si>
  <si>
    <t>Baseline</t>
  </si>
  <si>
    <t>Proposed Design</t>
  </si>
  <si>
    <t>Comments</t>
  </si>
  <si>
    <t>ASHRAE 2007</t>
  </si>
  <si>
    <t>ASHRAE 2013</t>
  </si>
  <si>
    <t>Title 24 - 2019</t>
  </si>
  <si>
    <t>Roof</t>
  </si>
  <si>
    <t>U-factor= 0.034 Btu/h·ft²·°F</t>
  </si>
  <si>
    <t>(1)</t>
  </si>
  <si>
    <t>(As per CA T-24 Prescriptive value)</t>
  </si>
  <si>
    <t>Exterior Wall-Above Grade</t>
  </si>
  <si>
    <t xml:space="preserve">U-factor= 0.082 Btu/h·ft²·°F  </t>
  </si>
  <si>
    <t>(As per CA T-24 Prescriptive Value)</t>
  </si>
  <si>
    <t>Slab on Grade</t>
  </si>
  <si>
    <t>Mass Floor=R-value=None</t>
  </si>
  <si>
    <t>F-factor= 0.730 Btu/h·ft²·°F (Same as baseline)</t>
  </si>
  <si>
    <t>Window to Wall Ratios</t>
  </si>
  <si>
    <t>WWR (N) = 40%`</t>
  </si>
  <si>
    <t>WWR (N) = 40%</t>
  </si>
  <si>
    <t>Proposed window to wall ratios based on architectural model</t>
  </si>
  <si>
    <t>WWR (E) = 40%</t>
  </si>
  <si>
    <t>WWR (S) = 40%</t>
  </si>
  <si>
    <t>WWR (W) = 40%</t>
  </si>
  <si>
    <t>U-factor= 0.41 Btu/h·ft²·°F</t>
  </si>
  <si>
    <t>SHGC = 0.26</t>
  </si>
  <si>
    <t>VLT = 0.46</t>
  </si>
  <si>
    <t>Lighting Code Reference:</t>
  </si>
  <si>
    <r>
      <t>Baseline Lighting [W/ft</t>
    </r>
    <r>
      <rPr>
        <b/>
        <sz val="11"/>
        <color rgb="FFFFFFFF"/>
        <rFont val="Calibri"/>
        <family val="2"/>
      </rPr>
      <t>²]</t>
    </r>
  </si>
  <si>
    <r>
      <t>Proposed Lighting
 [W/ft</t>
    </r>
    <r>
      <rPr>
        <b/>
        <sz val="11"/>
        <color rgb="FFFFFFFF"/>
        <rFont val="Calibri"/>
        <family val="2"/>
      </rPr>
      <t>²]</t>
    </r>
  </si>
  <si>
    <t>Equipment Density
 [W/ft²]</t>
  </si>
  <si>
    <t>Occupant Density
 [ft²/Person]</t>
  </si>
  <si>
    <t>Required Airflow [ACH]</t>
  </si>
  <si>
    <t>Outdoor</t>
  </si>
  <si>
    <t>Primary</t>
  </si>
  <si>
    <t>Animal Holding</t>
  </si>
  <si>
    <t>Animal Examination</t>
  </si>
  <si>
    <t>IDF</t>
  </si>
  <si>
    <t>Same as Proposed</t>
  </si>
  <si>
    <t>Campus Steam  Plant</t>
  </si>
  <si>
    <t>Number of Boilers</t>
  </si>
  <si>
    <t>N/a</t>
  </si>
  <si>
    <t>Boiler Efficiency</t>
  </si>
  <si>
    <t>(2)</t>
  </si>
  <si>
    <t>Boiler Water Loop Supply Temperature</t>
  </si>
  <si>
    <t>Supply: 130 °F</t>
  </si>
  <si>
    <t>Return: 115 °F</t>
  </si>
  <si>
    <t xml:space="preserve"> (15 F Delta T)</t>
  </si>
  <si>
    <t>HHW Loop Temp Reset Parameters</t>
  </si>
  <si>
    <t>Based on Outdoor Air temperature</t>
  </si>
  <si>
    <t>Number of Primary HHW Pumps</t>
  </si>
  <si>
    <t>2 Variable speed</t>
  </si>
  <si>
    <t>Loop Configuration</t>
  </si>
  <si>
    <t>Primary only</t>
  </si>
  <si>
    <t>Primary HHW Pump Power</t>
  </si>
  <si>
    <t>Size: 19 W/GPM</t>
  </si>
  <si>
    <t>DX Packaged Units</t>
  </si>
  <si>
    <t>Scroll Heat Recovery Chiller/Heat Pump</t>
  </si>
  <si>
    <t>No of Chillers</t>
  </si>
  <si>
    <t>NA</t>
  </si>
  <si>
    <t>Chiller Efficiency</t>
  </si>
  <si>
    <t>9.8 EER</t>
  </si>
  <si>
    <t>0.9991 kW/ton</t>
  </si>
  <si>
    <t>16.06 EER</t>
  </si>
  <si>
    <t>340 Ton</t>
  </si>
  <si>
    <t>Variable Primary</t>
  </si>
  <si>
    <t>Chilled Water (CHW)Loop Temperature</t>
  </si>
  <si>
    <t>Supply: 44 °F</t>
  </si>
  <si>
    <t>Supply: 46 °F</t>
  </si>
  <si>
    <t>Return: 64 °F</t>
  </si>
  <si>
    <t>Return: 56 °F</t>
  </si>
  <si>
    <t>(20 °F Delta T)</t>
  </si>
  <si>
    <t>(10 °F Delta T)</t>
  </si>
  <si>
    <t>CHW Loop Temp Reset</t>
  </si>
  <si>
    <t>Based on Outside Air</t>
  </si>
  <si>
    <t>No of Primary CHW Pumps</t>
  </si>
  <si>
    <t>Primary CHW Pump Power</t>
  </si>
  <si>
    <t>Size: 19 W/gpm,</t>
  </si>
  <si>
    <t>Size: 19 W/gpm</t>
  </si>
  <si>
    <t>Primary CHW Pump</t>
  </si>
  <si>
    <t>Variable flow</t>
  </si>
  <si>
    <t>Rejection Water Loop Temperature - SOURCE</t>
  </si>
  <si>
    <t>Supply: 50 °F</t>
  </si>
  <si>
    <t>Return: 63 °F</t>
  </si>
  <si>
    <t>(13 °F Delta T)</t>
  </si>
  <si>
    <t>Rejection Water Pump</t>
  </si>
  <si>
    <t>1 Variable Speed</t>
  </si>
  <si>
    <t>Primary RW Pump Power</t>
  </si>
  <si>
    <t>Size:12 W/gpm</t>
  </si>
  <si>
    <t>AHU-1 to AHU-4=TBD</t>
  </si>
  <si>
    <t>AHU-1 to AHU-5=TBD</t>
  </si>
  <si>
    <t xml:space="preserve">AHU-1 to 3:  </t>
  </si>
  <si>
    <t xml:space="preserve"> (1AHU for each floor)</t>
  </si>
  <si>
    <t>100% Outdoor Air System serving the Lab and Offices</t>
  </si>
  <si>
    <t xml:space="preserve">AHU-4 to 5:  </t>
  </si>
  <si>
    <t>100% Outdoor Air System serving the Vivarium</t>
  </si>
  <si>
    <t>AHU-6 to 7</t>
  </si>
  <si>
    <t>100% Outdoor Air System serving BSL-2</t>
  </si>
  <si>
    <t>HVAC Air-side Economizer Cycle  (High-Limit Shut-off)</t>
  </si>
  <si>
    <t>Differential Dry bulb (75 F)</t>
  </si>
  <si>
    <t>Per ASHRAE 90.1</t>
  </si>
  <si>
    <t>1.25 W/CFM</t>
  </si>
  <si>
    <t>Per Mechanical Drawings</t>
  </si>
  <si>
    <t>Exhaust Air Energy Recovery</t>
  </si>
  <si>
    <t>Yes</t>
  </si>
  <si>
    <t>Demand Control Ventilation</t>
  </si>
  <si>
    <t>Yes (Conference, Meeting Rooms)</t>
  </si>
  <si>
    <t>Supply Air Temperature Reset Parameters</t>
  </si>
  <si>
    <t>5 F Reset        (55F -60F)</t>
  </si>
  <si>
    <t>Air Change Rates (ACH)</t>
  </si>
  <si>
    <t>Same as proposed</t>
  </si>
  <si>
    <t>See Table 6 for Required Airflow by Space Type</t>
  </si>
  <si>
    <t>Air Cooled Heat Recovery Chiller</t>
  </si>
  <si>
    <t>Include End-Use In Comparison?</t>
  </si>
  <si>
    <t>Total Energy Use</t>
  </si>
  <si>
    <t>Total Energy Cost</t>
  </si>
  <si>
    <t>Savings</t>
  </si>
  <si>
    <t>Energy End Use [kBTU/year]</t>
  </si>
  <si>
    <t>Other Processes</t>
  </si>
  <si>
    <t>Model Run</t>
  </si>
  <si>
    <t>Name</t>
  </si>
  <si>
    <t>Electricity
[kBtu]</t>
  </si>
  <si>
    <t>Gas
[kBtu]</t>
  </si>
  <si>
    <t>Total
[kBtu]</t>
  </si>
  <si>
    <t>EUI
[kBtu/sf/year]</t>
  </si>
  <si>
    <t>Electricity</t>
  </si>
  <si>
    <t>Gas</t>
  </si>
  <si>
    <t>Energy
[%]</t>
  </si>
  <si>
    <t>Cost
[%]</t>
  </si>
  <si>
    <t>ECM-1</t>
  </si>
  <si>
    <t>ECM-2</t>
  </si>
  <si>
    <t>ECM-3</t>
  </si>
  <si>
    <t>ECM-4</t>
  </si>
  <si>
    <t>ECM-5</t>
  </si>
  <si>
    <t>ECM-6</t>
  </si>
  <si>
    <t>ECM-7</t>
  </si>
  <si>
    <t>Proposed</t>
  </si>
  <si>
    <t>Energy End Use EUI [kBTU/sqft/year]</t>
  </si>
  <si>
    <t>Annual Energy by End Use</t>
  </si>
  <si>
    <t>Internal Lighting</t>
  </si>
  <si>
    <t>External Lighting</t>
  </si>
  <si>
    <t>Space Heating</t>
  </si>
  <si>
    <t>Space Cooling</t>
  </si>
  <si>
    <t>Pumps</t>
  </si>
  <si>
    <t>Fans Process</t>
  </si>
  <si>
    <t>Fans Interior</t>
  </si>
  <si>
    <t>Fans Parking Garage</t>
  </si>
  <si>
    <t>Service Water Heating</t>
  </si>
  <si>
    <t>Receptacle Equipment</t>
  </si>
  <si>
    <t>Interior Lighting Process</t>
  </si>
  <si>
    <t>Refrigeration</t>
  </si>
  <si>
    <t>Data Centre Equipment</t>
  </si>
  <si>
    <t>Cooking</t>
  </si>
  <si>
    <t>Elevators/ Escalators</t>
  </si>
  <si>
    <t>Heat Rejection</t>
  </si>
  <si>
    <t>Combined Heat and Power</t>
  </si>
  <si>
    <t>Humidification</t>
  </si>
  <si>
    <t>Elec Cost</t>
  </si>
  <si>
    <t>Gas Cost</t>
  </si>
  <si>
    <t>Total Energy Use [kBtu]</t>
  </si>
  <si>
    <t>Total Cost</t>
  </si>
  <si>
    <t>Measures</t>
  </si>
  <si>
    <t>Description</t>
  </si>
  <si>
    <t>Test</t>
  </si>
  <si>
    <t>1. Find the most up to date PDF or Excel document from the mechanical team for the given project. Copy a link to those documents in the 'EQUIPMENT LINKS' area below.</t>
  </si>
  <si>
    <t>2. Enter in all data into te appropriate tables below.</t>
  </si>
  <si>
    <t>2a. Only enter information into columns that match the color of the table. Columns that are dark gray are auto-populated and should not be manually entered.</t>
  </si>
  <si>
    <t>EQUIPMENT LINKS:</t>
  </si>
  <si>
    <t>Current PDF Link:</t>
  </si>
  <si>
    <t>\\aeieng.lan\proj\sfo\2021\21695-00\31 Supporting Info From Others\Architectural\2021-09-21 SFVA Bldg 40 Envelope Thermal Values\20210920_SFVAMC Bldg 40 - Assembly performance values.pdf</t>
  </si>
  <si>
    <t>Proposed Airside Systems</t>
  </si>
  <si>
    <t>Airflow</t>
  </si>
  <si>
    <t>Heating Coil</t>
  </si>
  <si>
    <t>Cooling Coil</t>
  </si>
  <si>
    <t>System Name</t>
  </si>
  <si>
    <t>Location</t>
  </si>
  <si>
    <t>Service</t>
  </si>
  <si>
    <t>Design Airflow [CFM]</t>
  </si>
  <si>
    <t>Design Outdoor Airflow [CFM]</t>
  </si>
  <si>
    <t>Fan QTY</t>
  </si>
  <si>
    <t>TSP ["WG]</t>
  </si>
  <si>
    <t>ESP ["EG]</t>
  </si>
  <si>
    <t>Fan Power [HP]</t>
  </si>
  <si>
    <t>Fan Efficiency [%]</t>
  </si>
  <si>
    <t>Fan Power [BHP]</t>
  </si>
  <si>
    <t>IES Fan Power [kW]</t>
  </si>
  <si>
    <t>IES Fan Power/CFM
[W/CFM]</t>
  </si>
  <si>
    <t>Heating Type</t>
  </si>
  <si>
    <t>Heating EAT [F]</t>
  </si>
  <si>
    <t>Heating LAT [F]</t>
  </si>
  <si>
    <t>Heating Capacity [MBH]</t>
  </si>
  <si>
    <t>Heating Capacity Check (Formula) [kBtu/h]</t>
  </si>
  <si>
    <t>Heating Water Flow [GPM]</t>
  </si>
  <si>
    <t>Heating EWT [F]</t>
  </si>
  <si>
    <t>Assigned Heating System (IES)</t>
  </si>
  <si>
    <t>Cooling Type</t>
  </si>
  <si>
    <t>Cooling EAT - DB [F]</t>
  </si>
  <si>
    <t>Cooling EAT - WB [F]</t>
  </si>
  <si>
    <t>Cooling LAT - DB [F]</t>
  </si>
  <si>
    <t>Cooling LAT - WB [F]</t>
  </si>
  <si>
    <t>Cooling Capacity (Sensible) [MBH]</t>
  </si>
  <si>
    <t>Cooling Capacity Check (Formula) [kBtu/h]</t>
  </si>
  <si>
    <t>Cooling Water Flow [GPM]</t>
  </si>
  <si>
    <t>Cooling EWT [F]</t>
  </si>
  <si>
    <t>Assigned Cooling System</t>
  </si>
  <si>
    <t>Lower Roof</t>
  </si>
  <si>
    <t>Lab/Office</t>
  </si>
  <si>
    <t>See Fan Table</t>
  </si>
  <si>
    <t>Motor Efficiency [%]</t>
  </si>
  <si>
    <t>Calculate BHP from TSP or HP?</t>
  </si>
  <si>
    <t>AHU-1</t>
  </si>
  <si>
    <t>TSP</t>
  </si>
  <si>
    <t>Heat Recovery Heat Exchangers</t>
  </si>
  <si>
    <t>From Cut Sheets</t>
  </si>
  <si>
    <t>Total Capcity [MBH]</t>
  </si>
  <si>
    <t>Sensible Heat Effectiveness [%]</t>
  </si>
  <si>
    <t>Latent Heat Effectiveness [%]</t>
  </si>
  <si>
    <t>Water Flow Rate
[GPM]</t>
  </si>
  <si>
    <t>Fluid Head
[ft]</t>
  </si>
  <si>
    <t>Pump/Motor Efficiency [%]</t>
  </si>
  <si>
    <t>Power for Wheel, Pump, etc. [kW]</t>
  </si>
  <si>
    <t>Water Cooled Chillers</t>
  </si>
  <si>
    <t>Heat Recovery Chiller</t>
  </si>
  <si>
    <t>Boilers</t>
  </si>
  <si>
    <t>Chilled Water Systems</t>
  </si>
  <si>
    <t>Efficiency</t>
  </si>
  <si>
    <t>Evaporator</t>
  </si>
  <si>
    <t>Condenser</t>
  </si>
  <si>
    <t>Equipment Name</t>
  </si>
  <si>
    <t>Type</t>
  </si>
  <si>
    <t>Nominal Capacity
[Tons]</t>
  </si>
  <si>
    <t>Latent Capacity
[Tons]</t>
  </si>
  <si>
    <t>kW/Ton</t>
  </si>
  <si>
    <t>Cooling COP</t>
  </si>
  <si>
    <t>Evap Flow Rate
(GPM)</t>
  </si>
  <si>
    <t>Evap Entering Water Temp
[F]</t>
  </si>
  <si>
    <t>Evap Leaving Water Temp
[F]</t>
  </si>
  <si>
    <t>Evap Delta P
[PSI]</t>
  </si>
  <si>
    <t>Cond Flow Rate
[GPM]</t>
  </si>
  <si>
    <t>Cond Entering Temp
[F]</t>
  </si>
  <si>
    <t>Cond Leaving Temp
[F]</t>
  </si>
  <si>
    <t>Cond Delta P
[PSI]</t>
  </si>
  <si>
    <t>Air Cooled Chillers</t>
  </si>
  <si>
    <t>Heat Recovery Systems</t>
  </si>
  <si>
    <t>Cooling Conditions</t>
  </si>
  <si>
    <t>Heating Conditions</t>
  </si>
  <si>
    <t>Cooling Capacity
[Tons]</t>
  </si>
  <si>
    <t>Heating Capacity
[MBH]</t>
  </si>
  <si>
    <t>Heating COP</t>
  </si>
  <si>
    <t>Cooling Flow
[GPM]</t>
  </si>
  <si>
    <t>Cooling EWT
[F]</t>
  </si>
  <si>
    <t>Cooling LWT
[F]</t>
  </si>
  <si>
    <t>Cooling Max PD
[PSI]</t>
  </si>
  <si>
    <t>Heating Flow
[GPM]</t>
  </si>
  <si>
    <t>Heating EWT
[F]</t>
  </si>
  <si>
    <t>Heating LWT
[F]</t>
  </si>
  <si>
    <t>Heating Max PD
[PSI]</t>
  </si>
  <si>
    <t>Heating Hot Water Systems</t>
  </si>
  <si>
    <t>Nominal Capacity
[kBtuh]</t>
  </si>
  <si>
    <t>Check against code</t>
  </si>
  <si>
    <t>Design Flow</t>
  </si>
  <si>
    <t>Power</t>
  </si>
  <si>
    <t>Control</t>
  </si>
  <si>
    <t>Design Flow (GPM)</t>
  </si>
  <si>
    <t>Head (Ft)</t>
  </si>
  <si>
    <t>Minimum Efficiency2</t>
  </si>
  <si>
    <t>BHP</t>
  </si>
  <si>
    <t>HP</t>
  </si>
  <si>
    <t>IES Pump Power
[W/GPM]</t>
  </si>
  <si>
    <t>VFD?</t>
  </si>
  <si>
    <t>Ground</t>
  </si>
  <si>
    <t>Heating Hot Water</t>
  </si>
  <si>
    <t>Centrifugal</t>
  </si>
  <si>
    <t>Use the drop down highlighted in green to graphically view schedules from the 'Schedule Importer' sheet</t>
  </si>
  <si>
    <t>Occupancy Schedule</t>
  </si>
  <si>
    <t>Lighting and Euipment Schedule</t>
  </si>
  <si>
    <t>SFVA Circulation</t>
  </si>
  <si>
    <t>Weekday</t>
  </si>
  <si>
    <t>Weekend</t>
  </si>
  <si>
    <t>Holiday</t>
  </si>
  <si>
    <t>SFVA Office</t>
  </si>
  <si>
    <t>SFVA Labs</t>
  </si>
  <si>
    <t>Add new Table -&gt;</t>
  </si>
  <si>
    <t>IMPORTANT! READ INSTRUCTIONS BELOW IES LOOKUP TABLE</t>
  </si>
  <si>
    <t>&lt;- Click this to copy table below</t>
  </si>
  <si>
    <t>Drop Down for Tables</t>
  </si>
  <si>
    <t>Drop Down for Schedule Types</t>
  </si>
  <si>
    <t>Drop Down for Days</t>
  </si>
  <si>
    <t>IES LOOKUP</t>
  </si>
  <si>
    <t>Offset Tables Value:</t>
  </si>
  <si>
    <t>Lunch spaces - based on restaurant ASHRAE</t>
  </si>
  <si>
    <t>Elevator</t>
  </si>
  <si>
    <t>Wk</t>
  </si>
  <si>
    <t>Schedule Table:</t>
  </si>
  <si>
    <t>SFVA Labs - Night Turndown</t>
  </si>
  <si>
    <t>Offset Type Value:</t>
  </si>
  <si>
    <t>Meeting room - same as office ASHRAE except occupancy</t>
  </si>
  <si>
    <t>HVAC</t>
  </si>
  <si>
    <t>Sat</t>
  </si>
  <si>
    <t>Table G-E - Assembly</t>
  </si>
  <si>
    <t>Hour</t>
  </si>
  <si>
    <t>Service hot Water</t>
  </si>
  <si>
    <t>Schedule Type;</t>
  </si>
  <si>
    <t>Offset Days Value:</t>
  </si>
  <si>
    <t>Server - NOT ASHRAE</t>
  </si>
  <si>
    <t>Sun</t>
  </si>
  <si>
    <t>Schedule Day:</t>
  </si>
  <si>
    <t>Storage - NOT ASHRAE</t>
  </si>
  <si>
    <t>12-1 am</t>
  </si>
  <si>
    <t>1-2 am</t>
  </si>
  <si>
    <t>Table G-F - Health</t>
  </si>
  <si>
    <t>2-3 am</t>
  </si>
  <si>
    <t>Table G-G- Hotel/Motel</t>
  </si>
  <si>
    <t>3-4 am</t>
  </si>
  <si>
    <t>Table G-H - Light Manufacturing</t>
  </si>
  <si>
    <t>4-5 am</t>
  </si>
  <si>
    <t>Table G-I - Office</t>
  </si>
  <si>
    <t>5-6 am</t>
  </si>
  <si>
    <t>Table G-K - Restaurant</t>
  </si>
  <si>
    <t>6-7 am</t>
  </si>
  <si>
    <t>Table G-L - Retail</t>
  </si>
  <si>
    <t>7-8 am</t>
  </si>
  <si>
    <t>Table G-M - School</t>
  </si>
  <si>
    <t>8-9 am</t>
  </si>
  <si>
    <t>Table G-N - Warehouse</t>
  </si>
  <si>
    <t>9-10 am</t>
  </si>
  <si>
    <t>SFVA Vivarium</t>
  </si>
  <si>
    <t>10-11 am</t>
  </si>
  <si>
    <t>11-12 pm</t>
  </si>
  <si>
    <t>12-1 pm</t>
  </si>
  <si>
    <t>1-2 pm</t>
  </si>
  <si>
    <t>SFVA Counseling</t>
  </si>
  <si>
    <t>2-3 pm</t>
  </si>
  <si>
    <t>SFVA Shops</t>
  </si>
  <si>
    <t>3-4 pm</t>
  </si>
  <si>
    <t>4-5 pm</t>
  </si>
  <si>
    <t>5-6 pm</t>
  </si>
  <si>
    <t>6-7 pm</t>
  </si>
  <si>
    <t>7-8 pm</t>
  </si>
  <si>
    <t>8-9 pm</t>
  </si>
  <si>
    <t>9-10 pm</t>
  </si>
  <si>
    <t>10-11 pm</t>
  </si>
  <si>
    <t>11-12 am</t>
  </si>
  <si>
    <t>To import tables to IES</t>
  </si>
  <si>
    <t>On</t>
  </si>
  <si>
    <t>1. Select the 'Schedule Table' from the drop down menu that you want to import</t>
  </si>
  <si>
    <t>2. Confirm the table selected is displaying the correct data</t>
  </si>
  <si>
    <t>3. Click the 'Copy IES Table' button above the IES LOOKUP table</t>
  </si>
  <si>
    <t>4. Navigate to IESVE Profile Database, open or create your desired profile then select the 'paste' icon below the table</t>
  </si>
  <si>
    <t>To create new schedule tables</t>
  </si>
  <si>
    <t>1. Click the 'Create New Table' button at the top left of the sheet</t>
  </si>
  <si>
    <t>2. Create a new table name then hit 'OK'</t>
  </si>
  <si>
    <t>3. CAUTION - Each table REQUIRES a unique name. Make sure no names repeat</t>
  </si>
  <si>
    <t>Off</t>
  </si>
  <si>
    <t>1. Use the drop down menu for 'Building Type' and 'Fuel Type' based on the architectural and mechanical/plumbing drawings for the project.</t>
  </si>
  <si>
    <t>2. The ASHRAE Baseline system type will populate below the drop down menus.</t>
  </si>
  <si>
    <t>3. Refer to the 'System Description' Table for more information on system types.</t>
  </si>
  <si>
    <t>FOR ASRHAE 90.1 -2010 APPENDIX G</t>
  </si>
  <si>
    <t>Building Type</t>
  </si>
  <si>
    <t>Fossil Fuel, Fossil/Electric Hybrid, and Purchased Heat</t>
  </si>
  <si>
    <t>Electric and Other</t>
  </si>
  <si>
    <t>Building Type:</t>
  </si>
  <si>
    <t>Nonresidential and 4 or 5 Floors and &lt;25,000 ft2 or 5 Floors or Less and 25,000 ft2 to 150,000 ft2</t>
  </si>
  <si>
    <t>Residential</t>
  </si>
  <si>
    <t>System 1—PTAC</t>
  </si>
  <si>
    <t>System 2—PTHP</t>
  </si>
  <si>
    <t>Fuel Type:</t>
  </si>
  <si>
    <t>100% Electric</t>
  </si>
  <si>
    <t>Nonresidential and 3 Floors or Less and &lt;25,000 ft2</t>
  </si>
  <si>
    <t>System 3—PSZ-AC</t>
  </si>
  <si>
    <t>System 4—PSZ-HP</t>
  </si>
  <si>
    <t>ASHRAE Baseline System Type:</t>
  </si>
  <si>
    <t>System 5—Packaged VAV with Reheat</t>
  </si>
  <si>
    <t>System 6—Packaged VAV</t>
  </si>
  <si>
    <t>Nonresidential and More than 5 Floors or &gt;150,000 ft2</t>
  </si>
  <si>
    <t>System 7—VAV with Reheat</t>
  </si>
  <si>
    <t>System 8—VAV with PFP Boxes</t>
  </si>
  <si>
    <t>Area:</t>
  </si>
  <si>
    <t>Heated Only Storage</t>
  </si>
  <si>
    <t>System 9—Heating and Ventilation</t>
  </si>
  <si>
    <t>System 10—Heating and Ventilation</t>
  </si>
  <si>
    <t>System No.</t>
  </si>
  <si>
    <t>System Type</t>
  </si>
  <si>
    <t>1. PTAC</t>
  </si>
  <si>
    <t>Packaged terminal air conditioner</t>
  </si>
  <si>
    <t>Constant volume</t>
  </si>
  <si>
    <t>Direct expansion</t>
  </si>
  <si>
    <t>Hot-water fossil fuel boiler</t>
  </si>
  <si>
    <t>2. PTHP</t>
  </si>
  <si>
    <t>Packaged terminal heat pump</t>
  </si>
  <si>
    <t>Electric heat pump</t>
  </si>
  <si>
    <t>3. PSZ-AC</t>
  </si>
  <si>
    <t>Packaged rooftop air conditioner</t>
  </si>
  <si>
    <t>Fossil fuel furnace</t>
  </si>
  <si>
    <t>4. PSZ-HP</t>
  </si>
  <si>
    <t>Packaged rooftop heat pump</t>
  </si>
  <si>
    <t>5. Packaged VAV with Reheat</t>
  </si>
  <si>
    <t>Packaged rooftop VAV with reheat</t>
  </si>
  <si>
    <t>VAV</t>
  </si>
  <si>
    <t>6. Packaged VAV with PFP Boxes</t>
  </si>
  <si>
    <t>Packaged rooftop VAV with parallel fan power boxes and reheat</t>
  </si>
  <si>
    <t>Electric resistance</t>
  </si>
  <si>
    <t>7. VAVwith Reheat</t>
  </si>
  <si>
    <t>Chilled water</t>
  </si>
  <si>
    <t>8. VAVwith PFP Boxes</t>
  </si>
  <si>
    <t>VAV with parallel fan-powered boxes and reheat</t>
  </si>
  <si>
    <t>9. Heating and Ventilation</t>
  </si>
  <si>
    <t>Warm air furnace, gas fired</t>
  </si>
  <si>
    <t>10. Heating and Ventilation</t>
  </si>
  <si>
    <t>Warm air furnace, electric</t>
  </si>
  <si>
    <t>Note:</t>
  </si>
  <si>
    <t>For purchased chilled water and purchased heat, see G3.1.1.3.</t>
  </si>
  <si>
    <t>1. Insert all System names from the IES Baseline ApacheHVAC systems into the system name then use the 'System Type' drop down to designate a system type for each.</t>
  </si>
  <si>
    <t>1a. Enter the water side system names into the two tables below. (LEED CHECK FOR WATERSIDE IS IN DEVELOPMENT)</t>
  </si>
  <si>
    <t>2. Fill in all data into the green columns. Gray columns are autofilled and should not be manually overwritten.</t>
  </si>
  <si>
    <t>Air Side Systems</t>
  </si>
  <si>
    <t>Schedules</t>
  </si>
  <si>
    <t>Heating and Cooling Equipment Efficiencies</t>
  </si>
  <si>
    <t>Have these pull from the list for the water side systems</t>
  </si>
  <si>
    <t>Weekdays - Start</t>
  </si>
  <si>
    <t>Weekdays - End</t>
  </si>
  <si>
    <t>Weekend - Start</t>
  </si>
  <si>
    <t>Weekend - End</t>
  </si>
  <si>
    <t>Holidays - Start</t>
  </si>
  <si>
    <t>Holidays - End</t>
  </si>
  <si>
    <t>Match Proposed?</t>
  </si>
  <si>
    <t>Oversized Cooling Capacity</t>
  </si>
  <si>
    <t>Total Cooling Capacity [Btu/h]</t>
  </si>
  <si>
    <t>Unitary Cooling Efficiency</t>
  </si>
  <si>
    <t>Unitary Cooling Efficiency Units</t>
  </si>
  <si>
    <t>Unitary Cooling Part-Load Efficiency</t>
  </si>
  <si>
    <t>Unitary Cooling Part-Load Efficiency Units</t>
  </si>
  <si>
    <t xml:space="preserve">Oversized Heating Capacity </t>
  </si>
  <si>
    <t>Total Heating Capacity [Btu/h]</t>
  </si>
  <si>
    <t>Unitary Heating Efficiency</t>
  </si>
  <si>
    <t>Unitary Heating Efficiency Units</t>
  </si>
  <si>
    <t>System Supply Design Flow (CFM)</t>
  </si>
  <si>
    <t>System Outdoor Air Design Flor (CFM)</t>
  </si>
  <si>
    <t>100% Outdoor Air?</t>
  </si>
  <si>
    <t>System Exhaust Design Flow
[CFM]</t>
  </si>
  <si>
    <t>Economizer High Limit [F]</t>
  </si>
  <si>
    <t>System Air Temperature Reset [F]</t>
  </si>
  <si>
    <t>VAV Minimum Turndown Ratio [%]</t>
  </si>
  <si>
    <t>Energy Recovery Preconditioning of Outdoor Air</t>
  </si>
  <si>
    <t>Sensible Heat Effectiveness</t>
  </si>
  <si>
    <t>Latent Heat Effectiveness</t>
  </si>
  <si>
    <t>Power for Wheel, Pump, Etc [kW]</t>
  </si>
  <si>
    <t>Supply Fan Efficiency [%]</t>
  </si>
  <si>
    <t>SupplyFan Power [kW]</t>
  </si>
  <si>
    <t>Supply Fan Control</t>
  </si>
  <si>
    <t>Allowable Supply Nameplate Motor [HP]</t>
  </si>
  <si>
    <t>Allowable Supply Fan System [BHP]</t>
  </si>
  <si>
    <t>Supply - A [PD*CFM/11]</t>
  </si>
  <si>
    <t>Exhaust Fan Efficiency [%]</t>
  </si>
  <si>
    <t>ExhaustFan Power [kW]</t>
  </si>
  <si>
    <t>Exhaust Fan Control</t>
  </si>
  <si>
    <t>Allowable Exhaust Nameplate Motor [HP]</t>
  </si>
  <si>
    <t>Allowable Exhaust Fan System [BHP]</t>
  </si>
  <si>
    <t>Exhaust - A [PD*CFM/11]</t>
  </si>
  <si>
    <t>Sum of Pressure Drop Adjustment
(USE MEPC) [in. w.c.]</t>
  </si>
  <si>
    <t>Chilled Water Loop</t>
  </si>
  <si>
    <t>Hot Water Loop</t>
  </si>
  <si>
    <t>YES</t>
  </si>
  <si>
    <t>Heating Water Side Systems</t>
  </si>
  <si>
    <t>Associated HVAC System Type</t>
  </si>
  <si>
    <t>Is District Heating Used?</t>
  </si>
  <si>
    <t>Is District Cooling Used?</t>
  </si>
  <si>
    <t>Boiler Type</t>
  </si>
  <si>
    <t>Boiler HW Supply Temp
[F]</t>
  </si>
  <si>
    <t>Boiler HW Delta T
[F]</t>
  </si>
  <si>
    <t>Boiler HW Return Temp
[F]</t>
  </si>
  <si>
    <t>Boiler Reset Schedule</t>
  </si>
  <si>
    <t>Boiler Heating Capacity
[Btuh]</t>
  </si>
  <si>
    <t>Boiler Flow
[GPM]</t>
  </si>
  <si>
    <t>Boiler Pump Power
[W/gpm]</t>
  </si>
  <si>
    <t>Boiler Efficiency
[%]</t>
  </si>
  <si>
    <t>No</t>
  </si>
  <si>
    <t>Chilled  Water Side Systems</t>
  </si>
  <si>
    <t>Is Distric Heating Used?</t>
  </si>
  <si>
    <t>TABLE 10.8A Minimum Nominal Efficiency for General Purpose Design A and Design B Motors Rated 600 Volts or Less</t>
  </si>
  <si>
    <t>Minimum Nominal Full-Load Motor Efficiency (%) prior to December 19, 2010</t>
  </si>
  <si>
    <t>Open Drip-Proof Motors</t>
  </si>
  <si>
    <t>Totally Enclosed Fan-Cooled Motors</t>
  </si>
  <si>
    <r>
      <t>Number of Poles</t>
    </r>
    <r>
      <rPr>
        <sz val="8"/>
        <color rgb="FF000000"/>
        <rFont val="Arial"/>
        <family val="2"/>
      </rPr>
      <t> </t>
    </r>
    <r>
      <rPr>
        <b/>
        <sz val="8"/>
        <color rgb="FF000000"/>
        <rFont val="Symbol"/>
        <family val="1"/>
        <charset val="2"/>
      </rPr>
      <t>⇒</t>
    </r>
  </si>
  <si>
    <r>
      <t>Synchronous Speed (RPM)</t>
    </r>
    <r>
      <rPr>
        <sz val="8"/>
        <color rgb="FF000000"/>
        <rFont val="Arial"/>
        <family val="2"/>
      </rPr>
      <t> </t>
    </r>
    <r>
      <rPr>
        <b/>
        <sz val="8"/>
        <color rgb="FF000000"/>
        <rFont val="Symbol"/>
        <family val="1"/>
        <charset val="2"/>
      </rPr>
      <t>⇒</t>
    </r>
  </si>
  <si>
    <t>Motor Horsepower</t>
  </si>
  <si>
    <t>System Types Lookup Table</t>
  </si>
  <si>
    <t>Table 6.8.1G Performance Requirements for Heat Rejection Equipment</t>
  </si>
  <si>
    <t>Equipment</t>
  </si>
  <si>
    <t>Total System Heat Rejection Capacity at Rated Conditions</t>
  </si>
  <si>
    <t>Subcategory or</t>
  </si>
  <si>
    <t>Performance</t>
  </si>
  <si>
    <t>Rating Condition</t>
  </si>
  <si>
    <r>
      <t>Required</t>
    </r>
    <r>
      <rPr>
        <b/>
        <vertAlign val="superscript"/>
        <sz val="7"/>
        <color rgb="FF000000"/>
        <rFont val="Arial"/>
        <family val="2"/>
      </rPr>
      <t>a,b,c,d</t>
    </r>
  </si>
  <si>
    <r>
      <t>Procedure</t>
    </r>
    <r>
      <rPr>
        <b/>
        <vertAlign val="superscript"/>
        <sz val="7"/>
        <color rgb="FF000000"/>
        <rFont val="Arial"/>
        <family val="2"/>
      </rPr>
      <t>e</t>
    </r>
  </si>
  <si>
    <t>Propeller or axial fan</t>
  </si>
  <si>
    <t>All</t>
  </si>
  <si>
    <t>95°F entering water</t>
  </si>
  <si>
    <r>
      <t>≥</t>
    </r>
    <r>
      <rPr>
        <sz val="10"/>
        <color rgb="FF000000"/>
        <rFont val="Arial"/>
        <family val="2"/>
      </rPr>
      <t>38.2 gpm/hp</t>
    </r>
  </si>
  <si>
    <t>CTI ATC-105 and CTI STD-201</t>
  </si>
  <si>
    <t>open-circuit cooling towers</t>
  </si>
  <si>
    <t>85°F leaving water</t>
  </si>
  <si>
    <t>75°F entering wb</t>
  </si>
  <si>
    <t>Centrifugal fan</t>
  </si>
  <si>
    <r>
      <t>≥</t>
    </r>
    <r>
      <rPr>
        <sz val="10"/>
        <color rgb="FF000000"/>
        <rFont val="Arial"/>
        <family val="2"/>
      </rPr>
      <t>20.0 gpm/hp</t>
    </r>
  </si>
  <si>
    <t>Propeller or axial fan closed-circuit cooling towers</t>
  </si>
  <si>
    <t>102°F entering water</t>
  </si>
  <si>
    <r>
      <t>≥</t>
    </r>
    <r>
      <rPr>
        <sz val="10"/>
        <color rgb="FF000000"/>
        <rFont val="Arial"/>
        <family val="2"/>
      </rPr>
      <t>14.0 gpm/hp</t>
    </r>
  </si>
  <si>
    <t>CTI ATC-105S and CTI STD-201</t>
  </si>
  <si>
    <t>90°F leaving water</t>
  </si>
  <si>
    <t>Centrifugal closed-circuit cooling towers</t>
  </si>
  <si>
    <r>
      <t>≥</t>
    </r>
    <r>
      <rPr>
        <sz val="10"/>
        <color rgb="FF000000"/>
        <rFont val="Arial"/>
        <family val="2"/>
      </rPr>
      <t>7.0 gpm/hp</t>
    </r>
  </si>
  <si>
    <t>Air-cooled</t>
  </si>
  <si>
    <t>125°F condensing temperature</t>
  </si>
  <si>
    <r>
      <t>≥</t>
    </r>
    <r>
      <rPr>
        <sz val="10"/>
        <color rgb="FF000000"/>
        <rFont val="Arial"/>
        <family val="2"/>
      </rPr>
      <t>176,000 Btu/h·hp</t>
    </r>
  </si>
  <si>
    <t>AHRI 460</t>
  </si>
  <si>
    <t>condensers</t>
  </si>
  <si>
    <t>R-22 test fluid</t>
  </si>
  <si>
    <t>190°F entering gas temperature</t>
  </si>
  <si>
    <t>15°F subcooling</t>
  </si>
  <si>
    <t>95°F entering db</t>
  </si>
  <si>
    <r>
      <t>a</t>
    </r>
    <r>
      <rPr>
        <sz val="10"/>
        <color rgb="FF000000"/>
        <rFont val="Arial"/>
        <family val="2"/>
      </rPr>
      <t> For purposes of this table, open-circuit cooling tower performance is defined as the water flow rating of the tower at the thermal rating condition listed in Table 6.8.1G divided by the fan motor nameplate power.</t>
    </r>
  </si>
  <si>
    <r>
      <t>b</t>
    </r>
    <r>
      <rPr>
        <sz val="10"/>
        <color rgb="FF000000"/>
        <rFont val="Arial"/>
        <family val="2"/>
      </rPr>
      <t> For purposes of this table, closed-circuit cooling tower performance is defined as the process water flow rating of the tower at the thermal rating condition listed in Table 6.8.1G divided by the sum of the fan motor nameplate power and the integral spray pump motor nameplate power.</t>
    </r>
  </si>
  <si>
    <r>
      <t>c</t>
    </r>
    <r>
      <rPr>
        <sz val="10"/>
        <color rgb="FF000000"/>
        <rFont val="Arial"/>
        <family val="2"/>
      </rPr>
      <t> For purposes of this table, air-cooled condenser performance is defined as the heat rejected from the refrigerant divided by the fan motor nameplate power.</t>
    </r>
  </si>
  <si>
    <r>
      <t>d</t>
    </r>
    <r>
      <rPr>
        <sz val="10"/>
        <color rgb="FF000000"/>
        <rFont val="Arial"/>
        <family val="2"/>
      </rPr>
      <t> Section 12 contains a complete specification of the referenced test procedure, including the referenced year version of the test procedure.</t>
    </r>
  </si>
  <si>
    <r>
      <t>e</t>
    </r>
    <r>
      <rPr>
        <sz val="10"/>
        <color rgb="FF000000"/>
        <rFont val="Arial"/>
        <family val="2"/>
      </rPr>
      <t> The efficiencies and test procedures for both open- and closed-circuit cooling towers are not applicable to hybrid cooling towers that contain a combination of separate wet and dry heat exchange sections.</t>
    </r>
  </si>
  <si>
    <t>Non-Default Gender Mix</t>
  </si>
  <si>
    <t>Assumptions</t>
  </si>
  <si>
    <t>The default gender mix is half male and half female.  If necessary, modify the Male and Female occupant type columns for non-default gender mix if the project is specifically designed for an alternative gender ratio or the project is expected to have alternative gender usage rates for the life of the building.</t>
  </si>
  <si>
    <t>1. Follow the tables from top to bottom. Only fill out cells that are dark gray.</t>
  </si>
  <si>
    <t>1a. All cells that are while background are auto-filled and should not be manually filled.</t>
  </si>
  <si>
    <t>Fixture Type</t>
  </si>
  <si>
    <t>Maximu Installed Flush Flow Rate</t>
  </si>
  <si>
    <t>Duraction
[sec]</t>
  </si>
  <si>
    <t>Default Uses Per Day</t>
  </si>
  <si>
    <t xml:space="preserve">2. If there is a non-default gender mix, select the checkbox. </t>
  </si>
  <si>
    <t>IP [GPF]</t>
  </si>
  <si>
    <t>Employees 
[FTE]</t>
  </si>
  <si>
    <t>Visitors</t>
  </si>
  <si>
    <t>Retail Customers</t>
  </si>
  <si>
    <t>Students (K-12)</t>
  </si>
  <si>
    <t>Occupancy Type</t>
  </si>
  <si>
    <t>Employees (FTE)</t>
  </si>
  <si>
    <t>Students
(K-12)</t>
  </si>
  <si>
    <t>Other
(Specify)</t>
  </si>
  <si>
    <t>Gender Ratio</t>
  </si>
  <si>
    <t>Note: Use the checkbox before entering occupant values, the checkbox will clear contents.</t>
  </si>
  <si>
    <t>Toilet (Male)</t>
  </si>
  <si>
    <t>Toilet (Female)</t>
  </si>
  <si>
    <t>Male</t>
  </si>
  <si>
    <t>Urinal</t>
  </si>
  <si>
    <t>Female</t>
  </si>
  <si>
    <t>Public Lavatory (Restroom) Faucet</t>
  </si>
  <si>
    <t>Private (Residential) Lavatory Faucet</t>
  </si>
  <si>
    <t>Determine the percent of males expected to use urinals (enter 100% if all male restrooms have urinals, 0% if the project contains no urinals, etc)</t>
  </si>
  <si>
    <t>Kitchen Faucet</t>
  </si>
  <si>
    <t xml:space="preserve">Percent of males expected to use restrooms with urinals </t>
  </si>
  <si>
    <t>Residential Kitchen Faucet</t>
  </si>
  <si>
    <t>Showerhead</t>
  </si>
  <si>
    <t>Enter the number of days the project is accessible to employees or FTE.</t>
  </si>
  <si>
    <t>Residential Showerhead</t>
  </si>
  <si>
    <t xml:space="preserve">Annual days of operation </t>
  </si>
  <si>
    <t>Conventional Water Closet</t>
  </si>
  <si>
    <t>For projects with dual-flush toilets</t>
  </si>
  <si>
    <t>Low-Flow Water Closet</t>
  </si>
  <si>
    <t>Enter the resulting flush rate into the design case flush rate section below.</t>
  </si>
  <si>
    <t>Dual-Flush Water Closet</t>
  </si>
  <si>
    <t>Low flush (gpf)</t>
  </si>
  <si>
    <t>Composting Toilet</t>
  </si>
  <si>
    <t>Full flush (gpf)</t>
  </si>
  <si>
    <t>Leed weighted average flush (gpf)</t>
  </si>
  <si>
    <t>Table: Flush Fixtures</t>
  </si>
  <si>
    <t>1. Indicate the Fixture ID that matches the information provided in the plumbing schedule.</t>
  </si>
  <si>
    <t>2. Select the Fixture Family and Fixture Type installed on the project.</t>
  </si>
  <si>
    <t>3. Enter the Design Flush Rate identified by the manufacturer - for dual flush toilets, use the dual flush calculator to determine average flush rate.</t>
  </si>
  <si>
    <t>4. Enter Percent of Occupants with access to the fixture. If the fixture is installed in all restrooms, use 100%.</t>
  </si>
  <si>
    <t>5. If necessary, modify the Total Uses per Day column for non-default uses.</t>
  </si>
  <si>
    <t>Fixture Information</t>
  </si>
  <si>
    <t>Flush Rate</t>
  </si>
  <si>
    <t>Percentage of Occupants
[%]</t>
  </si>
  <si>
    <t>Uses Per Day</t>
  </si>
  <si>
    <t>Total Daily Uses</t>
  </si>
  <si>
    <t>Total Daily Water Use</t>
  </si>
  <si>
    <t>Fixture ID</t>
  </si>
  <si>
    <t>Fixture Family</t>
  </si>
  <si>
    <t>Baseline Flush Rate 
[GPF]</t>
  </si>
  <si>
    <t>Design Flush Rate
[GPF]</t>
  </si>
  <si>
    <t>Other</t>
  </si>
  <si>
    <t>Default</t>
  </si>
  <si>
    <t>Non-Default
(Optional)</t>
  </si>
  <si>
    <t>Baseline
(Gallons)</t>
  </si>
  <si>
    <t>Design
(Gallons)</t>
  </si>
  <si>
    <t>Baseline case annual flush volume (gallons/year)</t>
  </si>
  <si>
    <t>Design case annual flush volume (gallons/year)</t>
  </si>
  <si>
    <t>Table Flow Fixtures</t>
  </si>
  <si>
    <t>2. Select the Fixture Type installed on the project.</t>
  </si>
  <si>
    <t>3. If necessary, modify the Duration column for non-default values.</t>
  </si>
  <si>
    <t>4. Enter the Design Flow Rate identified by the manufacturer.</t>
  </si>
  <si>
    <t>5. Enter Percent of Occupants with access to the fixture. If the fixture is installed in all restrooms, use 100%.</t>
  </si>
  <si>
    <t>6. If necessary, modify the Total Uses per Day column for non-default uses.</t>
  </si>
  <si>
    <t>Duration</t>
  </si>
  <si>
    <t>Flow Rate</t>
  </si>
  <si>
    <t>Percentage of Occupants 
[%]</t>
  </si>
  <si>
    <t>Default
[sec]</t>
  </si>
  <si>
    <t>Non-Default
[Sec]
(Optional)</t>
  </si>
  <si>
    <t>Summary for Design and Construction Rating System (BD+C)</t>
  </si>
  <si>
    <t>Group Name</t>
  </si>
  <si>
    <t>Baseline Case
[Gallons/year]</t>
  </si>
  <si>
    <t>Design Case
[Gallons/year]</t>
  </si>
  <si>
    <t>Annual Flush Volume</t>
  </si>
  <si>
    <t>Annual Flow Volume</t>
  </si>
  <si>
    <t>Annual Consumption</t>
  </si>
  <si>
    <t>Baseline DHW Consumption</t>
  </si>
  <si>
    <t>Proposed DHW Consumption</t>
  </si>
  <si>
    <t>Baseline DHW Per Person/hour</t>
  </si>
  <si>
    <t>Proposed DHW Per Person/hour</t>
  </si>
  <si>
    <t>Group 1</t>
  </si>
  <si>
    <t>Annual baseline water consumption (gallons/year)</t>
  </si>
  <si>
    <t>Annual design water consumption (gallons/year)</t>
  </si>
  <si>
    <t>Percent water use reduction (%)</t>
  </si>
  <si>
    <t>Summary for Operations and Maintenance Rating System (O+M)</t>
  </si>
  <si>
    <t>Unrenovated percentage of fixtures installed before 1995 (%)</t>
  </si>
  <si>
    <t>Renovated percentage of fixtures installed in 1995 or later (%)</t>
  </si>
  <si>
    <t>Baseline multiplier (%)</t>
  </si>
  <si>
    <t>Water consumption maximum (gallons/year)</t>
  </si>
  <si>
    <t>Percentage below water consumption maximum (%)</t>
  </si>
  <si>
    <t>LIGHTING DATA</t>
  </si>
  <si>
    <t>ASHRAE - 2007</t>
  </si>
  <si>
    <t>Table 9.6.1</t>
  </si>
  <si>
    <t>LPD, W/SQFT</t>
  </si>
  <si>
    <t>ASHRAE - 2010</t>
  </si>
  <si>
    <t>ASHRAE - 2013</t>
  </si>
  <si>
    <t>ASHRAE - 2016</t>
  </si>
  <si>
    <t>ASHRAE - 2019</t>
  </si>
  <si>
    <t>Title-24 - 2019</t>
  </si>
  <si>
    <t>Table 140.6-C</t>
  </si>
  <si>
    <t>Additional Lighing Power *1</t>
  </si>
  <si>
    <t>Common Space Types *1</t>
  </si>
  <si>
    <t>Allowed Lighting Power Density for General Lighting (W/SQFT)</t>
  </si>
  <si>
    <t>Qualified Lighting System Types</t>
  </si>
  <si>
    <t>Atrium</t>
  </si>
  <si>
    <t xml:space="preserve">Auditorium Area </t>
  </si>
  <si>
    <t>Ornamental</t>
  </si>
  <si>
    <t>Accent, display and feature *3</t>
  </si>
  <si>
    <t>First Three Floors</t>
  </si>
  <si>
    <t>First 40 ft in height</t>
  </si>
  <si>
    <t>.03/ft height</t>
  </si>
  <si>
    <t>&lt;20 ft in height</t>
  </si>
  <si>
    <t>0.03/ft total height</t>
  </si>
  <si>
    <t>Auto Repair / Maintenance Area</t>
  </si>
  <si>
    <t>Detailed Task Work *7</t>
  </si>
  <si>
    <t>Additional ATM</t>
  </si>
  <si>
    <t>50 W each</t>
  </si>
  <si>
    <t>Each Additional Floor</t>
  </si>
  <si>
    <t>Height above 40 ft</t>
  </si>
  <si>
    <t>.02/ft height</t>
  </si>
  <si>
    <t>&gt;=20ft and &lt;=40ft in height</t>
  </si>
  <si>
    <t>Audience Seating Area</t>
  </si>
  <si>
    <t>Decorative</t>
  </si>
  <si>
    <t>&gt;40ft in height</t>
  </si>
  <si>
    <t>0.4 +0.02/ft total height</t>
  </si>
  <si>
    <t xml:space="preserve">Beauty Salon Area </t>
  </si>
  <si>
    <t>Convention Center</t>
  </si>
  <si>
    <t>Auditorium</t>
  </si>
  <si>
    <t>Civic Meeting Place Area</t>
  </si>
  <si>
    <t>External Illuminated Mirror *5</t>
  </si>
  <si>
    <t>40 W/ea</t>
  </si>
  <si>
    <t>Gymnasium</t>
  </si>
  <si>
    <t>Classroom, Lecture, Training, Vocational Area</t>
  </si>
  <si>
    <t>White or Chalk Board *1</t>
  </si>
  <si>
    <t>First ATM</t>
  </si>
  <si>
    <t>100 W</t>
  </si>
  <si>
    <t>Motion Picture Theater</t>
  </si>
  <si>
    <t>Commercial/Industrial Storage</t>
  </si>
  <si>
    <t>Warehouse</t>
  </si>
  <si>
    <t>Internal Illuminated Mirror *5</t>
  </si>
  <si>
    <t>120 W/ea</t>
  </si>
  <si>
    <t>Penitentiary</t>
  </si>
  <si>
    <t>Shipping &amp; Handling</t>
  </si>
  <si>
    <t>Performing Arts Theater</t>
  </si>
  <si>
    <t>Portable lighting for office areas *6</t>
  </si>
  <si>
    <t>Religious Facility</t>
  </si>
  <si>
    <t>Precision Specialized Work *9</t>
  </si>
  <si>
    <t>Sports Arena</t>
  </si>
  <si>
    <t>Specialized Task Work *8</t>
  </si>
  <si>
    <t>Transportation</t>
  </si>
  <si>
    <t>Dining Area</t>
  </si>
  <si>
    <t>Bar/Lounge and Fine Dining</t>
  </si>
  <si>
    <t>Transition Lighting OFF at night *12</t>
  </si>
  <si>
    <t>All other audience seating areas</t>
  </si>
  <si>
    <t>Cafeteria/Fast Food</t>
  </si>
  <si>
    <t>Tunable White or dim-to-warm *10</t>
  </si>
  <si>
    <t>Banking Activity Area</t>
  </si>
  <si>
    <t>Family and Leisure</t>
  </si>
  <si>
    <t>Videoconferencing</t>
  </si>
  <si>
    <t>Breakroom (See Lounge/Breakroom)</t>
  </si>
  <si>
    <t>4.5 W/ft</t>
  </si>
  <si>
    <t>Classroom/Lecture Hall/Training Room</t>
  </si>
  <si>
    <t>Exercise/Fitness Center and Gymnasium Area</t>
  </si>
  <si>
    <t xml:space="preserve">Hotel Function Area </t>
  </si>
  <si>
    <t>All other classrooms/lecture halls/training rooms</t>
  </si>
  <si>
    <t>Museum Area</t>
  </si>
  <si>
    <t>Exhibition/Display</t>
  </si>
  <si>
    <t>Restoration Room</t>
  </si>
  <si>
    <t>Confinement Cells</t>
  </si>
  <si>
    <t>Financial Transaction Area</t>
  </si>
  <si>
    <t>Corridor *2</t>
  </si>
  <si>
    <t>Copy/Print Rooms</t>
  </si>
  <si>
    <t>General/Commercial &amp; Industrial Work Area</t>
  </si>
  <si>
    <t>Low Bay</t>
  </si>
  <si>
    <t>Hospital</t>
  </si>
  <si>
    <t>Width &lt; 8ft</t>
  </si>
  <si>
    <t>High Bay</t>
  </si>
  <si>
    <t>Manufacturing</t>
  </si>
  <si>
    <t>Facility for the visually impaired (an not used primarily by the staff) *3</t>
  </si>
  <si>
    <t>Precision</t>
  </si>
  <si>
    <t>All other corridors</t>
  </si>
  <si>
    <t>Library</t>
  </si>
  <si>
    <t>Reading Area</t>
  </si>
  <si>
    <t>Courtroom</t>
  </si>
  <si>
    <t>Stacks</t>
  </si>
  <si>
    <t>Judge's Chambers</t>
  </si>
  <si>
    <t>Manufacturing Facility</t>
  </si>
  <si>
    <t>Computer Room</t>
  </si>
  <si>
    <t>Locker Room</t>
  </si>
  <si>
    <t>Bar/Lounge or Leisure Dining</t>
  </si>
  <si>
    <t>Concourse and Atria Area</t>
  </si>
  <si>
    <t>Family Dining</t>
  </si>
  <si>
    <t>Office Area</t>
  </si>
  <si>
    <t>&gt; 250 sqft</t>
  </si>
  <si>
    <t>Motel</t>
  </si>
  <si>
    <t>&lt;= 250 sqft</t>
  </si>
  <si>
    <t>Hotel</t>
  </si>
  <si>
    <t>Highway Lodging</t>
  </si>
  <si>
    <t>Cafeteria or fast food dining</t>
  </si>
  <si>
    <t>Open Plan Office</t>
  </si>
  <si>
    <t>All other dining areas</t>
  </si>
  <si>
    <t>Parking Garage Area</t>
  </si>
  <si>
    <t>Parking Zone</t>
  </si>
  <si>
    <t>Dedicated Ramps</t>
  </si>
  <si>
    <t>Food Preparation Area</t>
  </si>
  <si>
    <t>Daylight Adaptation Zones *2</t>
  </si>
  <si>
    <t>Emergency Vehicle Garage</t>
  </si>
  <si>
    <t>Pharmacy Area</t>
  </si>
  <si>
    <t>Lobby</t>
  </si>
  <si>
    <t>Retail Sales Area</t>
  </si>
  <si>
    <t>Grocery Sales</t>
  </si>
  <si>
    <t>In or as a classroom</t>
  </si>
  <si>
    <t>Guest Room</t>
  </si>
  <si>
    <t>Retail Merchandise Sales</t>
  </si>
  <si>
    <t>Medical/Industrial/Research</t>
  </si>
  <si>
    <t>Fitting Room</t>
  </si>
  <si>
    <t>Theater Area</t>
  </si>
  <si>
    <t>Motion Picture</t>
  </si>
  <si>
    <t>All other lobbies</t>
  </si>
  <si>
    <t>All other laboratories</t>
  </si>
  <si>
    <t>Laundry/Washing Area</t>
  </si>
  <si>
    <t>Kitchen/Food/Preparation Area</t>
  </si>
  <si>
    <t>Lounge/Recreation</t>
  </si>
  <si>
    <t>Loading Dock, Interior</t>
  </si>
  <si>
    <t>Healthcare Facility</t>
  </si>
  <si>
    <t>Healthcare Facility and Hospitals</t>
  </si>
  <si>
    <t>Exam/Treatment Room</t>
  </si>
  <si>
    <t>All other lounge/recreation</t>
  </si>
  <si>
    <t>Imaging Room</t>
  </si>
  <si>
    <t>Office</t>
  </si>
  <si>
    <t>Medical Supply Room</t>
  </si>
  <si>
    <t>Enclosed</t>
  </si>
  <si>
    <t>Nursery</t>
  </si>
  <si>
    <t>Tunable white or fim-to-warm *10</t>
  </si>
  <si>
    <t>Open Plan</t>
  </si>
  <si>
    <t>Nurse's Station</t>
  </si>
  <si>
    <t>Parking Area - Garage</t>
  </si>
  <si>
    <t>Operating Room</t>
  </si>
  <si>
    <t>Restroom</t>
  </si>
  <si>
    <t>Patient Room</t>
  </si>
  <si>
    <t>All other restrooms</t>
  </si>
  <si>
    <t>Physical Therapy Room</t>
  </si>
  <si>
    <t>Lounge/Breakroom</t>
  </si>
  <si>
    <t>Recovery Room</t>
  </si>
  <si>
    <t>Laundry Area</t>
  </si>
  <si>
    <t>Storage (Active)</t>
  </si>
  <si>
    <t>All other lounge/breakrooms</t>
  </si>
  <si>
    <t>Religious Worship Area</t>
  </si>
  <si>
    <t>Enclosed and &lt;=250sqft</t>
  </si>
  <si>
    <t>Transportation Fucntion</t>
  </si>
  <si>
    <t>Baggage Area</t>
  </si>
  <si>
    <t>Museum</t>
  </si>
  <si>
    <t>Enclosed and &gt;250sqft</t>
  </si>
  <si>
    <t>Ticketing Area</t>
  </si>
  <si>
    <t>Workshop</t>
  </si>
  <si>
    <t>Storage Room</t>
  </si>
  <si>
    <t>Sports Arena - Playing Area</t>
  </si>
  <si>
    <t>Class I Facility *13</t>
  </si>
  <si>
    <t>Automotive Service/Repair</t>
  </si>
  <si>
    <t>Parking Area, Interior</t>
  </si>
  <si>
    <t>Class II Facility *13</t>
  </si>
  <si>
    <t>Convention Center - Exhibit Space</t>
  </si>
  <si>
    <t>Class III Facility *13</t>
  </si>
  <si>
    <t>Dormitory - Living Quarters</t>
  </si>
  <si>
    <t>Class IV Facility *13</t>
  </si>
  <si>
    <t>Fire Station - Engine Room</t>
  </si>
  <si>
    <t>Fire Station - Sleeping Quarters</t>
  </si>
  <si>
    <t>Videoconferencing Studio</t>
  </si>
  <si>
    <t>Gymnasium/Fitness Center</t>
  </si>
  <si>
    <t>Fitness Area</t>
  </si>
  <si>
    <t>Seating Area, General</t>
  </si>
  <si>
    <t>Aging Eye/Low-Vision *11</t>
  </si>
  <si>
    <t>Playing Area</t>
  </si>
  <si>
    <t>The space containing the stairway shall determine the LPD and control requirements for the stairways.</t>
  </si>
  <si>
    <t>Emergency</t>
  </si>
  <si>
    <t>Lounge/Waiting Area</t>
  </si>
  <si>
    <t>&lt;50sqft</t>
  </si>
  <si>
    <t>Multipurpose Room</t>
  </si>
  <si>
    <t>Laundry/Washing</t>
  </si>
  <si>
    <t>&gt;=50sqft</t>
  </si>
  <si>
    <t>Vehicular Maintenance Area</t>
  </si>
  <si>
    <t>Dining</t>
  </si>
  <si>
    <t>&gt;=50sqft and &lt;= 1000sqft</t>
  </si>
  <si>
    <t>All other Storage Rooms</t>
  </si>
  <si>
    <t>Facility for the Visually Impaired *3</t>
  </si>
  <si>
    <t>Future Tenant - Unidentified</t>
  </si>
  <si>
    <t>Chapel (not primarily used by residents)</t>
  </si>
  <si>
    <t>Recreation room/common living room (and not used primarily by staff)</t>
  </si>
  <si>
    <t>NOTES:</t>
  </si>
  <si>
    <t>Pharmacy</t>
  </si>
  <si>
    <t>Automotive (See "Vehicular Maintentance Area)</t>
  </si>
  <si>
    <t xml:space="preserve">1. White board or chalk board. – Directional lighting dedicated to a white board or chalk board. </t>
  </si>
  <si>
    <t>2. Daylight Adaptation Zones shall be no longer than 66 feet from the entrance to the parking garage.</t>
  </si>
  <si>
    <t>Radiology/Imaging</t>
  </si>
  <si>
    <t xml:space="preserve">3. Accent, display and feature lighting – luminaires shall be adjustable or directional. </t>
  </si>
  <si>
    <t>4. Decorative lighting – primary function shall be decorative and not to provide general lighting.</t>
  </si>
  <si>
    <t>Hotel/Highway Lodging</t>
  </si>
  <si>
    <t>5. Illuminated mirrors. Lighting shall be dedicated to the mirror.</t>
  </si>
  <si>
    <t>Guest Rooms</t>
  </si>
  <si>
    <t>Exercise Area</t>
  </si>
  <si>
    <t xml:space="preserve">6. Portable lighting in office areas includes under shelf or furniture-mounted supplemental task lighting qualifies when controlled by a time clock or an occupancy sensor. </t>
  </si>
  <si>
    <t xml:space="preserve">7. Detailed task work – Lighting provides high level of visual acuity required for activities with close attention to small elements and/or extreme close up work. </t>
  </si>
  <si>
    <t>Card File and Cataloging</t>
  </si>
  <si>
    <t>Lodging Guest Rooms</t>
  </si>
  <si>
    <t xml:space="preserve">8. Specialized task work – Lighting provides for small-scale, cognitive or fast performance visual tasks; lighting required for operating  specialized equipment associated with pharmaceutical/laboratorial activities. </t>
  </si>
  <si>
    <t>9. Precision specialized work – Lighting for work performed within a commercial or industrial environment that entails working with low contrast, finely detailed, or fast moving objects.</t>
  </si>
  <si>
    <t xml:space="preserve">10. Tunable white luminaires capable of color change greater than or equal to 2000K CCT, or dim-to-warm luminaires capable of color change greater than or equal to 500K CCT, connected to controls that allows color changing of the luminaires. </t>
  </si>
  <si>
    <t xml:space="preserve">11. Aging Eye/Low-vision areas can be documented as being designed to comply with the light levels in ANSI/IES RP-28 and are or will be licensed by local or state authorities for either senior long-term care, adult day care, senior support, and/or people with special visual needs. </t>
  </si>
  <si>
    <t>Detailed Manufacturing Area</t>
  </si>
  <si>
    <t>12. Transition lighting OFF at night. Lighting power controlled by astronomical time clock or other control to shut off lighting at night. Additional LPD only applies to area within 30 feet of an exit. Not applicable to lighting in daylit zones.</t>
  </si>
  <si>
    <t>Equipment Room</t>
  </si>
  <si>
    <t>13. Class I Facility is used for competition play for 5000 or more spectators. Class II Facility is used for competition play for up to 5000 spectators. Class III Facility is used for competition play for up to 2000 spectators. Class IV Facility is normally used for recreational play and there is limited or no provision for spectators.</t>
  </si>
  <si>
    <t>Control Room</t>
  </si>
  <si>
    <t>High Bay Area (&gt;25 ft floor to ceiling height)</t>
  </si>
  <si>
    <t>Low Bay Area (&lt;25 ft floor to ceiling height</t>
  </si>
  <si>
    <t>Extra High Bay Area (&gt;50 ft floor to ceiling height)</t>
  </si>
  <si>
    <t>High Bay Area (25 to 50 ft floor to ceiling height)</t>
  </si>
  <si>
    <t>General Exhibition Area</t>
  </si>
  <si>
    <t>Post Office - Sorting Area</t>
  </si>
  <si>
    <t>Religion Facility</t>
  </si>
  <si>
    <t>Fellowhip Hall</t>
  </si>
  <si>
    <t>Performing Arts Theater - Dressing Room</t>
  </si>
  <si>
    <t>Worship/Pulpit/Choir Area</t>
  </si>
  <si>
    <t>Retail Facilities</t>
  </si>
  <si>
    <t>Dressing/fitting room</t>
  </si>
  <si>
    <t>Mall concourse</t>
  </si>
  <si>
    <t>Sports Arena - Playing Area *8</t>
  </si>
  <si>
    <t>Cour Sports Area</t>
  </si>
  <si>
    <t>Indoor Playing Field Area</t>
  </si>
  <si>
    <t>Ring Sports Arena</t>
  </si>
  <si>
    <t>Transportation Facility</t>
  </si>
  <si>
    <t>Class I Facility</t>
  </si>
  <si>
    <t>Baggage/carousel area</t>
  </si>
  <si>
    <t>Class II Facility</t>
  </si>
  <si>
    <t>Airport concourse</t>
  </si>
  <si>
    <t>Class III Facility</t>
  </si>
  <si>
    <t>Ticket counter</t>
  </si>
  <si>
    <t>Class IV Facility</t>
  </si>
  <si>
    <t>Warehouse - Storage Area</t>
  </si>
  <si>
    <t>Medium/Bulky Material Storage</t>
  </si>
  <si>
    <t>Fine Material Storagte</t>
  </si>
  <si>
    <t>NOTES</t>
  </si>
  <si>
    <t>1. In cases where both a common space type and a building area specific space type are listed, the building are specific space type shall apply</t>
  </si>
  <si>
    <t>2. In corridors, the extra lighting power density allowance is permitted when the width of the corridor is less than 8 ft and is not based on the RCR.</t>
  </si>
  <si>
    <t>3. A "Facility for the Visually Impaired" is a facility that can be documented as being designed to comply with the light levels in ANSI/IES RP-2B and is licensed or will be licensed by local/state authorities for either senior long-term care, adult daycare, senior support, and/or people with special visual needs</t>
  </si>
  <si>
    <t>4. For accent lighting, see Section 9.6.2(b)</t>
  </si>
  <si>
    <t>5. Sometimes referred to as a "Picking Area".</t>
  </si>
  <si>
    <t>6. Automatic daylight responsive controls are mandatory only if the requirements of the specified sections are present.</t>
  </si>
  <si>
    <t>7. An additional 0.52 W/sqft shall be allowed, provided that the additional lighting is controlled separately from the base allowance of 0.43 W/sqft. The additional 0.52 W/sqft allowance shall not be used for any other purpose.</t>
  </si>
  <si>
    <t>8. Class of play as defined by IES RP-6</t>
  </si>
  <si>
    <t>Medium to bulky, palletized items</t>
  </si>
  <si>
    <t>Smaller, hand-carried items *5</t>
  </si>
  <si>
    <t>Space Classification Table</t>
  </si>
  <si>
    <t>Internal Loads</t>
  </si>
  <si>
    <t>TABLE 4-A CMC-2016 / ASHRAE 170-2013</t>
  </si>
  <si>
    <t>ASHRAE 62.1-2010</t>
  </si>
  <si>
    <t>T24 CEC Requirements</t>
  </si>
  <si>
    <t>Space Function</t>
  </si>
  <si>
    <t>Lighting 15% Reduction</t>
  </si>
  <si>
    <t>Occupant Sensible Load</t>
  </si>
  <si>
    <t>Occupant Latent Load</t>
  </si>
  <si>
    <t>Minimum Outdoor Air</t>
  </si>
  <si>
    <t>Minimum Supply Air</t>
  </si>
  <si>
    <t>Minimum Exhaust Air</t>
  </si>
  <si>
    <t>Pressure Relationship</t>
  </si>
  <si>
    <t>Occupant Density</t>
  </si>
  <si>
    <r>
      <t xml:space="preserve">Occupant Ventilation_x000D_
</t>
    </r>
    <r>
      <rPr>
        <b/>
        <i/>
        <sz val="12"/>
        <color theme="1"/>
        <rFont val="Calibri"/>
        <family val="2"/>
        <scheme val="minor"/>
      </rPr>
      <t>Rp</t>
    </r>
  </si>
  <si>
    <r>
      <t xml:space="preserve">Area Ventilation_x000D_
</t>
    </r>
    <r>
      <rPr>
        <b/>
        <i/>
        <sz val="12"/>
        <color theme="1"/>
        <rFont val="Calibri"/>
        <family val="2"/>
        <scheme val="minor"/>
      </rPr>
      <t>Ra</t>
    </r>
  </si>
  <si>
    <t>Exhaust</t>
  </si>
  <si>
    <t>Prescriptive Exhaust</t>
  </si>
  <si>
    <r>
      <t>[W/ft</t>
    </r>
    <r>
      <rPr>
        <vertAlign val="superscript"/>
        <sz val="12"/>
        <color theme="1"/>
        <rFont val="Calibri"/>
        <family val="2"/>
        <scheme val="minor"/>
      </rPr>
      <t>2</t>
    </r>
    <r>
      <rPr>
        <sz val="12"/>
        <color theme="1"/>
        <rFont val="Calibri"/>
        <family val="2"/>
        <scheme val="minor"/>
      </rPr>
      <t>]</t>
    </r>
  </si>
  <si>
    <t>[btu/h]</t>
  </si>
  <si>
    <t>[ACH]</t>
  </si>
  <si>
    <t>[Positive/Negative/NR]</t>
  </si>
  <si>
    <r>
      <t>[occ/1000 ft</t>
    </r>
    <r>
      <rPr>
        <vertAlign val="superscript"/>
        <sz val="12"/>
        <color theme="1"/>
        <rFont val="Calibri"/>
        <family val="2"/>
        <scheme val="minor"/>
      </rPr>
      <t>2</t>
    </r>
    <r>
      <rPr>
        <sz val="12"/>
        <color theme="1"/>
        <rFont val="Calibri"/>
        <family val="2"/>
        <scheme val="minor"/>
      </rPr>
      <t>]</t>
    </r>
  </si>
  <si>
    <t>[cfm/occ]</t>
  </si>
  <si>
    <r>
      <t>[cfm/ft</t>
    </r>
    <r>
      <rPr>
        <vertAlign val="superscript"/>
        <sz val="12"/>
        <color theme="1"/>
        <rFont val="Calibri"/>
        <family val="2"/>
        <scheme val="minor"/>
      </rPr>
      <t>2</t>
    </r>
    <r>
      <rPr>
        <sz val="12"/>
        <color theme="1"/>
        <rFont val="Calibri"/>
        <family val="2"/>
        <scheme val="minor"/>
      </rPr>
      <t>]</t>
    </r>
  </si>
  <si>
    <t>[cfm/fixture]</t>
  </si>
  <si>
    <t>Standard 62.1-2007 Outdoor Air Rates (Table 6.2.2.1)</t>
  </si>
  <si>
    <t>Standard 62.1-2010 Outdoor Air Rates (Table 6.2.2.1)</t>
  </si>
  <si>
    <t>Standard 62.1-2013 Outdoor Air Rates (Table 6.2.2.1)</t>
  </si>
  <si>
    <t>Standard 62.1-2016 Outdoor Air Rates (Table 6.2.2.1)</t>
  </si>
  <si>
    <t>Standard 62.1-2019 Outdoor Air Rates (Table 6.2.2.1)</t>
  </si>
  <si>
    <t>Lighting (A90.1 -2010)</t>
  </si>
  <si>
    <t>Occ Sens</t>
  </si>
  <si>
    <t>Occ Lat</t>
  </si>
  <si>
    <t>CMC Min OA</t>
  </si>
  <si>
    <t>CMC Min SA</t>
  </si>
  <si>
    <t>CMC Min EA</t>
  </si>
  <si>
    <t>CMC PR</t>
  </si>
  <si>
    <t>A62.1-10 Occ Dens</t>
  </si>
  <si>
    <t>A62.1-10 Occ Vent</t>
  </si>
  <si>
    <t>A62.1-10 Area Vent</t>
  </si>
  <si>
    <t>A62.1-10 Exh</t>
  </si>
  <si>
    <t>A62.1-10 Fixture Exh</t>
  </si>
  <si>
    <t>T24 Occ Dens</t>
  </si>
  <si>
    <t>T24 Occ Vent</t>
  </si>
  <si>
    <t>T24 Area Vent</t>
  </si>
  <si>
    <t>T24 Exh</t>
  </si>
  <si>
    <t>T24 Fixture Exh</t>
  </si>
  <si>
    <t>Area Outdoor Air Rate
[CFM/SF]</t>
  </si>
  <si>
    <t>Min Air Rate  for DCV
[CFM/SF]</t>
  </si>
  <si>
    <t>Air Class</t>
  </si>
  <si>
    <t>IP</t>
  </si>
  <si>
    <t>SI</t>
  </si>
  <si>
    <t>Default Occupant Density</t>
  </si>
  <si>
    <t>Analytical Lab</t>
  </si>
  <si>
    <t>Occupancy Category</t>
  </si>
  <si>
    <r>
      <t>Rp</t>
    </r>
    <r>
      <rPr>
        <b/>
        <sz val="9"/>
        <rFont val="Arial"/>
        <family val="2"/>
      </rPr>
      <t xml:space="preserve"> (cfm/per)</t>
    </r>
  </si>
  <si>
    <r>
      <t>Ra</t>
    </r>
    <r>
      <rPr>
        <b/>
        <sz val="9"/>
        <rFont val="Arial"/>
        <family val="2"/>
      </rPr>
      <t xml:space="preserve"> (cfm/ft2)</t>
    </r>
  </si>
  <si>
    <r>
      <t>Rp</t>
    </r>
    <r>
      <rPr>
        <b/>
        <sz val="9"/>
        <rFont val="Arial"/>
        <family val="2"/>
      </rPr>
      <t xml:space="preserve">
(L/s-per)</t>
    </r>
  </si>
  <si>
    <r>
      <t>Ra</t>
    </r>
    <r>
      <rPr>
        <b/>
        <sz val="9"/>
        <rFont val="Arial"/>
        <family val="2"/>
      </rPr>
      <t xml:space="preserve"> (L/s-m2)</t>
    </r>
  </si>
  <si>
    <r>
      <t>#/1000 ft</t>
    </r>
    <r>
      <rPr>
        <b/>
        <vertAlign val="superscript"/>
        <sz val="9"/>
        <rFont val="Arial"/>
        <family val="2"/>
      </rPr>
      <t xml:space="preserve">2 </t>
    </r>
    <r>
      <rPr>
        <b/>
        <sz val="9"/>
        <rFont val="Arial"/>
        <family val="2"/>
      </rPr>
      <t>(#/100 m</t>
    </r>
    <r>
      <rPr>
        <b/>
        <vertAlign val="superscript"/>
        <sz val="9"/>
        <rFont val="Arial"/>
        <family val="2"/>
      </rPr>
      <t>2)</t>
    </r>
  </si>
  <si>
    <t>Ante</t>
  </si>
  <si>
    <t>EDUCATIONAL FACILITIES</t>
  </si>
  <si>
    <t>Art classroom</t>
  </si>
  <si>
    <t>Anteroom (AII/ISO)</t>
  </si>
  <si>
    <t>Negative/Positive</t>
  </si>
  <si>
    <t xml:space="preserve">Daycare (through age 4) </t>
  </si>
  <si>
    <t>Auditorium seating area</t>
  </si>
  <si>
    <t xml:space="preserve">Anteroom (Combination AII/PE) </t>
  </si>
  <si>
    <t>Negative/Negative</t>
  </si>
  <si>
    <t xml:space="preserve">Daycare sickroom </t>
  </si>
  <si>
    <t>Bank vaults/safe deposit</t>
  </si>
  <si>
    <t>Anteroom (PE)</t>
  </si>
  <si>
    <t>Positive/Negative</t>
  </si>
  <si>
    <t xml:space="preserve">Classrooms (ages 5-8) </t>
  </si>
  <si>
    <t>Banks or bank lobbies</t>
  </si>
  <si>
    <t>Art Classroom</t>
  </si>
  <si>
    <t xml:space="preserve">Classrooms (age 9 -18) </t>
  </si>
  <si>
    <t>Barbershop</t>
  </si>
  <si>
    <t>Assembly/Gathering</t>
  </si>
  <si>
    <t xml:space="preserve">Lecture/postsecondary classroom </t>
  </si>
  <si>
    <t>Barracks sleeping areas</t>
  </si>
  <si>
    <t>Lecture hall (fixed seats)</t>
  </si>
  <si>
    <t>Bars, cocktail lounges</t>
  </si>
  <si>
    <t>Auto Repair</t>
  </si>
  <si>
    <t xml:space="preserve">Art classroom </t>
  </si>
  <si>
    <t>Beauty and nail salons</t>
  </si>
  <si>
    <t>Autoclave</t>
  </si>
  <si>
    <t xml:space="preserve">Science laboratories </t>
  </si>
  <si>
    <t>Bedroom/living room</t>
  </si>
  <si>
    <t>Autopsy Room</t>
  </si>
  <si>
    <t>Negative</t>
  </si>
  <si>
    <t xml:space="preserve">University/college laboratories </t>
  </si>
  <si>
    <t>Booking/waiting</t>
  </si>
  <si>
    <t>Bank Vaults/Safe Deposit</t>
  </si>
  <si>
    <t xml:space="preserve">Wood/metal shop </t>
  </si>
  <si>
    <t>Bowling alley (seating)</t>
  </si>
  <si>
    <t>Bars/Cocktail Lounges</t>
  </si>
  <si>
    <t xml:space="preserve">Computer lab </t>
  </si>
  <si>
    <t>Break rooms (General)</t>
  </si>
  <si>
    <t>Bathing Room</t>
  </si>
  <si>
    <t xml:space="preserve">Media center </t>
  </si>
  <si>
    <t>A</t>
  </si>
  <si>
    <t>Bedpan Room</t>
  </si>
  <si>
    <t>Music/theater/dance</t>
  </si>
  <si>
    <t>F</t>
  </si>
  <si>
    <t>Cafeteria/fast-food dining</t>
  </si>
  <si>
    <t>Biology Lab</t>
  </si>
  <si>
    <t xml:space="preserve">Multiuse assembly </t>
  </si>
  <si>
    <t>Cell</t>
  </si>
  <si>
    <t>Break Room/Lounge</t>
  </si>
  <si>
    <t>FOOD AND BEVERAGE SERVICE</t>
  </si>
  <si>
    <t>Classrooms (age 9 plus)</t>
  </si>
  <si>
    <t>Bronchoscopy/Sputum Collection/Pentamidine Administration</t>
  </si>
  <si>
    <t xml:space="preserve">Restaurant dining rooms </t>
  </si>
  <si>
    <t>Classrooms (ages 5–8)</t>
  </si>
  <si>
    <t>Cafeteria/Servery/Fast Food</t>
  </si>
  <si>
    <t xml:space="preserve">Cafeteria/fast-food dining </t>
  </si>
  <si>
    <t>Coffee stations</t>
  </si>
  <si>
    <t>Cage Wash</t>
  </si>
  <si>
    <t xml:space="preserve">Bars, cocktail lounges </t>
  </si>
  <si>
    <t>Coin-operated laundries</t>
  </si>
  <si>
    <t>Chemistry Lab</t>
  </si>
  <si>
    <t xml:space="preserve">Kitchen (cooking) </t>
  </si>
  <si>
    <t>Common corridors</t>
  </si>
  <si>
    <t>Classrooms (Age 9 +)</t>
  </si>
  <si>
    <t>GENERAL</t>
  </si>
  <si>
    <t>Computer (not printing)</t>
  </si>
  <si>
    <t>Classrooms (Ages 5-8)</t>
  </si>
  <si>
    <t>Computer lab</t>
  </si>
  <si>
    <t>Clean Core/Instrument Prep</t>
  </si>
  <si>
    <t>Positive</t>
  </si>
  <si>
    <t xml:space="preserve">Coffee Stations </t>
  </si>
  <si>
    <t>Clean Room-OSHPD</t>
  </si>
  <si>
    <t>Clean Room</t>
  </si>
  <si>
    <t>Courtrooms</t>
  </si>
  <si>
    <t>Coffee Station</t>
  </si>
  <si>
    <t xml:space="preserve">Occupiable storage rooms for liquids or gels </t>
  </si>
  <si>
    <t>B</t>
  </si>
  <si>
    <t>Daycare (through age 4)</t>
  </si>
  <si>
    <t>Computer (No Printing)</t>
  </si>
  <si>
    <t>HOTELS, MOTELS, RESORTS, DORMITORIES</t>
  </si>
  <si>
    <t>Daycare sickroom</t>
  </si>
  <si>
    <t>Computer Lab</t>
  </si>
  <si>
    <t xml:space="preserve">Bedroom/living room </t>
  </si>
  <si>
    <t>Dayroom</t>
  </si>
  <si>
    <t>Conference/Meeting</t>
  </si>
  <si>
    <t xml:space="preserve">Barracks sleeping areas </t>
  </si>
  <si>
    <t>Disco/dance floors</t>
  </si>
  <si>
    <t>Control Room (X-ray/MRI)</t>
  </si>
  <si>
    <t xml:space="preserve">Laundry rooms, central </t>
  </si>
  <si>
    <t>Dwelling unit</t>
  </si>
  <si>
    <t>Copy/Printing Rooms</t>
  </si>
  <si>
    <t xml:space="preserve">Laundry rooms within dwelling units </t>
  </si>
  <si>
    <t>Freezer and refrigerated spaces (&lt;50°F)</t>
  </si>
  <si>
    <t>Copy/Printing Alcove</t>
  </si>
  <si>
    <t xml:space="preserve">Lobbies/pre-function </t>
  </si>
  <si>
    <t>Gambling casinos</t>
  </si>
  <si>
    <t>Corridor (General)</t>
  </si>
  <si>
    <t xml:space="preserve">Multipurpose assembly </t>
  </si>
  <si>
    <t>Game arcades</t>
  </si>
  <si>
    <t>Corridor (Patient/Hospital)</t>
  </si>
  <si>
    <t>OFFICE BUILDINGS</t>
  </si>
  <si>
    <t>General manufacturing (excludes heavy industrial using chemicals)</t>
  </si>
  <si>
    <t xml:space="preserve">Breakrooms </t>
  </si>
  <si>
    <t>Guard stations</t>
  </si>
  <si>
    <t>CT Scan</t>
  </si>
  <si>
    <t>Gym, sports arena (play area)</t>
  </si>
  <si>
    <t>Dance Floors</t>
  </si>
  <si>
    <t xml:space="preserve">Occupiable storage rooms for dry materials </t>
  </si>
  <si>
    <t>Health club/aerobics room</t>
  </si>
  <si>
    <t>Darkroom</t>
  </si>
  <si>
    <t>Health club/weight rooms</t>
  </si>
  <si>
    <t>Daycare (Through Age 4)</t>
  </si>
  <si>
    <t xml:space="preserve">Reception areas </t>
  </si>
  <si>
    <t>Kitchen (cooking)</t>
  </si>
  <si>
    <t>Scope Wash</t>
  </si>
  <si>
    <t xml:space="preserve">Telephone/data entry </t>
  </si>
  <si>
    <t>Laundry rooms within dwelling units</t>
  </si>
  <si>
    <t>Decontamination (Central Sterile)</t>
  </si>
  <si>
    <t>MISCELLANEOUS SPACE</t>
  </si>
  <si>
    <t>Laundry rooms, central</t>
  </si>
  <si>
    <t>Decontamination (Emergency Wash Down)</t>
  </si>
  <si>
    <t xml:space="preserve">Bank vaults/safe deposit </t>
  </si>
  <si>
    <t>Lecture classroom</t>
  </si>
  <si>
    <t>Dining Room (Restaurant)</t>
  </si>
  <si>
    <t xml:space="preserve">Banks or bank lobbies </t>
  </si>
  <si>
    <t>Dressing Room</t>
  </si>
  <si>
    <t xml:space="preserve">Computer (not printing) </t>
  </si>
  <si>
    <t>Legislative chambers</t>
  </si>
  <si>
    <t>Dry Lab</t>
  </si>
  <si>
    <t>Freezer and refrigerated spaces (&lt;50F)</t>
  </si>
  <si>
    <t>E</t>
  </si>
  <si>
    <t>Libraries</t>
  </si>
  <si>
    <t>Electrical Equipment Room</t>
  </si>
  <si>
    <t>General manufacturing (excludes heavy industrial and process using chemicals)</t>
  </si>
  <si>
    <t>Electrical Equipment Room (UPS)</t>
  </si>
  <si>
    <t xml:space="preserve">Pharmacy (prep. Area) </t>
  </si>
  <si>
    <t>Lobbies/prefunction</t>
  </si>
  <si>
    <t>Elevator Car</t>
  </si>
  <si>
    <t xml:space="preserve">Photo studios </t>
  </si>
  <si>
    <t>Main entry lobbies</t>
  </si>
  <si>
    <t>Elevator Lobby</t>
  </si>
  <si>
    <t xml:space="preserve">Shipping/receiving </t>
  </si>
  <si>
    <t>Mall common areas</t>
  </si>
  <si>
    <t>Elevator Machine Room</t>
  </si>
  <si>
    <t xml:space="preserve">Sorting, packing, light assembly </t>
  </si>
  <si>
    <t>Media center</t>
  </si>
  <si>
    <t>Embalming</t>
  </si>
  <si>
    <t xml:space="preserve">Telephone closets </t>
  </si>
  <si>
    <t>Multipurpose assembly</t>
  </si>
  <si>
    <t>Endoscope Cleaning</t>
  </si>
  <si>
    <t xml:space="preserve">Transportation waiting </t>
  </si>
  <si>
    <t>Multi-use assembly</t>
  </si>
  <si>
    <t>Equipment Corridor</t>
  </si>
  <si>
    <t xml:space="preserve">Warehouses </t>
  </si>
  <si>
    <t>Museums (children’s)</t>
  </si>
  <si>
    <t>Exam/Treatment</t>
  </si>
  <si>
    <t xml:space="preserve">All others </t>
  </si>
  <si>
    <t>Museums/galleries</t>
  </si>
  <si>
    <t>Exam/Treatment (AII/ISO)</t>
  </si>
  <si>
    <t>PUBLIC ASSEMBLY AREAS</t>
  </si>
  <si>
    <t>Exam/Treatment (Negative)</t>
  </si>
  <si>
    <t>Occupiable storage rooms for liquids or gels</t>
  </si>
  <si>
    <t>Food Preparation Center</t>
  </si>
  <si>
    <t>Places of religious worship</t>
  </si>
  <si>
    <t>Occupiable storage rooms for dry materials</t>
  </si>
  <si>
    <t>Fume Hood Alcove</t>
  </si>
  <si>
    <t xml:space="preserve">Courtrooms </t>
  </si>
  <si>
    <t>Gastrointestinal Endoscopy Procedure Room</t>
  </si>
  <si>
    <t xml:space="preserve">Legislative chambers </t>
  </si>
  <si>
    <t>Pet shops (animal areas)</t>
  </si>
  <si>
    <t>General Manufacturing</t>
  </si>
  <si>
    <t xml:space="preserve">Libraries (reading rooms and stack areas) </t>
  </si>
  <si>
    <t>Pharmacy (prep. area)</t>
  </si>
  <si>
    <t>Glass Washing</t>
  </si>
  <si>
    <t xml:space="preserve">Lobbies </t>
  </si>
  <si>
    <t xml:space="preserve"> </t>
  </si>
  <si>
    <t>Photo studios</t>
  </si>
  <si>
    <t>Gym/Stadium</t>
  </si>
  <si>
    <t xml:space="preserve">Museums (children’s) </t>
  </si>
  <si>
    <t>Health Club (Aerobics Room)</t>
  </si>
  <si>
    <t xml:space="preserve">Museums/galleries </t>
  </si>
  <si>
    <t>Reception areas</t>
  </si>
  <si>
    <t>Health Club (Weight Room)</t>
  </si>
  <si>
    <t>RESIDENTIAL</t>
  </si>
  <si>
    <t>Restaurant dining rooms</t>
  </si>
  <si>
    <t>Holding</t>
  </si>
  <si>
    <t xml:space="preserve">Common corridors </t>
  </si>
  <si>
    <t>Sales (except as below)</t>
  </si>
  <si>
    <t>Hydrotherapy</t>
  </si>
  <si>
    <t>RETAIL</t>
  </si>
  <si>
    <t>IDF Room</t>
  </si>
  <si>
    <t xml:space="preserve">Sales (except as below) </t>
  </si>
  <si>
    <t>Shipping/receiving</t>
  </si>
  <si>
    <t>Infectious Disease and Virus Lab</t>
  </si>
  <si>
    <t xml:space="preserve">Mall common areas </t>
  </si>
  <si>
    <t>Sorting, packing, light assembly</t>
  </si>
  <si>
    <t>Intensive/Critical Care Unit (ICU, Burn, Wound)</t>
  </si>
  <si>
    <t xml:space="preserve">Barbershop </t>
  </si>
  <si>
    <t>Spectator areas</t>
  </si>
  <si>
    <t>Intensive/Critical Care Unit (ICU, Burn, Wound) (AII/ISO)</t>
  </si>
  <si>
    <t xml:space="preserve">Beauty and nail salons </t>
  </si>
  <si>
    <t>Stages, studios</t>
  </si>
  <si>
    <t>Intermediate Care</t>
  </si>
  <si>
    <t xml:space="preserve">Pet shops (animal areas) </t>
  </si>
  <si>
    <t>Supermarket</t>
  </si>
  <si>
    <t>Janitor/Trash/Recycling</t>
  </si>
  <si>
    <t xml:space="preserve">Supermarket </t>
  </si>
  <si>
    <t>Swimming (pool &amp; deck)</t>
  </si>
  <si>
    <t>Kitchen (Cooking)</t>
  </si>
  <si>
    <t xml:space="preserve">Coin-operated laundries </t>
  </si>
  <si>
    <t>Telephone closets</t>
  </si>
  <si>
    <t>Kitchenettes</t>
  </si>
  <si>
    <t>SPORTS AND ENTERTAINMENT</t>
  </si>
  <si>
    <t>Telephone/data entry</t>
  </si>
  <si>
    <t>Lab</t>
  </si>
  <si>
    <t xml:space="preserve">Gym, sports arena (play area) </t>
  </si>
  <si>
    <t>Transportation waiting</t>
  </si>
  <si>
    <t>Lab Prep/Support</t>
  </si>
  <si>
    <t xml:space="preserve">Spectator areas </t>
  </si>
  <si>
    <t>University/college laboratories</t>
  </si>
  <si>
    <t>Labor/Delivery/Recovery/Postpartum (LDRP)</t>
  </si>
  <si>
    <t xml:space="preserve">Swimming (pool) </t>
  </si>
  <si>
    <t>C</t>
  </si>
  <si>
    <t>Warehouses</t>
  </si>
  <si>
    <t>Laboratory (Bacteriology/Biochemistry/Cytology/Histology/Microbiology/Pathology/Serology)</t>
  </si>
  <si>
    <t xml:space="preserve">Swimming (deck) </t>
  </si>
  <si>
    <t>Wood/metal shop</t>
  </si>
  <si>
    <t>Laboratory (General)</t>
  </si>
  <si>
    <t>Disco/dance floors 1.5</t>
  </si>
  <si>
    <t>Laboratory (Glasswashing)</t>
  </si>
  <si>
    <t xml:space="preserve">Health club/aerobics room </t>
  </si>
  <si>
    <t>Laboratory (Media Transfer)</t>
  </si>
  <si>
    <t xml:space="preserve">Health club/weight rooms </t>
  </si>
  <si>
    <t>Laboratory (Nuclear Medicine)</t>
  </si>
  <si>
    <t>Bowling alley (seating) 1.</t>
  </si>
  <si>
    <t>Laboratory (Science/University/College)</t>
  </si>
  <si>
    <t xml:space="preserve">Gambling casinos </t>
  </si>
  <si>
    <t>Laboratory (Sterilizing)</t>
  </si>
  <si>
    <t xml:space="preserve">Game arcades </t>
  </si>
  <si>
    <t>Laser Eye Room</t>
  </si>
  <si>
    <t xml:space="preserve">Stages, studios </t>
  </si>
  <si>
    <t>D,F</t>
  </si>
  <si>
    <t>Laser Lab</t>
  </si>
  <si>
    <t>Laundry</t>
  </si>
  <si>
    <t>Lecture Classroom</t>
  </si>
  <si>
    <t>General:</t>
  </si>
  <si>
    <t>Lecture Hall (Fixed Seating)</t>
  </si>
  <si>
    <t xml:space="preserve">1) Ra was determined as being the larger of the area method and the default per person method. The occupant density used in the per person  method was assumed to be one half of the maximum occupant load assumed for egress purposes in the CBC. </t>
  </si>
  <si>
    <t>Legislative Chambers</t>
  </si>
  <si>
    <t xml:space="preserve">2) If this column specifies a minimum cfm/ft2 then it shall be used to comply with Section 120.1(d)4E. </t>
  </si>
  <si>
    <t xml:space="preserve">Specific Notes: </t>
  </si>
  <si>
    <t>Linear Equipment Room</t>
  </si>
  <si>
    <t>A – For high-school and college libraries, the values shown for “Public Assembly Spaces – Libraries” shall be used.</t>
  </si>
  <si>
    <t xml:space="preserve">B – Rate may not be sufficient where stored materials include those having potentially harmful emissions. </t>
  </si>
  <si>
    <t>Lobby (Main Entry)</t>
  </si>
  <si>
    <t xml:space="preserve">C – Rate does not allow for humidity control. “Deck area” refers to the area surrounding the pool that is capable of being wetted during pool use or when the pool is occupied. Deck area that is not expected to be wetted shall be designated as an occupancy category. </t>
  </si>
  <si>
    <t xml:space="preserve">D – Rate does not include special exhaust for stage effects such as dry ice vapors and smoke. </t>
  </si>
  <si>
    <t>Mechanical Room</t>
  </si>
  <si>
    <t>E – Where combustion equipment is intended to be used on the playing surface or in the space, additional dilution ventilation, source control, or both shall be provided.</t>
  </si>
  <si>
    <t>Media Center</t>
  </si>
  <si>
    <t>F – Ventilation air for this occupancy category shall be permitted to be reduced to zero when the space is in occupied-standby mode</t>
  </si>
  <si>
    <t>Medication Room</t>
  </si>
  <si>
    <t>MRI Equipment Room</t>
  </si>
  <si>
    <t>MRI Imaging</t>
  </si>
  <si>
    <t>Museum (Children's)</t>
  </si>
  <si>
    <t>Museum/Gallery/Mall Common Area</t>
  </si>
  <si>
    <t>Music/Dance Theater</t>
  </si>
  <si>
    <t>Necropsy</t>
  </si>
  <si>
    <t>Newborn Intensive Care (NICU)</t>
  </si>
  <si>
    <t>Newborn Nursery Suite</t>
  </si>
  <si>
    <t>NMR</t>
  </si>
  <si>
    <t>Nonrefrigerated Body-Holding Room</t>
  </si>
  <si>
    <t>Nurse Station</t>
  </si>
  <si>
    <t>Office-Private</t>
  </si>
  <si>
    <t>Office-Open</t>
  </si>
  <si>
    <t>Occupational Therapy</t>
  </si>
  <si>
    <t>Parking Garage</t>
  </si>
  <si>
    <t>Operating Room (Class B and C, Caesarean)</t>
  </si>
  <si>
    <t>Patient Room (AII/ISO)</t>
  </si>
  <si>
    <t xml:space="preserve">Patient Room (Combination AII/PE) </t>
  </si>
  <si>
    <t>Patient Room (PE)</t>
  </si>
  <si>
    <t>Pharmacy Prep Area</t>
  </si>
  <si>
    <t>Pharmacy Compounding</t>
  </si>
  <si>
    <t>Prefunction</t>
  </si>
  <si>
    <t>Procedure</t>
  </si>
  <si>
    <t>Procedure-General</t>
  </si>
  <si>
    <t>Procedure-GI</t>
  </si>
  <si>
    <t>Physical Therapy</t>
  </si>
  <si>
    <t>Reception Areas</t>
  </si>
  <si>
    <t>Procedure Room (Class A Surgery)</t>
  </si>
  <si>
    <t>Recovery Room (AII/ISO)</t>
  </si>
  <si>
    <t>Sales</t>
  </si>
  <si>
    <t>Shipping/Receiving</t>
  </si>
  <si>
    <t>Shower Room</t>
  </si>
  <si>
    <t>Reprocessing/Clean Work (Central Sterile)</t>
  </si>
  <si>
    <t>Sorting, Packing, Light Assembly</t>
  </si>
  <si>
    <t>Sleeping Room/On Call</t>
  </si>
  <si>
    <t>Sterile Supply/Picking &amp; Staging (Central Sterile)</t>
  </si>
  <si>
    <t>Sterilizing</t>
  </si>
  <si>
    <t>Storage (Chemical)</t>
  </si>
  <si>
    <t>Storage (Equipment)</t>
  </si>
  <si>
    <t>Sterilizer Equipment Room</t>
  </si>
  <si>
    <t xml:space="preserve">Storage (Clean Linen/Sorting/Utility) </t>
  </si>
  <si>
    <t xml:space="preserve">Storage (Clean Linen/Sorting/Utility)-NONOSHPD </t>
  </si>
  <si>
    <t>Storage (General)</t>
  </si>
  <si>
    <t>Storage (Dietary Storage)</t>
  </si>
  <si>
    <t>Storage (Hazardous Material)</t>
  </si>
  <si>
    <t>Storage (Occupiable For Dry Materials)</t>
  </si>
  <si>
    <t>Storage (Occupiable For Wet Materials)</t>
  </si>
  <si>
    <t>Storage (Medical/Anesthesia Gas)</t>
  </si>
  <si>
    <t>Storage (Soiled Linen/Sorting/Utility/Trash Chute Room)</t>
  </si>
  <si>
    <t>Storage (Soiled Linen/Sorting/Utility/Trash Chute Room)-NONOSHPD</t>
  </si>
  <si>
    <t>Swimming (Pool and Deck)</t>
  </si>
  <si>
    <t>Teaching Lab</t>
  </si>
  <si>
    <t>Telephone/Data Entry</t>
  </si>
  <si>
    <t>Ticket Booth</t>
  </si>
  <si>
    <t>Toilet Room</t>
  </si>
  <si>
    <t>Substerile Service Area</t>
  </si>
  <si>
    <t>Transfusion</t>
  </si>
  <si>
    <t>Toilet Room (AII/ISO)</t>
  </si>
  <si>
    <t>Trauma Room</t>
  </si>
  <si>
    <t>Unoccupied/Shelled</t>
  </si>
  <si>
    <t>Triage</t>
  </si>
  <si>
    <t>Vivarium</t>
  </si>
  <si>
    <t>Waiting</t>
  </si>
  <si>
    <t>Vending/Nourishment Area</t>
  </si>
  <si>
    <t>Waiting (Transportation)</t>
  </si>
  <si>
    <t>Waiting (Radiology/Emergency)</t>
  </si>
  <si>
    <t>Wet Lab</t>
  </si>
  <si>
    <t>Wood/Metal Shop</t>
  </si>
  <si>
    <t>Warewashing</t>
  </si>
  <si>
    <t>Workroom (General)</t>
  </si>
  <si>
    <t>Workroom (Clean/Holding)</t>
  </si>
  <si>
    <t>Workroom (Soiled/Holding)</t>
  </si>
  <si>
    <t>Worship/Chapel/Meditation</t>
  </si>
  <si>
    <t>X-ray (Diagnostic and Treatment)</t>
  </si>
  <si>
    <t>X-ray (Fluro)</t>
  </si>
  <si>
    <t>X-ray (Surgery/Critical Care)</t>
  </si>
  <si>
    <t>From BOD or AEI preference</t>
  </si>
  <si>
    <t>From ASHRAE 170</t>
  </si>
  <si>
    <t>Space Import Status</t>
  </si>
  <si>
    <t>Occupants (# of People)</t>
  </si>
  <si>
    <t>Lighting Power Density (W/sqft)</t>
  </si>
  <si>
    <t>Equipment Power Density (W/sqft)</t>
  </si>
  <si>
    <t>Schedule Name</t>
  </si>
  <si>
    <t>Monday</t>
  </si>
  <si>
    <t>Tuesday</t>
  </si>
  <si>
    <t>Wednesday</t>
  </si>
  <si>
    <t>Thursday</t>
  </si>
  <si>
    <t>Friday</t>
  </si>
  <si>
    <t>Saturday</t>
  </si>
  <si>
    <t>Sunday</t>
  </si>
  <si>
    <t>Schedule Type</t>
  </si>
  <si>
    <t>FRACTION</t>
  </si>
  <si>
    <t>X</t>
  </si>
  <si>
    <t>1 AM</t>
  </si>
  <si>
    <t>2 AM</t>
  </si>
  <si>
    <t>3 AM</t>
  </si>
  <si>
    <t>4 AM</t>
  </si>
  <si>
    <t>5 AM</t>
  </si>
  <si>
    <t>6 AM</t>
  </si>
  <si>
    <t>7 AM</t>
  </si>
  <si>
    <t>8 AM</t>
  </si>
  <si>
    <t>9 AM</t>
  </si>
  <si>
    <t>10 AM</t>
  </si>
  <si>
    <t>11 AM</t>
  </si>
  <si>
    <t>24 AM</t>
  </si>
  <si>
    <t>12 PM</t>
  </si>
  <si>
    <t>13 PM</t>
  </si>
  <si>
    <t>14 PM</t>
  </si>
  <si>
    <t>15 PM</t>
  </si>
  <si>
    <t>16 PM</t>
  </si>
  <si>
    <t>17 PM</t>
  </si>
  <si>
    <t>18 PM</t>
  </si>
  <si>
    <t>19 PM</t>
  </si>
  <si>
    <t>20 PM</t>
  </si>
  <si>
    <t>21 PM</t>
  </si>
  <si>
    <t>22 PM</t>
  </si>
  <si>
    <t>23 PM</t>
  </si>
  <si>
    <t>Holiday Check</t>
  </si>
  <si>
    <t>Use the drop down highlighted in green to graphically view schedules from the 'eQuest Schedule Importer' sheet</t>
  </si>
  <si>
    <t>Electrical Demand [MBH]</t>
  </si>
  <si>
    <t>Natural Gas Demand [MBH]</t>
  </si>
  <si>
    <t>Total Electricity Use [kW]</t>
  </si>
  <si>
    <t>Total Gas Use [Therms]</t>
  </si>
  <si>
    <t>Electrical Energy Use [kBTU]</t>
  </si>
  <si>
    <t>Natural Gas Energy Use [kBTU]</t>
  </si>
  <si>
    <t>Total Electricity Use [kBTU]</t>
  </si>
  <si>
    <t>Total Gas Use [kBTU]</t>
  </si>
  <si>
    <t>Energy</t>
  </si>
  <si>
    <t>Utility Provider</t>
  </si>
  <si>
    <t>Power Type</t>
  </si>
  <si>
    <t>Unit of Measurement</t>
  </si>
  <si>
    <t>Cost per Measurement</t>
  </si>
  <si>
    <t>Cost ($/kBTU) Conversion</t>
  </si>
  <si>
    <t>PG&amp;E</t>
  </si>
  <si>
    <t>Natural Gas</t>
  </si>
  <si>
    <t>Aamend</t>
  </si>
  <si>
    <t>Unit Start</t>
  </si>
  <si>
    <t>Unit End</t>
  </si>
  <si>
    <t>Multiplication Factor</t>
  </si>
  <si>
    <t>Wh</t>
  </si>
  <si>
    <t>BTU</t>
  </si>
  <si>
    <t>kBTU</t>
  </si>
  <si>
    <t>kWh</t>
  </si>
  <si>
    <t>Therms</t>
  </si>
  <si>
    <t>Internal Lighitng - Elec</t>
  </si>
  <si>
    <t>Internal Lighting - Gas</t>
  </si>
  <si>
    <t>Internal Lighting - Total</t>
  </si>
  <si>
    <t>External Lighting - Elec</t>
  </si>
  <si>
    <t>External Lighting - Gas</t>
  </si>
  <si>
    <t>External Lighting - Total</t>
  </si>
  <si>
    <t>Space Heating - Elec</t>
  </si>
  <si>
    <t>Space Heating - Gas</t>
  </si>
  <si>
    <t>Space Heating - Total</t>
  </si>
  <si>
    <t>Space Cooling - Elec</t>
  </si>
  <si>
    <t>Space Cooling - Gas</t>
  </si>
  <si>
    <t>Space Cooling - Total</t>
  </si>
  <si>
    <t>Pumps - Elec</t>
  </si>
  <si>
    <t>Pumps - Gas</t>
  </si>
  <si>
    <t>Pumps - Total</t>
  </si>
  <si>
    <t>Fans Process - Elec</t>
  </si>
  <si>
    <t>Fans Process - Gas</t>
  </si>
  <si>
    <t>Fans Process - Total</t>
  </si>
  <si>
    <t>Fans Interior - Elec</t>
  </si>
  <si>
    <t>Fans Interior - Gas</t>
  </si>
  <si>
    <t>Fans Interior - Total</t>
  </si>
  <si>
    <t>Fans Parking Garage - Elec</t>
  </si>
  <si>
    <t>Fans Parking Garage - Gas</t>
  </si>
  <si>
    <t>Fans Parking Garage - Total</t>
  </si>
  <si>
    <t>Service Water Heating - Elec</t>
  </si>
  <si>
    <t>Service Water Heating - Gas</t>
  </si>
  <si>
    <t>Service Water Heating - Total</t>
  </si>
  <si>
    <t>Receptacle Equipment - Elec</t>
  </si>
  <si>
    <t>Receptacle Equipment - Gas</t>
  </si>
  <si>
    <t>Receptacle Equipment - Total</t>
  </si>
  <si>
    <t>Interior Lighting Process - Elec</t>
  </si>
  <si>
    <t>Interior Lighting Process - Gas</t>
  </si>
  <si>
    <t>Interior Lighting Process - Total</t>
  </si>
  <si>
    <t>Refrigeration - Elec</t>
  </si>
  <si>
    <t>Refrigeration - Gas</t>
  </si>
  <si>
    <t>Refrigeration - Total</t>
  </si>
  <si>
    <t>Data Centre Equipment - Elec</t>
  </si>
  <si>
    <t>Data Centre Equipment - Gas</t>
  </si>
  <si>
    <t>Data Centre Equipment - Total</t>
  </si>
  <si>
    <t>Cooking - Elec</t>
  </si>
  <si>
    <t>Cooking - Gas</t>
  </si>
  <si>
    <t>Cooking - Total</t>
  </si>
  <si>
    <t>Elevators/ Escalators - Elec</t>
  </si>
  <si>
    <t>Elevators/ Escalators - Gas</t>
  </si>
  <si>
    <t>Elevators/ Escalators - Total</t>
  </si>
  <si>
    <t>Heat Rejection - Elec</t>
  </si>
  <si>
    <t>Heat Rejection - Gas</t>
  </si>
  <si>
    <t>Heat Rejection - Total</t>
  </si>
  <si>
    <t>Combined Heat and Power - Elec</t>
  </si>
  <si>
    <t>Combined Heat and Power - Gas</t>
  </si>
  <si>
    <t>Combined Heat and Power - Total</t>
  </si>
  <si>
    <t>Humidification - Elec</t>
  </si>
  <si>
    <t>Humidification - Gas</t>
  </si>
  <si>
    <t>Humidification - Total</t>
  </si>
  <si>
    <t>Other Processes - Elec</t>
  </si>
  <si>
    <t>Other Processes - Gas</t>
  </si>
  <si>
    <t>Other Processes - Total</t>
  </si>
  <si>
    <t>Typical Setback (F)</t>
  </si>
  <si>
    <t>Typical Setpoint (F)</t>
  </si>
  <si>
    <t>Temperature Setpoint F</t>
  </si>
  <si>
    <t>Temperature Setback 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</si>
</sst>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4" formatCode="_(&quot;$&quot;* #,##0.00_);_(&quot;$&quot;* \(#,##0.00\);_(&quot;$&quot;* &quot;-&quot;??_);_(@_)"/>
    <numFmt numFmtId="43" formatCode="_(* #,##0.00_);_(* \(#,##0.00\);_(* &quot;-&quot;??_);_(@_)"/>
    <numFmt numFmtId="164" formatCode="0.0%"/>
    <numFmt numFmtId="165" formatCode="#0.0"/>
    <numFmt numFmtId="166" formatCode="&quot;U-&quot;0.000"/>
    <numFmt numFmtId="167" formatCode="0.000"/>
    <numFmt numFmtId="168" formatCode="_(* #,##0.0000_);_(* \(#,##0.0000\);_(* &quot;-&quot;??_);_(@_)"/>
    <numFmt numFmtId="169" formatCode="#,##0.0"/>
    <numFmt numFmtId="170" formatCode="#,##0.0000"/>
    <numFmt numFmtId="171" formatCode="#,##0.000"/>
    <numFmt numFmtId="172" formatCode="h:mm;@"/>
    <numFmt numFmtId="173" formatCode="0.0"/>
    <numFmt numFmtId="174" formatCode="#,##0\ &quot;°F&quot;"/>
    <numFmt numFmtId="175" formatCode="&quot;$&quot;#,##0.00"/>
    <numFmt numFmtId="176" formatCode="&quot;WWR (N) = &quot;#,##0.0&quot;%&quot;"/>
    <numFmt numFmtId="177" formatCode="&quot;WWR (E) = &quot;#,##0.0&quot;%&quot;"/>
    <numFmt numFmtId="178" formatCode="&quot;WWR (S) = &quot;#,##0.0&quot;%&quot;"/>
    <numFmt numFmtId="179" formatCode="&quot;WWR (W) = &quot;#,##0.0&quot;%&quot;"/>
    <numFmt numFmtId="180" formatCode="_(&quot;$&quot;* #,##0_);_(&quot;$&quot;* \(#,##0\);_(&quot;$&quot;* &quot;-&quot;??_);_(@_)"/>
  </numFmts>
  <fonts count="76" x14ac:knownFonts="1">
    <font>
      <sz val="11"/>
      <color theme="1"/>
      <name val="Calibri"/>
      <family val="2"/>
      <scheme val="minor"/>
    </font>
    <font>
      <b/>
      <sz val="11"/>
      <color theme="1"/>
      <name val="Calibri"/>
      <family val="2"/>
      <scheme val="minor"/>
    </font>
    <font>
      <sz val="11"/>
      <color theme="5"/>
      <name val="Calibri"/>
      <family val="2"/>
      <scheme val="minor"/>
    </font>
    <font>
      <b/>
      <sz val="9"/>
      <color indexed="81"/>
      <name val="Tahoma"/>
      <family val="2"/>
    </font>
    <font>
      <sz val="9"/>
      <color indexed="81"/>
      <name val="Tahoma"/>
      <family val="2"/>
    </font>
    <font>
      <b/>
      <sz val="18"/>
      <color theme="1"/>
      <name val="Calibri"/>
      <family val="2"/>
      <scheme val="minor"/>
    </font>
    <font>
      <sz val="12"/>
      <color theme="1"/>
      <name val="Calibri"/>
      <family val="2"/>
      <scheme val="minor"/>
    </font>
    <font>
      <b/>
      <sz val="12"/>
      <color theme="1"/>
      <name val="Calibri"/>
      <family val="2"/>
      <scheme val="minor"/>
    </font>
    <font>
      <b/>
      <i/>
      <sz val="12"/>
      <color theme="1"/>
      <name val="Calibri"/>
      <family val="2"/>
      <scheme val="minor"/>
    </font>
    <font>
      <vertAlign val="superscript"/>
      <sz val="12"/>
      <color theme="1"/>
      <name val="Calibri"/>
      <family val="2"/>
      <scheme val="minor"/>
    </font>
    <font>
      <sz val="10"/>
      <name val="Arial"/>
      <family val="2"/>
    </font>
    <font>
      <sz val="9"/>
      <name val="Arial"/>
      <family val="2"/>
    </font>
    <font>
      <sz val="6"/>
      <color theme="1"/>
      <name val="Calibri"/>
      <family val="2"/>
      <scheme val="minor"/>
    </font>
    <font>
      <b/>
      <sz val="12"/>
      <color theme="0"/>
      <name val="Calibri"/>
      <family val="2"/>
      <scheme val="minor"/>
    </font>
    <font>
      <b/>
      <sz val="9"/>
      <name val="Arial"/>
      <family val="2"/>
    </font>
    <font>
      <sz val="10"/>
      <color theme="1"/>
      <name val="Calibri"/>
      <family val="2"/>
      <scheme val="minor"/>
    </font>
    <font>
      <b/>
      <i/>
      <sz val="9"/>
      <name val="Arial"/>
      <family val="2"/>
    </font>
    <font>
      <b/>
      <vertAlign val="superscript"/>
      <sz val="9"/>
      <name val="Arial"/>
      <family val="2"/>
    </font>
    <font>
      <sz val="9"/>
      <color indexed="8"/>
      <name val="Arial"/>
      <family val="2"/>
    </font>
    <font>
      <sz val="10"/>
      <name val="Calibri"/>
      <family val="2"/>
      <scheme val="minor"/>
    </font>
    <font>
      <sz val="11"/>
      <name val="Calibri"/>
      <family val="2"/>
      <scheme val="minor"/>
    </font>
    <font>
      <sz val="10"/>
      <color rgb="FFFF0000"/>
      <name val="Calibri"/>
      <family val="2"/>
      <scheme val="minor"/>
    </font>
    <font>
      <u/>
      <sz val="11"/>
      <color theme="10"/>
      <name val="Calibri"/>
      <family val="2"/>
      <scheme val="minor"/>
    </font>
    <font>
      <sz val="11"/>
      <color theme="1"/>
      <name val="Times New Roman"/>
      <family val="1"/>
    </font>
    <font>
      <b/>
      <sz val="11"/>
      <color theme="1"/>
      <name val="Times New Roman"/>
      <family val="1"/>
    </font>
    <font>
      <sz val="11"/>
      <color theme="1"/>
      <name val="Calibri"/>
      <family val="2"/>
      <scheme val="minor"/>
    </font>
    <font>
      <sz val="11"/>
      <color theme="5" tint="-0.249977111117893"/>
      <name val="Calibri"/>
      <family val="2"/>
      <scheme val="minor"/>
    </font>
    <font>
      <b/>
      <sz val="14"/>
      <color theme="0"/>
      <name val="Calibri"/>
      <family val="2"/>
      <scheme val="minor"/>
    </font>
    <font>
      <b/>
      <sz val="14"/>
      <name val="Calibri"/>
      <family val="2"/>
      <scheme val="minor"/>
    </font>
    <font>
      <b/>
      <sz val="12"/>
      <name val="Arial"/>
      <family val="2"/>
    </font>
    <font>
      <sz val="9"/>
      <name val="Calibri"/>
      <family val="2"/>
    </font>
    <font>
      <b/>
      <sz val="8"/>
      <color rgb="FF000000"/>
      <name val="Arial"/>
      <family val="2"/>
    </font>
    <font>
      <sz val="8"/>
      <color rgb="FF000000"/>
      <name val="Arial"/>
      <family val="2"/>
    </font>
    <font>
      <b/>
      <sz val="8"/>
      <color rgb="FF000000"/>
      <name val="Symbol"/>
      <family val="1"/>
      <charset val="2"/>
    </font>
    <font>
      <sz val="10"/>
      <color theme="1"/>
      <name val="Arial"/>
      <family val="2"/>
    </font>
    <font>
      <b/>
      <sz val="10"/>
      <color theme="1"/>
      <name val="Arial"/>
      <family val="2"/>
    </font>
    <font>
      <b/>
      <sz val="10"/>
      <name val="Arial"/>
      <family val="2"/>
    </font>
    <font>
      <b/>
      <sz val="9"/>
      <color rgb="FF000000"/>
      <name val="Arial"/>
      <family val="2"/>
    </font>
    <font>
      <sz val="9"/>
      <color theme="1"/>
      <name val="Arial"/>
      <family val="2"/>
    </font>
    <font>
      <sz val="9"/>
      <color rgb="FF000000"/>
      <name val="Arial"/>
      <family val="2"/>
    </font>
    <font>
      <sz val="9"/>
      <color theme="1"/>
      <name val="Tahoma"/>
      <family val="2"/>
    </font>
    <font>
      <i/>
      <sz val="10"/>
      <name val="Arial"/>
      <family val="2"/>
    </font>
    <font>
      <sz val="9"/>
      <color theme="0" tint="-0.499984740745262"/>
      <name val="Arial"/>
      <family val="2"/>
    </font>
    <font>
      <i/>
      <sz val="10"/>
      <color theme="1"/>
      <name val="Arial"/>
      <family val="2"/>
    </font>
    <font>
      <b/>
      <i/>
      <sz val="10"/>
      <color theme="1"/>
      <name val="Arial"/>
      <family val="2"/>
    </font>
    <font>
      <sz val="10"/>
      <color rgb="FFFF0000"/>
      <name val="Arial"/>
      <family val="2"/>
    </font>
    <font>
      <sz val="9"/>
      <color theme="0" tint="-0.34998626667073579"/>
      <name val="Arial"/>
      <family val="2"/>
    </font>
    <font>
      <b/>
      <sz val="16"/>
      <name val="Arial"/>
      <family val="2"/>
    </font>
    <font>
      <sz val="8"/>
      <name val="Arial"/>
      <family val="2"/>
    </font>
    <font>
      <sz val="8"/>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F0000"/>
      <name val="Calibri"/>
      <family val="2"/>
      <scheme val="minor"/>
    </font>
    <font>
      <u/>
      <sz val="11"/>
      <color theme="1"/>
      <name val="Calibri"/>
      <family val="2"/>
      <scheme val="minor"/>
    </font>
    <font>
      <b/>
      <sz val="11"/>
      <name val="Calibri"/>
      <family val="2"/>
      <scheme val="minor"/>
    </font>
    <font>
      <u/>
      <sz val="11"/>
      <name val="Calibri"/>
      <family val="2"/>
      <scheme val="minor"/>
    </font>
    <font>
      <b/>
      <sz val="11"/>
      <color rgb="FFFF0000"/>
      <name val="Calibri"/>
      <family val="2"/>
      <scheme val="minor"/>
    </font>
    <font>
      <b/>
      <sz val="11"/>
      <name val="Calibri"/>
      <family val="2"/>
    </font>
    <font>
      <sz val="11"/>
      <name val="Calibri"/>
      <family val="2"/>
    </font>
    <font>
      <b/>
      <sz val="11"/>
      <color rgb="FFFFFFFF"/>
      <name val="Calibri"/>
      <family val="2"/>
      <scheme val="minor"/>
    </font>
    <font>
      <sz val="11"/>
      <color theme="1"/>
      <name val="Calibri"/>
      <family val="2"/>
    </font>
    <font>
      <b/>
      <sz val="11"/>
      <color rgb="FFFFFFFF"/>
      <name val="Calibri"/>
      <family val="2"/>
    </font>
    <font>
      <sz val="11"/>
      <color rgb="FF000000"/>
      <name val="Calibri"/>
      <family val="2"/>
      <scheme val="minor"/>
    </font>
    <font>
      <b/>
      <sz val="11"/>
      <color rgb="FF000000"/>
      <name val="Calibri"/>
      <family val="2"/>
      <scheme val="minor"/>
    </font>
    <font>
      <b/>
      <sz val="11"/>
      <color theme="0"/>
      <name val="Calibri"/>
      <family val="2"/>
      <scheme val="minor"/>
    </font>
    <font>
      <i/>
      <sz val="11"/>
      <color theme="1"/>
      <name val="Calibri"/>
      <family val="2"/>
      <scheme val="minor"/>
    </font>
    <font>
      <sz val="10"/>
      <color rgb="FF000000"/>
      <name val="Arial"/>
      <family val="2"/>
    </font>
    <font>
      <b/>
      <sz val="10"/>
      <color rgb="FF000000"/>
      <name val="Arial"/>
      <family val="2"/>
    </font>
    <font>
      <b/>
      <vertAlign val="superscript"/>
      <sz val="7"/>
      <color rgb="FF000000"/>
      <name val="Arial"/>
      <family val="2"/>
    </font>
    <font>
      <sz val="10"/>
      <color rgb="FF000000"/>
      <name val="Symbol"/>
      <family val="1"/>
      <charset val="2"/>
    </font>
    <font>
      <vertAlign val="superscript"/>
      <sz val="7"/>
      <color rgb="FF000000"/>
      <name val="Arial"/>
      <family val="2"/>
    </font>
    <font>
      <sz val="11"/>
      <color rgb="FF000000"/>
      <name val="Calibri"/>
      <family val="2"/>
    </font>
    <font>
      <sz val="11"/>
      <color rgb="FFFF6600"/>
      <name val="Calibri"/>
      <family val="2"/>
    </font>
    <font>
      <sz val="11"/>
      <color theme="0"/>
      <name val="Calibri"/>
      <family val="2"/>
      <scheme val="minor"/>
    </font>
  </fonts>
  <fills count="26">
    <fill>
      <patternFill patternType="none"/>
    </fill>
    <fill>
      <patternFill patternType="gray125"/>
    </fill>
    <fill>
      <patternFill patternType="solid">
        <fgColor theme="0" tint="-0.14999847407452621"/>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bgColor indexed="64"/>
      </patternFill>
    </fill>
    <fill>
      <patternFill patternType="solid">
        <fgColor theme="6"/>
        <bgColor theme="6"/>
      </patternFill>
    </fill>
    <fill>
      <patternFill patternType="solid">
        <fgColor theme="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tint="0.79995117038483843"/>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7030A0"/>
        <bgColor indexed="64"/>
      </patternFill>
    </fill>
    <fill>
      <patternFill patternType="solid">
        <fgColor theme="7"/>
        <bgColor indexed="64"/>
      </patternFill>
    </fill>
    <fill>
      <patternFill patternType="solid">
        <fgColor theme="0" tint="-0.499984740745262"/>
        <bgColor indexed="64"/>
      </patternFill>
    </fill>
    <fill>
      <patternFill patternType="solid">
        <fgColor rgb="FFFFFFFF"/>
        <bgColor indexed="64"/>
      </patternFill>
    </fill>
    <fill>
      <patternFill patternType="solid">
        <fgColor indexed="65"/>
        <bgColor indexed="64"/>
      </patternFill>
    </fill>
    <fill>
      <patternFill patternType="solid">
        <fgColor theme="0" tint="-0.14996795556505021"/>
        <bgColor indexed="64"/>
      </patternFill>
    </fill>
    <fill>
      <patternFill patternType="solid">
        <fgColor rgb="FFFFCC99"/>
      </patternFill>
    </fill>
    <fill>
      <patternFill patternType="solid">
        <fgColor theme="9" tint="0.39997558519241921"/>
        <bgColor indexed="64"/>
      </patternFill>
    </fill>
    <fill>
      <patternFill patternType="solid">
        <fgColor rgb="FF55B6DA"/>
        <bgColor indexed="64"/>
      </patternFill>
    </fill>
    <fill>
      <patternFill patternType="solid">
        <fgColor rgb="FFDDDDDD"/>
        <bgColor indexed="64"/>
      </patternFill>
    </fill>
    <fill>
      <patternFill patternType="solid">
        <fgColor theme="4" tint="0.79998168889431442"/>
        <bgColor indexed="64"/>
      </patternFill>
    </fill>
    <fill>
      <patternFill patternType="solid">
        <fgColor theme="6" tint="0.39997558519241921"/>
        <bgColor indexed="64"/>
      </patternFill>
    </fill>
  </fills>
  <borders count="203">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thick">
        <color rgb="FF000000"/>
      </bottom>
      <diagonal/>
    </border>
    <border>
      <left style="thick">
        <color rgb="FF000000"/>
      </left>
      <right/>
      <top style="thick">
        <color rgb="FF000000"/>
      </top>
      <bottom style="medium">
        <color rgb="FF000000"/>
      </bottom>
      <diagonal/>
    </border>
    <border>
      <left/>
      <right/>
      <top style="thick">
        <color rgb="FF000000"/>
      </top>
      <bottom style="medium">
        <color rgb="FF000000"/>
      </bottom>
      <diagonal/>
    </border>
    <border>
      <left/>
      <right style="medium">
        <color rgb="FF000000"/>
      </right>
      <top style="thick">
        <color rgb="FF000000"/>
      </top>
      <bottom style="medium">
        <color rgb="FF000000"/>
      </bottom>
      <diagonal/>
    </border>
    <border>
      <left/>
      <right style="thick">
        <color rgb="FF000000"/>
      </right>
      <top style="thick">
        <color rgb="FF000000"/>
      </top>
      <bottom/>
      <diagonal/>
    </border>
    <border>
      <left style="thick">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thick">
        <color rgb="FF000000"/>
      </right>
      <top style="medium">
        <color rgb="FF000000"/>
      </top>
      <bottom style="medium">
        <color rgb="FF000000"/>
      </bottom>
      <diagonal/>
    </border>
    <border>
      <left style="thick">
        <color rgb="FF000000"/>
      </left>
      <right style="medium">
        <color rgb="FF000000"/>
      </right>
      <top style="medium">
        <color rgb="FF000000"/>
      </top>
      <bottom style="thick">
        <color rgb="FF000000"/>
      </bottom>
      <diagonal/>
    </border>
    <border>
      <left style="medium">
        <color rgb="FF000000"/>
      </left>
      <right style="medium">
        <color rgb="FF000000"/>
      </right>
      <top style="medium">
        <color rgb="FF000000"/>
      </top>
      <bottom style="thick">
        <color rgb="FF000000"/>
      </bottom>
      <diagonal/>
    </border>
    <border>
      <left style="medium">
        <color rgb="FF000000"/>
      </left>
      <right style="thick">
        <color rgb="FF000000"/>
      </right>
      <top style="medium">
        <color rgb="FF000000"/>
      </top>
      <bottom style="thick">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64"/>
      </left>
      <right/>
      <top style="thin">
        <color indexed="64"/>
      </top>
      <bottom style="thin">
        <color theme="0" tint="-0.499984740745262"/>
      </bottom>
      <diagonal/>
    </border>
    <border>
      <left/>
      <right style="thin">
        <color theme="0" tint="-0.24994659260841701"/>
      </right>
      <top style="thin">
        <color indexed="64"/>
      </top>
      <bottom style="thin">
        <color theme="0" tint="-0.499984740745262"/>
      </bottom>
      <diagonal/>
    </border>
    <border>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right style="thin">
        <color theme="0" tint="-0.499984740745262"/>
      </right>
      <top/>
      <bottom/>
      <diagonal/>
    </border>
    <border>
      <left style="thin">
        <color theme="0" tint="-0.24994659260841701"/>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indexed="64"/>
      </left>
      <right/>
      <top style="thin">
        <color theme="0" tint="-0.499984740745262"/>
      </top>
      <bottom style="thin">
        <color theme="0" tint="-0.24994659260841701"/>
      </bottom>
      <diagonal/>
    </border>
    <border>
      <left/>
      <right style="thin">
        <color indexed="64"/>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indexed="64"/>
      </left>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indexed="64"/>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right style="thin">
        <color indexed="64"/>
      </right>
      <top style="thin">
        <color theme="0" tint="-0.24994659260841701"/>
      </top>
      <bottom style="thin">
        <color indexed="64"/>
      </bottom>
      <diagonal/>
    </border>
    <border>
      <left style="thin">
        <color indexed="64"/>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style="thin">
        <color indexed="64"/>
      </left>
      <right/>
      <top style="thin">
        <color theme="0" tint="-0.499984740745262"/>
      </top>
      <bottom/>
      <diagonal/>
    </border>
    <border>
      <left style="thin">
        <color indexed="64"/>
      </left>
      <right/>
      <top/>
      <bottom style="thin">
        <color theme="0" tint="-0.499984740745262"/>
      </bottom>
      <diagonal/>
    </border>
    <border>
      <left style="thin">
        <color theme="0" tint="-0.24994659260841701"/>
      </left>
      <right/>
      <top style="thin">
        <color theme="0" tint="-0.24994659260841701"/>
      </top>
      <bottom style="thin">
        <color theme="0" tint="-0.499984740745262"/>
      </bottom>
      <diagonal/>
    </border>
    <border>
      <left/>
      <right style="thin">
        <color theme="0" tint="-0.24994659260841701"/>
      </right>
      <top style="thin">
        <color theme="0" tint="-0.24994659260841701"/>
      </top>
      <bottom style="thin">
        <color theme="0" tint="-0.499984740745262"/>
      </bottom>
      <diagonal/>
    </border>
    <border>
      <left/>
      <right/>
      <top style="thin">
        <color theme="0" tint="-0.499984740745262"/>
      </top>
      <bottom style="thin">
        <color theme="0" tint="-0.24994659260841701"/>
      </bottom>
      <diagonal/>
    </border>
    <border>
      <left/>
      <right/>
      <top style="thin">
        <color theme="0" tint="-0.24994659260841701"/>
      </top>
      <bottom style="thin">
        <color theme="0" tint="-0.24994659260841701"/>
      </bottom>
      <diagonal/>
    </border>
    <border>
      <left style="thin">
        <color indexed="64"/>
      </left>
      <right/>
      <top style="thin">
        <color theme="0" tint="-0.24994659260841701"/>
      </top>
      <bottom style="thin">
        <color theme="0" tint="-0.499984740745262"/>
      </bottom>
      <diagonal/>
    </border>
    <border>
      <left/>
      <right/>
      <top style="thin">
        <color theme="0" tint="-0.24994659260841701"/>
      </top>
      <bottom style="thin">
        <color theme="0" tint="-0.499984740745262"/>
      </bottom>
      <diagonal/>
    </border>
    <border>
      <left style="thin">
        <color theme="0" tint="-0.499984740745262"/>
      </left>
      <right/>
      <top style="thin">
        <color theme="0" tint="-0.499984740745262"/>
      </top>
      <bottom style="thin">
        <color theme="0" tint="-0.24994659260841701"/>
      </bottom>
      <diagonal/>
    </border>
    <border>
      <left/>
      <right style="thin">
        <color theme="0" tint="-0.499984740745262"/>
      </right>
      <top style="thin">
        <color theme="0" tint="-0.499984740745262"/>
      </top>
      <bottom style="thin">
        <color theme="0" tint="-0.24994659260841701"/>
      </bottom>
      <diagonal/>
    </border>
    <border>
      <left style="thin">
        <color theme="0" tint="-0.24994659260841701"/>
      </left>
      <right style="thin">
        <color indexed="64"/>
      </right>
      <top style="thin">
        <color theme="0" tint="-0.499984740745262"/>
      </top>
      <bottom style="thin">
        <color theme="0" tint="-0.24994659260841701"/>
      </bottom>
      <diagonal/>
    </border>
    <border>
      <left style="thin">
        <color indexed="64"/>
      </left>
      <right style="thin">
        <color theme="0" tint="-0.24994659260841701"/>
      </right>
      <top style="thin">
        <color theme="0" tint="-0.24994659260841701"/>
      </top>
      <bottom style="thin">
        <color theme="0" tint="-0.499984740745262"/>
      </bottom>
      <diagonal/>
    </border>
    <border>
      <left style="thin">
        <color theme="0" tint="-0.499984740745262"/>
      </left>
      <right style="thin">
        <color theme="0" tint="-0.499984740745262"/>
      </right>
      <top/>
      <bottom/>
      <diagonal/>
    </border>
    <border>
      <left style="thin">
        <color theme="0" tint="-0.24994659260841701"/>
      </left>
      <right style="thin">
        <color indexed="64"/>
      </right>
      <top style="thin">
        <color theme="0" tint="-0.24994659260841701"/>
      </top>
      <bottom style="thin">
        <color theme="0" tint="-0.499984740745262"/>
      </bottom>
      <diagonal/>
    </border>
    <border>
      <left style="thin">
        <color indexed="64"/>
      </left>
      <right style="thin">
        <color theme="0" tint="-0.24994659260841701"/>
      </right>
      <top style="thin">
        <color theme="0" tint="-0.499984740745262"/>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499984740745262"/>
      </left>
      <right/>
      <top style="thin">
        <color theme="0" tint="-0.24994659260841701"/>
      </top>
      <bottom style="thin">
        <color theme="0" tint="-0.499984740745262"/>
      </bottom>
      <diagonal/>
    </border>
    <border>
      <left/>
      <right style="thin">
        <color theme="0" tint="-0.499984740745262"/>
      </right>
      <top style="thin">
        <color theme="0" tint="-0.24994659260841701"/>
      </top>
      <bottom style="thin">
        <color theme="0" tint="-0.499984740745262"/>
      </bottom>
      <diagonal/>
    </border>
    <border>
      <left/>
      <right style="thin">
        <color indexed="64"/>
      </right>
      <top style="thin">
        <color theme="0" tint="-0.24994659260841701"/>
      </top>
      <bottom style="thin">
        <color theme="0" tint="-0.499984740745262"/>
      </bottom>
      <diagonal/>
    </border>
    <border>
      <left/>
      <right style="thin">
        <color indexed="64"/>
      </right>
      <top/>
      <bottom style="thin">
        <color theme="0" tint="-0.499984740745262"/>
      </bottom>
      <diagonal/>
    </border>
    <border>
      <left/>
      <right/>
      <top style="thin">
        <color theme="0" tint="-0.24994659260841701"/>
      </top>
      <bottom style="thin">
        <color indexed="64"/>
      </bottom>
      <diagonal/>
    </border>
    <border>
      <left style="thin">
        <color theme="0" tint="-0.24994659260841701"/>
      </left>
      <right style="thin">
        <color theme="0" tint="-0.499984740745262"/>
      </right>
      <top style="thin">
        <color theme="0" tint="-0.24994659260841701"/>
      </top>
      <bottom style="thin">
        <color indexed="64"/>
      </bottom>
      <diagonal/>
    </border>
    <border>
      <left style="thin">
        <color theme="0" tint="-0.499984740745262"/>
      </left>
      <right style="thin">
        <color theme="0" tint="-0.499984740745262"/>
      </right>
      <top/>
      <bottom style="thin">
        <color indexed="64"/>
      </bottom>
      <diagonal/>
    </border>
    <border>
      <left style="thin">
        <color theme="0" tint="-0.499984740745262"/>
      </left>
      <right/>
      <top style="thin">
        <color theme="0" tint="-0.24994659260841701"/>
      </top>
      <bottom style="thin">
        <color indexed="64"/>
      </bottom>
      <diagonal/>
    </border>
    <border>
      <left/>
      <right style="thin">
        <color theme="0" tint="-0.499984740745262"/>
      </right>
      <top style="thin">
        <color theme="0" tint="-0.24994659260841701"/>
      </top>
      <bottom style="thin">
        <color indexed="64"/>
      </bottom>
      <diagonal/>
    </border>
    <border>
      <left style="thin">
        <color indexed="64"/>
      </left>
      <right style="thin">
        <color theme="0" tint="-0.499984740745262"/>
      </right>
      <top style="thin">
        <color theme="0" tint="-0.499984740745262"/>
      </top>
      <bottom/>
      <diagonal/>
    </border>
    <border>
      <left/>
      <right style="thin">
        <color indexed="64"/>
      </right>
      <top style="thin">
        <color theme="0" tint="-0.499984740745262"/>
      </top>
      <bottom/>
      <diagonal/>
    </border>
    <border>
      <left style="thin">
        <color indexed="64"/>
      </left>
      <right style="thin">
        <color theme="0" tint="-0.499984740745262"/>
      </right>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right style="thin">
        <color theme="0" tint="-0.499984740745262"/>
      </right>
      <top/>
      <bottom style="thin">
        <color theme="0" tint="-0.24994659260841701"/>
      </bottom>
      <diagonal/>
    </border>
    <border>
      <left/>
      <right style="thin">
        <color indexed="64"/>
      </right>
      <top/>
      <bottom style="thin">
        <color theme="0" tint="-0.24994659260841701"/>
      </bottom>
      <diagonal/>
    </border>
    <border>
      <left style="thin">
        <color indexed="64"/>
      </left>
      <right style="thin">
        <color theme="0" tint="-0.499984740745262"/>
      </right>
      <top/>
      <bottom style="thin">
        <color theme="0" tint="-0.499984740745262"/>
      </bottom>
      <diagonal/>
    </border>
    <border>
      <left style="thin">
        <color theme="0" tint="-0.24994659260841701"/>
      </left>
      <right style="thin">
        <color indexed="64"/>
      </right>
      <top style="thin">
        <color theme="0" tint="-0.24994659260841701"/>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499984740745262"/>
      </left>
      <right/>
      <top style="thin">
        <color theme="0" tint="-0.24994659260841701"/>
      </top>
      <bottom style="thin">
        <color theme="0" tint="-0.24994659260841701"/>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theme="9"/>
      </left>
      <right style="thin">
        <color theme="9"/>
      </right>
      <top style="thin">
        <color theme="9"/>
      </top>
      <bottom style="thin">
        <color theme="9"/>
      </bottom>
      <diagonal/>
    </border>
    <border>
      <left/>
      <right style="thin">
        <color theme="9"/>
      </right>
      <top style="thin">
        <color theme="9"/>
      </top>
      <bottom style="thin">
        <color theme="9"/>
      </bottom>
      <diagonal/>
    </border>
    <border>
      <left style="thin">
        <color theme="9"/>
      </left>
      <right/>
      <top style="thin">
        <color theme="9"/>
      </top>
      <bottom style="thin">
        <color theme="9"/>
      </bottom>
      <diagonal/>
    </border>
    <border>
      <left/>
      <right style="thin">
        <color theme="9"/>
      </right>
      <top/>
      <bottom style="medium">
        <color theme="9"/>
      </bottom>
      <diagonal/>
    </border>
    <border>
      <left style="thin">
        <color theme="9"/>
      </left>
      <right style="thin">
        <color theme="9"/>
      </right>
      <top/>
      <bottom style="medium">
        <color theme="9"/>
      </bottom>
      <diagonal/>
    </border>
    <border>
      <left style="thin">
        <color theme="9"/>
      </left>
      <right/>
      <top/>
      <bottom style="medium">
        <color theme="9"/>
      </bottom>
      <diagonal/>
    </border>
    <border>
      <left/>
      <right style="thin">
        <color theme="9"/>
      </right>
      <top style="thin">
        <color theme="9"/>
      </top>
      <bottom/>
      <diagonal/>
    </border>
    <border>
      <left style="thin">
        <color theme="9"/>
      </left>
      <right style="thin">
        <color theme="9"/>
      </right>
      <top style="thin">
        <color theme="9"/>
      </top>
      <bottom/>
      <diagonal/>
    </border>
    <border>
      <left style="thin">
        <color theme="9"/>
      </left>
      <right/>
      <top style="thin">
        <color theme="9"/>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theme="4"/>
      </left>
      <right style="medium">
        <color theme="4"/>
      </right>
      <top style="medium">
        <color theme="4"/>
      </top>
      <bottom style="medium">
        <color theme="4"/>
      </bottom>
      <diagonal/>
    </border>
    <border>
      <left style="medium">
        <color theme="4"/>
      </left>
      <right style="medium">
        <color theme="4"/>
      </right>
      <top style="medium">
        <color theme="4"/>
      </top>
      <bottom/>
      <diagonal/>
    </border>
    <border>
      <left/>
      <right style="medium">
        <color theme="4"/>
      </right>
      <top/>
      <bottom style="medium">
        <color theme="4"/>
      </bottom>
      <diagonal/>
    </border>
    <border>
      <left style="medium">
        <color theme="4"/>
      </left>
      <right style="medium">
        <color theme="4"/>
      </right>
      <top/>
      <bottom/>
      <diagonal/>
    </border>
    <border>
      <left style="medium">
        <color theme="4"/>
      </left>
      <right style="medium">
        <color theme="4"/>
      </right>
      <top/>
      <bottom style="medium">
        <color theme="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top style="medium">
        <color rgb="FF000000"/>
      </top>
      <bottom/>
      <diagonal/>
    </border>
    <border>
      <left style="thick">
        <color rgb="FF000000"/>
      </left>
      <right style="medium">
        <color rgb="FF000000"/>
      </right>
      <top style="thick">
        <color rgb="FF000000"/>
      </top>
      <bottom/>
      <diagonal/>
    </border>
    <border>
      <left style="medium">
        <color rgb="FF000000"/>
      </left>
      <right style="medium">
        <color rgb="FF000000"/>
      </right>
      <top style="thick">
        <color rgb="FF000000"/>
      </top>
      <bottom/>
      <diagonal/>
    </border>
    <border>
      <left style="thick">
        <color rgb="FF000000"/>
      </left>
      <right style="medium">
        <color rgb="FF000000"/>
      </right>
      <top/>
      <bottom style="medium">
        <color rgb="FF000000"/>
      </bottom>
      <diagonal/>
    </border>
    <border>
      <left style="medium">
        <color rgb="FF000000"/>
      </left>
      <right style="thick">
        <color rgb="FF000000"/>
      </right>
      <top/>
      <bottom style="medium">
        <color rgb="FF000000"/>
      </bottom>
      <diagonal/>
    </border>
    <border>
      <left style="thick">
        <color rgb="FF000000"/>
      </left>
      <right style="medium">
        <color rgb="FF000000"/>
      </right>
      <top style="medium">
        <color rgb="FF000000"/>
      </top>
      <bottom/>
      <diagonal/>
    </border>
    <border>
      <left style="medium">
        <color rgb="FF000000"/>
      </left>
      <right style="thick">
        <color rgb="FF000000"/>
      </right>
      <top style="medium">
        <color rgb="FF000000"/>
      </top>
      <bottom/>
      <diagonal/>
    </border>
    <border>
      <left style="thick">
        <color rgb="FF000000"/>
      </left>
      <right style="medium">
        <color rgb="FF000000"/>
      </right>
      <top/>
      <bottom/>
      <diagonal/>
    </border>
    <border>
      <left style="medium">
        <color rgb="FF000000"/>
      </left>
      <right style="thick">
        <color rgb="FF000000"/>
      </right>
      <top/>
      <bottom/>
      <diagonal/>
    </border>
    <border>
      <left style="thick">
        <color rgb="FF000000"/>
      </left>
      <right/>
      <top style="medium">
        <color rgb="FF000000"/>
      </top>
      <bottom/>
      <diagonal/>
    </border>
    <border>
      <left/>
      <right style="thick">
        <color rgb="FF000000"/>
      </right>
      <top style="medium">
        <color rgb="FF000000"/>
      </top>
      <bottom/>
      <diagonal/>
    </border>
    <border>
      <left style="thick">
        <color rgb="FF000000"/>
      </left>
      <right/>
      <top/>
      <bottom/>
      <diagonal/>
    </border>
    <border>
      <left/>
      <right style="thick">
        <color rgb="FF000000"/>
      </right>
      <top/>
      <bottom/>
      <diagonal/>
    </border>
    <border>
      <left style="thick">
        <color rgb="FF000000"/>
      </left>
      <right/>
      <top/>
      <bottom style="thick">
        <color rgb="FF000000"/>
      </bottom>
      <diagonal/>
    </border>
    <border>
      <left/>
      <right style="thick">
        <color rgb="FF000000"/>
      </right>
      <top/>
      <bottom style="thick">
        <color rgb="FF000000"/>
      </bottom>
      <diagonal/>
    </border>
    <border>
      <left style="medium">
        <color rgb="FF000000"/>
      </left>
      <right/>
      <top style="thick">
        <color rgb="FF000000"/>
      </top>
      <bottom/>
      <diagonal/>
    </border>
  </borders>
  <cellStyleXfs count="13">
    <xf numFmtId="0" fontId="0" fillId="0" borderId="0"/>
    <xf numFmtId="0" fontId="10" fillId="0" borderId="0"/>
    <xf numFmtId="0" fontId="22" fillId="0" borderId="0" applyNumberFormat="0" applyFill="0" applyBorder="0" applyAlignment="0" applyProtection="0"/>
    <xf numFmtId="43" fontId="25"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0" fontId="25" fillId="0" borderId="0"/>
    <xf numFmtId="0" fontId="10" fillId="0" borderId="0"/>
    <xf numFmtId="44" fontId="25" fillId="0" borderId="0" applyFont="0" applyFill="0" applyBorder="0" applyAlignment="0" applyProtection="0"/>
    <xf numFmtId="0" fontId="50" fillId="0" borderId="166" applyNumberFormat="0" applyFill="0" applyAlignment="0" applyProtection="0"/>
    <xf numFmtId="0" fontId="51" fillId="0" borderId="167" applyNumberFormat="0" applyFill="0" applyAlignment="0" applyProtection="0"/>
    <xf numFmtId="0" fontId="52" fillId="0" borderId="168" applyNumberFormat="0" applyFill="0" applyAlignment="0" applyProtection="0"/>
    <xf numFmtId="0" fontId="53" fillId="20" borderId="169" applyNumberFormat="0" applyAlignment="0" applyProtection="0"/>
  </cellStyleXfs>
  <cellXfs count="861">
    <xf numFmtId="0" fontId="0" fillId="0" borderId="0" xfId="0"/>
    <xf numFmtId="0" fontId="2" fillId="0" borderId="0" xfId="0" applyFont="1"/>
    <xf numFmtId="0" fontId="1" fillId="0" borderId="0" xfId="0" applyFont="1"/>
    <xf numFmtId="0" fontId="0" fillId="0" borderId="0" xfId="0" applyAlignment="1">
      <alignment horizontal="left"/>
    </xf>
    <xf numFmtId="0" fontId="1" fillId="2" borderId="1" xfId="0" applyFont="1" applyFill="1" applyBorder="1"/>
    <xf numFmtId="0" fontId="0" fillId="2" borderId="2" xfId="0" applyFill="1" applyBorder="1"/>
    <xf numFmtId="0" fontId="0" fillId="2" borderId="3" xfId="0" applyFill="1" applyBorder="1"/>
    <xf numFmtId="0" fontId="0" fillId="3" borderId="4" xfId="0" applyFill="1" applyBorder="1"/>
    <xf numFmtId="0" fontId="0" fillId="3" borderId="0" xfId="0" applyFill="1"/>
    <xf numFmtId="0" fontId="0" fillId="3" borderId="5" xfId="0" applyFill="1" applyBorder="1"/>
    <xf numFmtId="0" fontId="1" fillId="3" borderId="6" xfId="0" applyFont="1" applyFill="1" applyBorder="1"/>
    <xf numFmtId="0" fontId="0" fillId="3" borderId="7" xfId="0" applyFill="1" applyBorder="1"/>
    <xf numFmtId="0" fontId="0" fillId="3" borderId="8" xfId="0" applyFill="1" applyBorder="1"/>
    <xf numFmtId="0" fontId="1" fillId="2" borderId="13" xfId="0" applyFont="1" applyFill="1" applyBorder="1"/>
    <xf numFmtId="0" fontId="0" fillId="2" borderId="14" xfId="0" applyFill="1" applyBorder="1" applyAlignment="1">
      <alignment horizontal="center" wrapText="1"/>
    </xf>
    <xf numFmtId="0" fontId="0" fillId="3" borderId="16" xfId="0" applyFill="1" applyBorder="1" applyAlignment="1">
      <alignment horizontal="center" wrapText="1"/>
    </xf>
    <xf numFmtId="0" fontId="0" fillId="0" borderId="17" xfId="0" applyBorder="1" applyAlignment="1">
      <alignment horizontal="center"/>
    </xf>
    <xf numFmtId="0" fontId="0" fillId="2" borderId="18" xfId="0" applyFill="1" applyBorder="1" applyAlignment="1">
      <alignment horizontal="center" wrapText="1"/>
    </xf>
    <xf numFmtId="0" fontId="0" fillId="0" borderId="4" xfId="0" applyBorder="1" applyAlignment="1">
      <alignment horizontal="center"/>
    </xf>
    <xf numFmtId="0" fontId="0" fillId="0" borderId="0" xfId="0" applyAlignment="1">
      <alignment horizontal="center"/>
    </xf>
    <xf numFmtId="3" fontId="0" fillId="0" borderId="0" xfId="0" applyNumberFormat="1" applyAlignment="1">
      <alignment horizontal="center"/>
    </xf>
    <xf numFmtId="9" fontId="0" fillId="0" borderId="0" xfId="0" applyNumberFormat="1" applyAlignment="1">
      <alignment horizontal="center"/>
    </xf>
    <xf numFmtId="0" fontId="0" fillId="4" borderId="20" xfId="0" applyFill="1" applyBorder="1"/>
    <xf numFmtId="0" fontId="0" fillId="0" borderId="21" xfId="0" applyBorder="1"/>
    <xf numFmtId="0" fontId="0" fillId="0" borderId="22" xfId="0" applyBorder="1"/>
    <xf numFmtId="0" fontId="0" fillId="0" borderId="4" xfId="0" applyBorder="1"/>
    <xf numFmtId="0" fontId="0" fillId="0" borderId="5" xfId="0" applyBorder="1"/>
    <xf numFmtId="0" fontId="0" fillId="0" borderId="0" xfId="0" applyAlignment="1">
      <alignment horizontal="center" wrapText="1"/>
    </xf>
    <xf numFmtId="0" fontId="0" fillId="0" borderId="4" xfId="0" applyBorder="1" applyAlignment="1">
      <alignment horizontal="center" wrapText="1"/>
    </xf>
    <xf numFmtId="0" fontId="0" fillId="0" borderId="5" xfId="0" applyBorder="1" applyAlignment="1">
      <alignment horizontal="center" wrapText="1"/>
    </xf>
    <xf numFmtId="2" fontId="0" fillId="0" borderId="5" xfId="0" applyNumberFormat="1" applyBorder="1" applyAlignment="1">
      <alignment horizontal="center"/>
    </xf>
    <xf numFmtId="0" fontId="0" fillId="2" borderId="4" xfId="0" applyFill="1" applyBorder="1"/>
    <xf numFmtId="0" fontId="0" fillId="2" borderId="0" xfId="0" applyFill="1"/>
    <xf numFmtId="0" fontId="0" fillId="2" borderId="0" xfId="0" applyFill="1" applyAlignment="1">
      <alignment horizontal="center"/>
    </xf>
    <xf numFmtId="0" fontId="0" fillId="2" borderId="5" xfId="0" applyFill="1" applyBorder="1" applyAlignment="1">
      <alignment horizontal="center"/>
    </xf>
    <xf numFmtId="2" fontId="0" fillId="0" borderId="0" xfId="0" applyNumberFormat="1" applyAlignment="1">
      <alignment horizontal="center"/>
    </xf>
    <xf numFmtId="0" fontId="0" fillId="0" borderId="5" xfId="0" applyBorder="1" applyAlignment="1">
      <alignment horizontal="center"/>
    </xf>
    <xf numFmtId="2" fontId="0" fillId="2" borderId="0" xfId="0" applyNumberFormat="1" applyFill="1" applyAlignment="1">
      <alignment horizontal="center"/>
    </xf>
    <xf numFmtId="0" fontId="0" fillId="0" borderId="6" xfId="0" applyBorder="1"/>
    <xf numFmtId="0" fontId="0" fillId="0" borderId="7" xfId="0" applyBorder="1"/>
    <xf numFmtId="0" fontId="0" fillId="0" borderId="8" xfId="0" applyBorder="1"/>
    <xf numFmtId="0" fontId="0" fillId="0" borderId="4" xfId="0" applyBorder="1" applyAlignment="1">
      <alignment wrapText="1"/>
    </xf>
    <xf numFmtId="0" fontId="0" fillId="0" borderId="6" xfId="0" applyBorder="1" applyAlignment="1">
      <alignment wrapText="1"/>
    </xf>
    <xf numFmtId="0" fontId="5" fillId="5" borderId="0" xfId="0" applyFont="1" applyFill="1" applyAlignment="1">
      <alignment horizontal="left"/>
    </xf>
    <xf numFmtId="0" fontId="0" fillId="5" borderId="0" xfId="0" applyFill="1"/>
    <xf numFmtId="0" fontId="0" fillId="5" borderId="0" xfId="0" applyFill="1" applyAlignment="1">
      <alignment horizontal="left"/>
    </xf>
    <xf numFmtId="0" fontId="6" fillId="5" borderId="21" xfId="0" applyFont="1" applyFill="1" applyBorder="1" applyAlignment="1">
      <alignment horizontal="left" vertical="center" wrapText="1"/>
    </xf>
    <xf numFmtId="0" fontId="6" fillId="5" borderId="0" xfId="0" applyFont="1" applyFill="1" applyAlignment="1">
      <alignment horizontal="left" vertical="center" wrapText="1"/>
    </xf>
    <xf numFmtId="0" fontId="6" fillId="5" borderId="20" xfId="0" applyFont="1" applyFill="1" applyBorder="1" applyAlignment="1">
      <alignment horizontal="center" vertical="center" wrapText="1"/>
    </xf>
    <xf numFmtId="0" fontId="6" fillId="5" borderId="21" xfId="0" applyFont="1" applyFill="1" applyBorder="1" applyAlignment="1">
      <alignment horizontal="center" vertical="center" wrapText="1"/>
    </xf>
    <xf numFmtId="0" fontId="6" fillId="5" borderId="22" xfId="0" applyFont="1" applyFill="1" applyBorder="1" applyAlignment="1">
      <alignment horizontal="center" vertical="center" wrapText="1"/>
    </xf>
    <xf numFmtId="0" fontId="6" fillId="5" borderId="7" xfId="0" applyFont="1" applyFill="1" applyBorder="1" applyAlignment="1">
      <alignment horizontal="left" vertical="center" wrapText="1"/>
    </xf>
    <xf numFmtId="0" fontId="6" fillId="5" borderId="6" xfId="0" applyFont="1" applyFill="1" applyBorder="1" applyAlignment="1">
      <alignment horizontal="center" vertical="center" wrapText="1"/>
    </xf>
    <xf numFmtId="0" fontId="6" fillId="5" borderId="7" xfId="0" applyFont="1" applyFill="1" applyBorder="1" applyAlignment="1">
      <alignment horizontal="center" vertical="center" wrapText="1"/>
    </xf>
    <xf numFmtId="0" fontId="6" fillId="5" borderId="8" xfId="0" applyFont="1" applyFill="1" applyBorder="1" applyAlignment="1">
      <alignment horizontal="center" vertical="center" wrapText="1"/>
    </xf>
    <xf numFmtId="0" fontId="11" fillId="0" borderId="0" xfId="1" applyFont="1"/>
    <xf numFmtId="0" fontId="10" fillId="0" borderId="0" xfId="1"/>
    <xf numFmtId="0" fontId="6" fillId="0" borderId="27" xfId="0" applyFont="1" applyBorder="1" applyAlignment="1">
      <alignment horizontal="left" vertical="center" wrapText="1"/>
    </xf>
    <xf numFmtId="0" fontId="6" fillId="0" borderId="24" xfId="0" applyFont="1" applyBorder="1" applyAlignment="1">
      <alignment horizontal="center" vertical="center" wrapText="1"/>
    </xf>
    <xf numFmtId="165" fontId="6" fillId="0" borderId="24" xfId="0" applyNumberFormat="1" applyFont="1" applyBorder="1" applyAlignment="1">
      <alignment horizontal="center" vertical="center" wrapText="1"/>
    </xf>
    <xf numFmtId="0" fontId="6" fillId="0" borderId="26" xfId="0" applyFont="1" applyBorder="1" applyAlignment="1">
      <alignment horizontal="center" vertical="center" wrapText="1"/>
    </xf>
    <xf numFmtId="0" fontId="6" fillId="0" borderId="23" xfId="0" applyFont="1" applyBorder="1" applyAlignment="1">
      <alignment horizontal="center" vertical="center" wrapText="1"/>
    </xf>
    <xf numFmtId="0" fontId="12" fillId="0" borderId="0" xfId="0" applyFont="1"/>
    <xf numFmtId="0" fontId="13" fillId="6" borderId="27" xfId="0" applyFont="1" applyFill="1" applyBorder="1" applyAlignment="1">
      <alignment horizontal="left" vertical="center" wrapText="1"/>
    </xf>
    <xf numFmtId="0" fontId="13" fillId="6" borderId="27" xfId="0" applyFont="1" applyFill="1" applyBorder="1" applyAlignment="1">
      <alignment horizontal="center" vertical="center" wrapText="1"/>
    </xf>
    <xf numFmtId="0" fontId="11" fillId="0" borderId="19" xfId="1" applyFont="1" applyBorder="1" applyAlignment="1">
      <alignment vertical="center"/>
    </xf>
    <xf numFmtId="0" fontId="14" fillId="0" borderId="19" xfId="1" applyFont="1" applyBorder="1" applyAlignment="1">
      <alignment horizontal="center" vertical="center" wrapText="1"/>
    </xf>
    <xf numFmtId="0" fontId="15" fillId="0" borderId="5" xfId="0" applyFont="1" applyBorder="1" applyAlignment="1">
      <alignment horizontal="left" vertical="center" wrapText="1"/>
    </xf>
    <xf numFmtId="0" fontId="15" fillId="0" borderId="0" xfId="0" applyFont="1" applyAlignment="1">
      <alignment horizontal="center" vertical="center" wrapText="1"/>
    </xf>
    <xf numFmtId="165" fontId="15" fillId="0" borderId="0" xfId="0" applyNumberFormat="1" applyFont="1" applyAlignment="1">
      <alignment horizontal="center" vertical="center" wrapText="1"/>
    </xf>
    <xf numFmtId="0" fontId="15" fillId="0" borderId="5" xfId="0" applyFont="1" applyBorder="1" applyAlignment="1">
      <alignment horizontal="center" vertical="center" wrapText="1"/>
    </xf>
    <xf numFmtId="0" fontId="13" fillId="6" borderId="0" xfId="0" applyFont="1" applyFill="1" applyAlignment="1">
      <alignment horizontal="left" vertical="center" wrapText="1"/>
    </xf>
    <xf numFmtId="0" fontId="13" fillId="6" borderId="0" xfId="0" applyFont="1" applyFill="1" applyAlignment="1">
      <alignment horizontal="center" vertical="center" wrapText="1"/>
    </xf>
    <xf numFmtId="0" fontId="14" fillId="0" borderId="19" xfId="1" applyFont="1" applyBorder="1" applyAlignment="1">
      <alignment horizontal="center" vertical="center"/>
    </xf>
    <xf numFmtId="0" fontId="16" fillId="0" borderId="19" xfId="1" applyFont="1" applyBorder="1" applyAlignment="1">
      <alignment horizontal="center" vertical="center" wrapText="1"/>
    </xf>
    <xf numFmtId="0" fontId="0" fillId="7" borderId="0" xfId="0" applyFill="1"/>
    <xf numFmtId="0" fontId="18" fillId="0" borderId="19" xfId="1" applyFont="1" applyBorder="1" applyAlignment="1">
      <alignment wrapText="1"/>
    </xf>
    <xf numFmtId="0" fontId="18" fillId="0" borderId="19" xfId="1" applyFont="1" applyBorder="1" applyAlignment="1">
      <alignment horizontal="center" wrapText="1"/>
    </xf>
    <xf numFmtId="0" fontId="15" fillId="0" borderId="5" xfId="0" applyFont="1" applyBorder="1"/>
    <xf numFmtId="0" fontId="15" fillId="3" borderId="0" xfId="0" applyFont="1" applyFill="1" applyAlignment="1">
      <alignment horizontal="center" vertical="center" wrapText="1"/>
    </xf>
    <xf numFmtId="0" fontId="15" fillId="3" borderId="5" xfId="0" applyFont="1" applyFill="1" applyBorder="1" applyAlignment="1">
      <alignment horizontal="center" vertical="center" wrapText="1"/>
    </xf>
    <xf numFmtId="0" fontId="0" fillId="7" borderId="0" xfId="0" applyFill="1" applyAlignment="1">
      <alignment horizontal="center"/>
    </xf>
    <xf numFmtId="0" fontId="11" fillId="0" borderId="19" xfId="1" applyFont="1" applyBorder="1" applyAlignment="1">
      <alignment horizontal="left" wrapText="1"/>
    </xf>
    <xf numFmtId="0" fontId="19" fillId="0" borderId="0" xfId="0" applyFont="1" applyAlignment="1">
      <alignment horizontal="center" vertical="center" wrapText="1"/>
    </xf>
    <xf numFmtId="0" fontId="15" fillId="0" borderId="5" xfId="0" applyFont="1" applyBorder="1" applyAlignment="1">
      <alignment vertical="center"/>
    </xf>
    <xf numFmtId="0" fontId="15" fillId="4" borderId="5" xfId="0" applyFont="1" applyFill="1" applyBorder="1" applyAlignment="1">
      <alignment horizontal="left" vertical="center" wrapText="1"/>
    </xf>
    <xf numFmtId="0" fontId="15" fillId="4" borderId="0" xfId="0" applyFont="1" applyFill="1" applyAlignment="1">
      <alignment horizontal="center" vertical="center" wrapText="1"/>
    </xf>
    <xf numFmtId="165" fontId="15" fillId="4" borderId="0" xfId="0" applyNumberFormat="1" applyFont="1" applyFill="1" applyAlignment="1">
      <alignment horizontal="center" vertical="center" wrapText="1"/>
    </xf>
    <xf numFmtId="0" fontId="15" fillId="4" borderId="5" xfId="0" applyFont="1" applyFill="1" applyBorder="1" applyAlignment="1">
      <alignment horizontal="center" vertical="center" wrapText="1"/>
    </xf>
    <xf numFmtId="0" fontId="0" fillId="4" borderId="0" xfId="0" applyFill="1"/>
    <xf numFmtId="0" fontId="0" fillId="4" borderId="0" xfId="0" applyFill="1" applyAlignment="1">
      <alignment horizontal="center"/>
    </xf>
    <xf numFmtId="0" fontId="15" fillId="8" borderId="5" xfId="0" applyFont="1" applyFill="1" applyBorder="1" applyAlignment="1">
      <alignment horizontal="center" vertical="center" wrapText="1"/>
    </xf>
    <xf numFmtId="0" fontId="19" fillId="0" borderId="5" xfId="0" applyFont="1" applyBorder="1" applyAlignment="1">
      <alignment horizontal="left" vertical="center" wrapText="1"/>
    </xf>
    <xf numFmtId="0" fontId="19" fillId="0" borderId="5" xfId="0" applyFont="1" applyBorder="1" applyAlignment="1">
      <alignment horizontal="center" vertical="center" wrapText="1"/>
    </xf>
    <xf numFmtId="0" fontId="20" fillId="0" borderId="0" xfId="0" applyFont="1"/>
    <xf numFmtId="0" fontId="20" fillId="0" borderId="0" xfId="0" applyFont="1" applyAlignment="1">
      <alignment horizontal="center"/>
    </xf>
    <xf numFmtId="0" fontId="0" fillId="0" borderId="0" xfId="0" applyAlignment="1">
      <alignment wrapText="1"/>
    </xf>
    <xf numFmtId="0" fontId="21" fillId="0" borderId="0" xfId="0" applyFont="1" applyAlignment="1">
      <alignment horizontal="center" vertical="center" wrapText="1"/>
    </xf>
    <xf numFmtId="0" fontId="19" fillId="8" borderId="0" xfId="0" applyFont="1" applyFill="1" applyAlignment="1">
      <alignment horizontal="center" vertical="center" wrapText="1"/>
    </xf>
    <xf numFmtId="165" fontId="15" fillId="8" borderId="0" xfId="0" applyNumberFormat="1" applyFont="1" applyFill="1" applyAlignment="1">
      <alignment horizontal="center" vertical="center" wrapText="1"/>
    </xf>
    <xf numFmtId="0" fontId="19" fillId="4" borderId="0" xfId="0" applyFont="1" applyFill="1" applyAlignment="1">
      <alignment horizontal="center" vertical="center" wrapText="1"/>
    </xf>
    <xf numFmtId="0" fontId="15" fillId="0" borderId="0" xfId="0" applyFont="1" applyAlignment="1">
      <alignment horizontal="left" vertical="center" wrapText="1"/>
    </xf>
    <xf numFmtId="0" fontId="15" fillId="0" borderId="0" xfId="0" applyFont="1"/>
    <xf numFmtId="0" fontId="15" fillId="8" borderId="0" xfId="0" applyFont="1" applyFill="1" applyAlignment="1">
      <alignment horizontal="center" vertical="center" wrapText="1"/>
    </xf>
    <xf numFmtId="0" fontId="0" fillId="8" borderId="0" xfId="0" applyFill="1"/>
    <xf numFmtId="0" fontId="0" fillId="9" borderId="0" xfId="0" applyFill="1"/>
    <xf numFmtId="0" fontId="22" fillId="0" borderId="0" xfId="2"/>
    <xf numFmtId="0" fontId="22" fillId="3" borderId="0" xfId="2" applyFill="1" applyBorder="1"/>
    <xf numFmtId="0" fontId="0" fillId="3" borderId="6" xfId="0" applyFill="1" applyBorder="1"/>
    <xf numFmtId="0" fontId="23" fillId="0" borderId="0" xfId="0" applyFont="1" applyAlignment="1">
      <alignment vertical="center" wrapText="1"/>
    </xf>
    <xf numFmtId="0" fontId="0" fillId="10" borderId="31" xfId="0" applyFill="1" applyBorder="1"/>
    <xf numFmtId="0" fontId="0" fillId="10" borderId="32" xfId="0" applyFill="1" applyBorder="1"/>
    <xf numFmtId="0" fontId="0" fillId="0" borderId="33" xfId="0" applyBorder="1"/>
    <xf numFmtId="10" fontId="23" fillId="0" borderId="40" xfId="0" applyNumberFormat="1" applyFont="1" applyBorder="1" applyAlignment="1">
      <alignment vertical="center" wrapText="1"/>
    </xf>
    <xf numFmtId="9" fontId="23" fillId="0" borderId="40" xfId="0" applyNumberFormat="1" applyFont="1" applyBorder="1" applyAlignment="1">
      <alignment vertical="center" wrapText="1"/>
    </xf>
    <xf numFmtId="0" fontId="23" fillId="0" borderId="40" xfId="0" applyFont="1" applyBorder="1" applyAlignment="1">
      <alignment vertical="center" wrapText="1"/>
    </xf>
    <xf numFmtId="0" fontId="24" fillId="0" borderId="40" xfId="0" applyFont="1" applyBorder="1" applyAlignment="1">
      <alignment vertical="center" wrapText="1"/>
    </xf>
    <xf numFmtId="0" fontId="0" fillId="3" borderId="4" xfId="0" quotePrefix="1" applyFill="1" applyBorder="1"/>
    <xf numFmtId="0" fontId="1" fillId="9" borderId="43" xfId="0" applyFont="1" applyFill="1" applyBorder="1"/>
    <xf numFmtId="0" fontId="1" fillId="9" borderId="15" xfId="0" applyFont="1" applyFill="1" applyBorder="1"/>
    <xf numFmtId="0" fontId="1" fillId="9" borderId="18" xfId="0" applyFont="1" applyFill="1" applyBorder="1" applyAlignment="1">
      <alignment horizontal="center" wrapText="1"/>
    </xf>
    <xf numFmtId="0" fontId="1" fillId="3" borderId="49" xfId="0" applyFont="1" applyFill="1" applyBorder="1"/>
    <xf numFmtId="166" fontId="0" fillId="3" borderId="50" xfId="0" applyNumberFormat="1" applyFill="1" applyBorder="1" applyAlignment="1">
      <alignment horizontal="center"/>
    </xf>
    <xf numFmtId="166" fontId="0" fillId="3" borderId="0" xfId="0" applyNumberFormat="1" applyFill="1" applyAlignment="1">
      <alignment horizontal="center"/>
    </xf>
    <xf numFmtId="0" fontId="0" fillId="3" borderId="51" xfId="0" applyFill="1" applyBorder="1"/>
    <xf numFmtId="0" fontId="0" fillId="0" borderId="49" xfId="0" applyBorder="1"/>
    <xf numFmtId="0" fontId="0" fillId="0" borderId="51" xfId="0" applyBorder="1" applyAlignment="1">
      <alignment horizontal="center"/>
    </xf>
    <xf numFmtId="0" fontId="0" fillId="3" borderId="51" xfId="0" applyFill="1" applyBorder="1" applyAlignment="1">
      <alignment horizontal="center"/>
    </xf>
    <xf numFmtId="166" fontId="0" fillId="0" borderId="50" xfId="0" applyNumberFormat="1" applyBorder="1" applyAlignment="1">
      <alignment horizontal="center"/>
    </xf>
    <xf numFmtId="166" fontId="0" fillId="0" borderId="0" xfId="0" applyNumberFormat="1" applyAlignment="1">
      <alignment horizontal="center"/>
    </xf>
    <xf numFmtId="0" fontId="1" fillId="9" borderId="19" xfId="0" applyFont="1" applyFill="1" applyBorder="1"/>
    <xf numFmtId="166" fontId="1" fillId="9" borderId="44" xfId="0" applyNumberFormat="1" applyFont="1" applyFill="1" applyBorder="1" applyAlignment="1">
      <alignment horizontal="center" wrapText="1"/>
    </xf>
    <xf numFmtId="166" fontId="1" fillId="9" borderId="45" xfId="0" applyNumberFormat="1" applyFont="1" applyFill="1" applyBorder="1" applyAlignment="1">
      <alignment horizontal="center" wrapText="1"/>
    </xf>
    <xf numFmtId="0" fontId="1" fillId="9" borderId="46" xfId="0" applyFont="1" applyFill="1" applyBorder="1" applyAlignment="1">
      <alignment horizontal="center" wrapText="1"/>
    </xf>
    <xf numFmtId="167" fontId="0" fillId="0" borderId="0" xfId="0" applyNumberFormat="1" applyAlignment="1">
      <alignment horizontal="center"/>
    </xf>
    <xf numFmtId="0" fontId="0" fillId="0" borderId="51" xfId="0" applyBorder="1" applyAlignment="1">
      <alignment horizontal="center" vertical="center"/>
    </xf>
    <xf numFmtId="0" fontId="0" fillId="0" borderId="51" xfId="0" applyBorder="1" applyAlignment="1">
      <alignment vertical="center"/>
    </xf>
    <xf numFmtId="167" fontId="0" fillId="3" borderId="0" xfId="0" applyNumberFormat="1" applyFill="1" applyAlignment="1">
      <alignment horizontal="center"/>
    </xf>
    <xf numFmtId="0" fontId="0" fillId="0" borderId="15" xfId="0" applyBorder="1"/>
    <xf numFmtId="166" fontId="0" fillId="0" borderId="47" xfId="0" applyNumberFormat="1" applyBorder="1" applyAlignment="1">
      <alignment horizontal="center"/>
    </xf>
    <xf numFmtId="167" fontId="0" fillId="0" borderId="48" xfId="0" applyNumberFormat="1" applyBorder="1" applyAlignment="1">
      <alignment horizontal="center"/>
    </xf>
    <xf numFmtId="0" fontId="0" fillId="0" borderId="18" xfId="0" applyBorder="1" applyAlignment="1">
      <alignment horizontal="center"/>
    </xf>
    <xf numFmtId="166" fontId="0" fillId="0" borderId="48" xfId="0" applyNumberFormat="1" applyBorder="1" applyAlignment="1">
      <alignment horizontal="center"/>
    </xf>
    <xf numFmtId="168" fontId="0" fillId="0" borderId="0" xfId="3" applyNumberFormat="1" applyFont="1"/>
    <xf numFmtId="10" fontId="0" fillId="0" borderId="0" xfId="4" applyNumberFormat="1" applyFont="1"/>
    <xf numFmtId="10" fontId="0" fillId="0" borderId="0" xfId="0" applyNumberFormat="1"/>
    <xf numFmtId="168" fontId="0" fillId="0" borderId="0" xfId="0" applyNumberFormat="1"/>
    <xf numFmtId="0" fontId="0" fillId="2" borderId="48" xfId="0" applyFill="1" applyBorder="1" applyAlignment="1">
      <alignment horizontal="center" wrapText="1"/>
    </xf>
    <xf numFmtId="0" fontId="0" fillId="3" borderId="4" xfId="0" applyFill="1" applyBorder="1" applyAlignment="1">
      <alignment horizontal="center" wrapText="1"/>
    </xf>
    <xf numFmtId="0" fontId="0" fillId="2" borderId="0" xfId="0" applyFill="1" applyAlignment="1">
      <alignment horizontal="center" wrapText="1"/>
    </xf>
    <xf numFmtId="0" fontId="0" fillId="3" borderId="52" xfId="0" applyFill="1" applyBorder="1" applyAlignment="1">
      <alignment horizontal="center" wrapText="1"/>
    </xf>
    <xf numFmtId="0" fontId="0" fillId="3" borderId="48" xfId="0" applyFill="1" applyBorder="1" applyAlignment="1">
      <alignment horizontal="center" wrapText="1"/>
    </xf>
    <xf numFmtId="0" fontId="26" fillId="0" borderId="4" xfId="0" applyFont="1" applyBorder="1" applyAlignment="1">
      <alignment horizontal="center"/>
    </xf>
    <xf numFmtId="4" fontId="0" fillId="0" borderId="0" xfId="0" applyNumberFormat="1" applyAlignment="1">
      <alignment horizontal="center"/>
    </xf>
    <xf numFmtId="0" fontId="26" fillId="0" borderId="0" xfId="0" applyFont="1" applyAlignment="1">
      <alignment horizontal="center"/>
    </xf>
    <xf numFmtId="4" fontId="20" fillId="0" borderId="0" xfId="0" applyNumberFormat="1" applyFont="1" applyAlignment="1">
      <alignment horizontal="center"/>
    </xf>
    <xf numFmtId="3" fontId="20" fillId="0" borderId="0" xfId="0" applyNumberFormat="1" applyFont="1" applyAlignment="1">
      <alignment horizontal="center"/>
    </xf>
    <xf numFmtId="0" fontId="0" fillId="0" borderId="6" xfId="0" applyBorder="1" applyAlignment="1">
      <alignment horizontal="center"/>
    </xf>
    <xf numFmtId="0" fontId="0" fillId="0" borderId="7" xfId="0" applyBorder="1" applyAlignment="1">
      <alignment horizontal="center"/>
    </xf>
    <xf numFmtId="3" fontId="0" fillId="0" borderId="7" xfId="0" applyNumberFormat="1" applyBorder="1" applyAlignment="1">
      <alignment horizontal="center"/>
    </xf>
    <xf numFmtId="0" fontId="26" fillId="0" borderId="6" xfId="0" applyFont="1" applyBorder="1" applyAlignment="1">
      <alignment horizontal="center"/>
    </xf>
    <xf numFmtId="0" fontId="26" fillId="0" borderId="7" xfId="0" applyFont="1" applyBorder="1" applyAlignment="1">
      <alignment horizontal="center"/>
    </xf>
    <xf numFmtId="0" fontId="0" fillId="0" borderId="8" xfId="0" applyBorder="1" applyAlignment="1">
      <alignment horizontal="center"/>
    </xf>
    <xf numFmtId="0" fontId="0" fillId="3" borderId="0" xfId="0" applyFill="1" applyAlignment="1">
      <alignment horizontal="center" wrapText="1"/>
    </xf>
    <xf numFmtId="0" fontId="0" fillId="2" borderId="5" xfId="0" applyFill="1" applyBorder="1" applyAlignment="1">
      <alignment horizontal="center" wrapText="1"/>
    </xf>
    <xf numFmtId="0" fontId="0" fillId="2" borderId="52" xfId="0" applyFill="1" applyBorder="1" applyAlignment="1">
      <alignment horizontal="center" wrapText="1"/>
    </xf>
    <xf numFmtId="164" fontId="26" fillId="0" borderId="0" xfId="4" applyNumberFormat="1" applyFont="1" applyBorder="1" applyAlignment="1">
      <alignment horizontal="center"/>
    </xf>
    <xf numFmtId="164" fontId="26" fillId="0" borderId="7" xfId="4" applyNumberFormat="1" applyFont="1" applyBorder="1" applyAlignment="1">
      <alignment horizontal="center"/>
    </xf>
    <xf numFmtId="0" fontId="22" fillId="3" borderId="7" xfId="2" applyFill="1" applyBorder="1"/>
    <xf numFmtId="0" fontId="0" fillId="3" borderId="0" xfId="0" applyFill="1" applyAlignment="1">
      <alignment horizontal="center" vertical="center" wrapText="1"/>
    </xf>
    <xf numFmtId="0" fontId="0" fillId="2" borderId="0" xfId="0" applyFill="1" applyAlignment="1">
      <alignment horizontal="center" vertical="center" wrapText="1"/>
    </xf>
    <xf numFmtId="0" fontId="0" fillId="11" borderId="0" xfId="0" applyFill="1" applyAlignment="1">
      <alignment horizontal="center" vertical="center" wrapText="1"/>
    </xf>
    <xf numFmtId="9" fontId="0" fillId="0" borderId="0" xfId="4" applyFont="1" applyAlignment="1">
      <alignment horizontal="center"/>
    </xf>
    <xf numFmtId="169" fontId="0" fillId="0" borderId="0" xfId="4" applyNumberFormat="1" applyFont="1" applyAlignment="1">
      <alignment horizontal="center"/>
    </xf>
    <xf numFmtId="0" fontId="0" fillId="12" borderId="0" xfId="0" applyFill="1" applyAlignment="1">
      <alignment horizontal="center" vertical="center" wrapText="1"/>
    </xf>
    <xf numFmtId="170" fontId="0" fillId="0" borderId="0" xfId="0" applyNumberFormat="1" applyAlignment="1">
      <alignment horizontal="center"/>
    </xf>
    <xf numFmtId="3" fontId="0" fillId="0" borderId="0" xfId="4" applyNumberFormat="1" applyFont="1" applyAlignment="1">
      <alignment horizontal="center"/>
    </xf>
    <xf numFmtId="171" fontId="0" fillId="0" borderId="0" xfId="4" applyNumberFormat="1" applyFont="1" applyAlignment="1">
      <alignment horizontal="center"/>
    </xf>
    <xf numFmtId="164" fontId="0" fillId="0" borderId="0" xfId="4" applyNumberFormat="1" applyFont="1" applyAlignment="1">
      <alignment horizontal="center"/>
    </xf>
    <xf numFmtId="0" fontId="1" fillId="0" borderId="27" xfId="0" applyFont="1" applyBorder="1" applyAlignment="1">
      <alignment horizontal="center"/>
    </xf>
    <xf numFmtId="0" fontId="1" fillId="0" borderId="27" xfId="0" applyFont="1" applyBorder="1"/>
    <xf numFmtId="0" fontId="0" fillId="13" borderId="0" xfId="0" applyFill="1" applyAlignment="1">
      <alignment horizontal="center" vertical="center" wrapText="1"/>
    </xf>
    <xf numFmtId="0" fontId="0" fillId="0" borderId="0" xfId="0" applyAlignment="1">
      <alignment horizontal="center" vertical="center" wrapText="1"/>
    </xf>
    <xf numFmtId="4" fontId="0" fillId="0" borderId="0" xfId="4" applyNumberFormat="1" applyFont="1" applyAlignment="1">
      <alignment horizontal="center"/>
    </xf>
    <xf numFmtId="4" fontId="0" fillId="0" borderId="0" xfId="4" applyNumberFormat="1" applyFont="1" applyAlignment="1">
      <alignment horizontal="left"/>
    </xf>
    <xf numFmtId="0" fontId="1" fillId="2" borderId="20" xfId="0" applyFont="1" applyFill="1" applyBorder="1"/>
    <xf numFmtId="0" fontId="0" fillId="2" borderId="21" xfId="0" applyFill="1" applyBorder="1"/>
    <xf numFmtId="0" fontId="0" fillId="2" borderId="22" xfId="0" applyFill="1" applyBorder="1"/>
    <xf numFmtId="0" fontId="0" fillId="3" borderId="23" xfId="0" applyFill="1" applyBorder="1"/>
    <xf numFmtId="0" fontId="0" fillId="3" borderId="24" xfId="0" applyFill="1" applyBorder="1"/>
    <xf numFmtId="0" fontId="0" fillId="3" borderId="26" xfId="0" applyFill="1" applyBorder="1"/>
    <xf numFmtId="9" fontId="30" fillId="5" borderId="0" xfId="5" applyFont="1" applyFill="1"/>
    <xf numFmtId="0" fontId="0" fillId="16" borderId="0" xfId="0" applyFill="1"/>
    <xf numFmtId="0" fontId="1" fillId="3" borderId="0" xfId="0" applyFont="1" applyFill="1"/>
    <xf numFmtId="0" fontId="0" fillId="0" borderId="27" xfId="0" applyBorder="1"/>
    <xf numFmtId="0" fontId="2" fillId="0" borderId="8" xfId="0" applyFont="1" applyBorder="1"/>
    <xf numFmtId="20" fontId="0" fillId="0" borderId="23" xfId="0" applyNumberFormat="1" applyBorder="1"/>
    <xf numFmtId="0" fontId="0" fillId="0" borderId="53" xfId="0" applyBorder="1"/>
    <xf numFmtId="20" fontId="0" fillId="0" borderId="20" xfId="0" applyNumberFormat="1" applyBorder="1"/>
    <xf numFmtId="20" fontId="0" fillId="0" borderId="0" xfId="0" applyNumberFormat="1"/>
    <xf numFmtId="20" fontId="0" fillId="0" borderId="4" xfId="0" applyNumberFormat="1" applyBorder="1"/>
    <xf numFmtId="0" fontId="0" fillId="0" borderId="0" xfId="0" applyAlignment="1">
      <alignment vertical="center"/>
    </xf>
    <xf numFmtId="0" fontId="0" fillId="0" borderId="54" xfId="0" applyBorder="1"/>
    <xf numFmtId="20" fontId="0" fillId="0" borderId="6" xfId="0" applyNumberFormat="1" applyBorder="1"/>
    <xf numFmtId="0" fontId="1" fillId="0" borderId="55" xfId="0" applyFont="1" applyBorder="1"/>
    <xf numFmtId="0" fontId="1" fillId="0" borderId="56" xfId="0" applyFont="1" applyBorder="1"/>
    <xf numFmtId="0" fontId="1" fillId="0" borderId="57" xfId="0" applyFont="1" applyBorder="1"/>
    <xf numFmtId="0" fontId="0" fillId="3" borderId="58" xfId="0" applyFill="1" applyBorder="1"/>
    <xf numFmtId="0" fontId="2" fillId="0" borderId="59" xfId="0" applyFont="1" applyBorder="1"/>
    <xf numFmtId="0" fontId="0" fillId="0" borderId="14" xfId="0" applyBorder="1"/>
    <xf numFmtId="0" fontId="0" fillId="0" borderId="16" xfId="0" applyBorder="1"/>
    <xf numFmtId="0" fontId="0" fillId="0" borderId="58" xfId="0" applyBorder="1"/>
    <xf numFmtId="0" fontId="0" fillId="0" borderId="19" xfId="0" applyBorder="1"/>
    <xf numFmtId="0" fontId="0" fillId="0" borderId="59" xfId="0" applyBorder="1"/>
    <xf numFmtId="0" fontId="0" fillId="0" borderId="60" xfId="0" applyBorder="1"/>
    <xf numFmtId="0" fontId="20" fillId="0" borderId="61" xfId="0" applyFont="1" applyBorder="1"/>
    <xf numFmtId="0" fontId="0" fillId="0" borderId="62" xfId="0" applyBorder="1"/>
    <xf numFmtId="0" fontId="0" fillId="0" borderId="61" xfId="0" applyBorder="1"/>
    <xf numFmtId="0" fontId="1" fillId="0" borderId="20" xfId="0" applyFont="1" applyBorder="1"/>
    <xf numFmtId="0" fontId="1" fillId="0" borderId="21" xfId="0" applyFont="1" applyBorder="1"/>
    <xf numFmtId="0" fontId="1" fillId="0" borderId="22" xfId="0" applyFont="1" applyBorder="1"/>
    <xf numFmtId="0" fontId="0" fillId="0" borderId="9" xfId="0" applyBorder="1"/>
    <xf numFmtId="0" fontId="0" fillId="0" borderId="11" xfId="0" applyBorder="1"/>
    <xf numFmtId="0" fontId="0" fillId="0" borderId="12" xfId="0" applyBorder="1"/>
    <xf numFmtId="0" fontId="1" fillId="0" borderId="0" xfId="0" applyFont="1" applyAlignment="1">
      <alignment horizontal="center" wrapText="1"/>
    </xf>
    <xf numFmtId="0" fontId="0" fillId="3" borderId="0" xfId="0" applyFill="1" applyAlignment="1">
      <alignment horizontal="center" vertical="center"/>
    </xf>
    <xf numFmtId="172" fontId="20" fillId="0" borderId="0" xfId="0" applyNumberFormat="1" applyFont="1" applyAlignment="1">
      <alignment horizontal="center"/>
    </xf>
    <xf numFmtId="0" fontId="2" fillId="0" borderId="0" xfId="0" applyFont="1" applyAlignment="1">
      <alignment horizontal="center"/>
    </xf>
    <xf numFmtId="169" fontId="2" fillId="0" borderId="0" xfId="0" applyNumberFormat="1" applyFont="1" applyAlignment="1">
      <alignment horizontal="center"/>
    </xf>
    <xf numFmtId="0" fontId="0" fillId="17" borderId="67" xfId="0" applyFill="1" applyBorder="1"/>
    <xf numFmtId="0" fontId="31" fillId="17" borderId="68" xfId="0" applyFont="1" applyFill="1" applyBorder="1" applyAlignment="1">
      <alignment vertical="center" wrapText="1"/>
    </xf>
    <xf numFmtId="0" fontId="31" fillId="17" borderId="69" xfId="0" applyFont="1" applyFill="1" applyBorder="1" applyAlignment="1">
      <alignment vertical="center" wrapText="1"/>
    </xf>
    <xf numFmtId="0" fontId="31" fillId="17" borderId="70" xfId="0" applyFont="1" applyFill="1" applyBorder="1" applyAlignment="1">
      <alignment horizontal="center" vertical="center" wrapText="1"/>
    </xf>
    <xf numFmtId="0" fontId="31" fillId="17" borderId="71" xfId="0" applyFont="1" applyFill="1" applyBorder="1" applyAlignment="1">
      <alignment horizontal="center" vertical="center" wrapText="1"/>
    </xf>
    <xf numFmtId="0" fontId="32" fillId="17" borderId="68" xfId="0" applyFont="1" applyFill="1" applyBorder="1" applyAlignment="1">
      <alignment vertical="center" wrapText="1"/>
    </xf>
    <xf numFmtId="0" fontId="32" fillId="17" borderId="70" xfId="0" applyFont="1" applyFill="1" applyBorder="1" applyAlignment="1">
      <alignment vertical="center" wrapText="1"/>
    </xf>
    <xf numFmtId="0" fontId="32" fillId="17" borderId="71" xfId="0" applyFont="1" applyFill="1" applyBorder="1" applyAlignment="1">
      <alignment vertical="center" wrapText="1"/>
    </xf>
    <xf numFmtId="0" fontId="32" fillId="17" borderId="68" xfId="0" applyFont="1" applyFill="1" applyBorder="1" applyAlignment="1">
      <alignment horizontal="center" vertical="center" wrapText="1"/>
    </xf>
    <xf numFmtId="0" fontId="32" fillId="17" borderId="70" xfId="0" applyFont="1" applyFill="1" applyBorder="1" applyAlignment="1">
      <alignment horizontal="center" vertical="center" wrapText="1"/>
    </xf>
    <xf numFmtId="0" fontId="32" fillId="17" borderId="71" xfId="0" applyFont="1" applyFill="1" applyBorder="1" applyAlignment="1">
      <alignment horizontal="center" vertical="center" wrapText="1"/>
    </xf>
    <xf numFmtId="0" fontId="32" fillId="17" borderId="72" xfId="0" applyFont="1" applyFill="1" applyBorder="1" applyAlignment="1">
      <alignment horizontal="center" vertical="center" wrapText="1"/>
    </xf>
    <xf numFmtId="0" fontId="32" fillId="17" borderId="73" xfId="0" applyFont="1" applyFill="1" applyBorder="1" applyAlignment="1">
      <alignment horizontal="center" vertical="center" wrapText="1"/>
    </xf>
    <xf numFmtId="0" fontId="32" fillId="17" borderId="74" xfId="0" applyFont="1" applyFill="1" applyBorder="1" applyAlignment="1">
      <alignment horizontal="center" vertical="center" wrapText="1"/>
    </xf>
    <xf numFmtId="0" fontId="0" fillId="0" borderId="75" xfId="0" applyBorder="1"/>
    <xf numFmtId="0" fontId="0" fillId="0" borderId="76" xfId="0" applyBorder="1"/>
    <xf numFmtId="0" fontId="1" fillId="2" borderId="21" xfId="0" applyFont="1" applyFill="1" applyBorder="1"/>
    <xf numFmtId="0" fontId="1" fillId="2" borderId="22" xfId="0" applyFont="1" applyFill="1" applyBorder="1"/>
    <xf numFmtId="0" fontId="0" fillId="0" borderId="77" xfId="0" applyBorder="1"/>
    <xf numFmtId="0" fontId="0" fillId="3" borderId="20" xfId="0" applyFill="1" applyBorder="1" applyAlignment="1">
      <alignment vertical="center"/>
    </xf>
    <xf numFmtId="0" fontId="0" fillId="3" borderId="21" xfId="0" applyFill="1" applyBorder="1" applyAlignment="1">
      <alignment vertical="center"/>
    </xf>
    <xf numFmtId="0" fontId="0" fillId="3" borderId="22" xfId="0" applyFill="1" applyBorder="1" applyAlignment="1">
      <alignment vertical="center"/>
    </xf>
    <xf numFmtId="0" fontId="0" fillId="0" borderId="51" xfId="0" applyBorder="1"/>
    <xf numFmtId="0" fontId="36" fillId="18" borderId="0" xfId="1" applyFont="1" applyFill="1" applyAlignment="1">
      <alignment vertical="top"/>
    </xf>
    <xf numFmtId="0" fontId="20" fillId="18" borderId="0" xfId="6" applyFont="1" applyFill="1"/>
    <xf numFmtId="0" fontId="20" fillId="5" borderId="0" xfId="6" applyFont="1" applyFill="1"/>
    <xf numFmtId="0" fontId="0" fillId="0" borderId="50" xfId="0" applyBorder="1"/>
    <xf numFmtId="0" fontId="0" fillId="3" borderId="4" xfId="0" applyFill="1" applyBorder="1" applyAlignment="1">
      <alignment vertical="center"/>
    </xf>
    <xf numFmtId="0" fontId="0" fillId="3" borderId="0" xfId="0" applyFill="1" applyAlignment="1">
      <alignment vertical="center"/>
    </xf>
    <xf numFmtId="0" fontId="0" fillId="3" borderId="5" xfId="0" applyFill="1" applyBorder="1" applyAlignment="1">
      <alignment vertical="center"/>
    </xf>
    <xf numFmtId="0" fontId="40" fillId="19" borderId="88" xfId="0" applyFont="1" applyFill="1" applyBorder="1" applyAlignment="1">
      <alignment horizontal="center" vertical="center" wrapText="1"/>
    </xf>
    <xf numFmtId="0" fontId="40" fillId="19" borderId="89" xfId="0" applyFont="1" applyFill="1" applyBorder="1" applyAlignment="1">
      <alignment horizontal="center" vertical="center" wrapText="1"/>
    </xf>
    <xf numFmtId="0" fontId="39" fillId="19" borderId="90" xfId="0" applyFont="1" applyFill="1" applyBorder="1" applyAlignment="1">
      <alignment horizontal="center" vertical="center" wrapText="1"/>
    </xf>
    <xf numFmtId="0" fontId="34" fillId="2" borderId="94" xfId="0" applyFont="1" applyFill="1" applyBorder="1" applyAlignment="1">
      <alignment horizontal="center" vertical="center" wrapText="1"/>
    </xf>
    <xf numFmtId="0" fontId="34" fillId="2" borderId="95" xfId="0" applyFont="1" applyFill="1" applyBorder="1" applyAlignment="1">
      <alignment horizontal="center" vertical="center" wrapText="1"/>
    </xf>
    <xf numFmtId="0" fontId="10" fillId="13" borderId="96" xfId="0" applyFont="1" applyFill="1" applyBorder="1" applyAlignment="1" applyProtection="1">
      <alignment horizontal="center" vertical="center" wrapText="1"/>
      <protection locked="0"/>
    </xf>
    <xf numFmtId="0" fontId="34" fillId="0" borderId="97" xfId="0" applyFont="1" applyBorder="1" applyAlignment="1">
      <alignment vertical="center" wrapText="1"/>
    </xf>
    <xf numFmtId="0" fontId="34" fillId="2" borderId="84" xfId="0" applyFont="1" applyFill="1" applyBorder="1" applyAlignment="1">
      <alignment horizontal="center" vertical="center" wrapText="1"/>
    </xf>
    <xf numFmtId="0" fontId="0" fillId="3" borderId="6" xfId="0" applyFill="1" applyBorder="1" applyAlignment="1">
      <alignment vertical="center"/>
    </xf>
    <xf numFmtId="0" fontId="0" fillId="3" borderId="7" xfId="0" applyFill="1" applyBorder="1" applyAlignment="1">
      <alignment vertical="center"/>
    </xf>
    <xf numFmtId="0" fontId="0" fillId="3" borderId="8" xfId="0" applyFill="1" applyBorder="1" applyAlignment="1">
      <alignment vertical="center"/>
    </xf>
    <xf numFmtId="0" fontId="42" fillId="0" borderId="83" xfId="0" applyFont="1" applyBorder="1" applyAlignment="1">
      <alignment horizontal="center" vertical="center" wrapText="1"/>
    </xf>
    <xf numFmtId="0" fontId="0" fillId="5" borderId="0" xfId="0" applyFill="1" applyAlignment="1">
      <alignment vertical="center"/>
    </xf>
    <xf numFmtId="0" fontId="39" fillId="5" borderId="81" xfId="0" applyFont="1" applyFill="1" applyBorder="1" applyAlignment="1">
      <alignment horizontal="center" vertical="center" wrapText="1"/>
    </xf>
    <xf numFmtId="0" fontId="39" fillId="5" borderId="82" xfId="0" applyFont="1" applyFill="1" applyBorder="1" applyAlignment="1">
      <alignment horizontal="center" vertical="center" wrapText="1"/>
    </xf>
    <xf numFmtId="0" fontId="39" fillId="5" borderId="83" xfId="0" applyFont="1" applyFill="1" applyBorder="1" applyAlignment="1">
      <alignment horizontal="center" vertical="center" wrapText="1"/>
    </xf>
    <xf numFmtId="3" fontId="34" fillId="13" borderId="99" xfId="0" applyNumberFormat="1" applyFont="1" applyFill="1" applyBorder="1" applyAlignment="1">
      <alignment horizontal="center" vertical="center"/>
    </xf>
    <xf numFmtId="0" fontId="34" fillId="13" borderId="99" xfId="0" applyFont="1" applyFill="1" applyBorder="1" applyAlignment="1">
      <alignment horizontal="center" vertical="center"/>
    </xf>
    <xf numFmtId="0" fontId="34" fillId="13" borderId="101" xfId="0" applyFont="1" applyFill="1" applyBorder="1" applyAlignment="1">
      <alignment horizontal="center" vertical="center"/>
    </xf>
    <xf numFmtId="0" fontId="34" fillId="0" borderId="0" xfId="0" applyFont="1" applyAlignment="1">
      <alignment vertical="center"/>
    </xf>
    <xf numFmtId="9" fontId="38" fillId="0" borderId="102" xfId="0" applyNumberFormat="1" applyFont="1" applyBorder="1" applyAlignment="1">
      <alignment horizontal="center" vertical="center" wrapText="1"/>
    </xf>
    <xf numFmtId="0" fontId="42" fillId="0" borderId="107" xfId="0" applyFont="1" applyBorder="1" applyAlignment="1">
      <alignment horizontal="center" vertical="center" wrapText="1"/>
    </xf>
    <xf numFmtId="0" fontId="39" fillId="5" borderId="103" xfId="0" applyFont="1" applyFill="1" applyBorder="1" applyAlignment="1">
      <alignment horizontal="center" vertical="center" wrapText="1"/>
    </xf>
    <xf numFmtId="0" fontId="39" fillId="5" borderId="104" xfId="0" applyFont="1" applyFill="1" applyBorder="1" applyAlignment="1">
      <alignment horizontal="center" vertical="center" wrapText="1"/>
    </xf>
    <xf numFmtId="0" fontId="39" fillId="5" borderId="107" xfId="0" applyFont="1" applyFill="1" applyBorder="1" applyAlignment="1">
      <alignment horizontal="center" vertical="center" wrapText="1"/>
    </xf>
    <xf numFmtId="3" fontId="38" fillId="0" borderId="106" xfId="3" applyNumberFormat="1" applyFont="1" applyFill="1" applyBorder="1" applyAlignment="1" applyProtection="1">
      <alignment horizontal="center" vertical="center"/>
    </xf>
    <xf numFmtId="3" fontId="38" fillId="0" borderId="109" xfId="3" applyNumberFormat="1" applyFont="1" applyFill="1" applyBorder="1" applyAlignment="1" applyProtection="1">
      <alignment horizontal="center" vertical="center"/>
    </xf>
    <xf numFmtId="9" fontId="11" fillId="0" borderId="110" xfId="0" applyNumberFormat="1" applyFont="1" applyBorder="1" applyAlignment="1">
      <alignment horizontal="center" vertical="center"/>
    </xf>
    <xf numFmtId="3" fontId="38" fillId="0" borderId="112" xfId="3" applyNumberFormat="1" applyFont="1" applyFill="1" applyBorder="1" applyAlignment="1" applyProtection="1">
      <alignment horizontal="center" vertical="center"/>
    </xf>
    <xf numFmtId="3" fontId="38" fillId="0" borderId="113" xfId="3" applyNumberFormat="1" applyFont="1" applyFill="1" applyBorder="1" applyAlignment="1" applyProtection="1">
      <alignment horizontal="center" vertical="center"/>
    </xf>
    <xf numFmtId="0" fontId="34" fillId="19" borderId="114" xfId="0" applyFont="1" applyFill="1" applyBorder="1" applyAlignment="1">
      <alignment horizontal="left" vertical="center" indent="1"/>
    </xf>
    <xf numFmtId="0" fontId="34" fillId="19" borderId="115" xfId="0" applyFont="1" applyFill="1" applyBorder="1" applyAlignment="1">
      <alignment vertical="center"/>
    </xf>
    <xf numFmtId="9" fontId="38" fillId="13" borderId="116" xfId="0" applyNumberFormat="1" applyFont="1" applyFill="1" applyBorder="1" applyAlignment="1" applyProtection="1">
      <alignment horizontal="center" vertical="center"/>
      <protection locked="0"/>
    </xf>
    <xf numFmtId="0" fontId="34" fillId="0" borderId="117" xfId="0" applyFont="1" applyBorder="1" applyAlignment="1">
      <alignment vertical="center"/>
    </xf>
    <xf numFmtId="0" fontId="34" fillId="0" borderId="118" xfId="0" applyFont="1" applyBorder="1"/>
    <xf numFmtId="0" fontId="34" fillId="0" borderId="79" xfId="0" applyFont="1" applyBorder="1"/>
    <xf numFmtId="0" fontId="43" fillId="0" borderId="119" xfId="0" applyFont="1" applyBorder="1" applyAlignment="1">
      <alignment horizontal="left" vertical="top"/>
    </xf>
    <xf numFmtId="0" fontId="34" fillId="0" borderId="86" xfId="0" applyFont="1" applyBorder="1" applyAlignment="1">
      <alignment horizontal="left" vertical="top"/>
    </xf>
    <xf numFmtId="0" fontId="39" fillId="5" borderId="90" xfId="0" applyFont="1" applyFill="1" applyBorder="1" applyAlignment="1">
      <alignment horizontal="center" vertical="center" wrapText="1"/>
    </xf>
    <xf numFmtId="0" fontId="39" fillId="5" borderId="88" xfId="0" applyFont="1" applyFill="1" applyBorder="1" applyAlignment="1">
      <alignment horizontal="center" vertical="center" wrapText="1"/>
    </xf>
    <xf numFmtId="0" fontId="39" fillId="5" borderId="89" xfId="0" applyFont="1" applyFill="1" applyBorder="1" applyAlignment="1">
      <alignment horizontal="center" vertical="center" wrapText="1"/>
    </xf>
    <xf numFmtId="0" fontId="38" fillId="13" borderId="116" xfId="0" applyFont="1" applyFill="1" applyBorder="1" applyAlignment="1" applyProtection="1">
      <alignment horizontal="right" vertical="center"/>
      <protection locked="0"/>
    </xf>
    <xf numFmtId="0" fontId="44" fillId="0" borderId="50" xfId="0" applyFont="1" applyBorder="1" applyAlignment="1">
      <alignment vertical="center"/>
    </xf>
    <xf numFmtId="0" fontId="34" fillId="0" borderId="50" xfId="0" applyFont="1" applyBorder="1" applyAlignment="1">
      <alignment vertical="center"/>
    </xf>
    <xf numFmtId="0" fontId="34" fillId="19" borderId="100" xfId="0" applyFont="1" applyFill="1" applyBorder="1" applyAlignment="1">
      <alignment horizontal="left" vertical="center" indent="1"/>
    </xf>
    <xf numFmtId="0" fontId="34" fillId="19" borderId="122" xfId="0" applyFont="1" applyFill="1" applyBorder="1" applyAlignment="1">
      <alignment horizontal="left" vertical="center" indent="1"/>
    </xf>
    <xf numFmtId="0" fontId="34" fillId="19" borderId="99" xfId="0" applyFont="1" applyFill="1" applyBorder="1" applyAlignment="1">
      <alignment horizontal="left" vertical="center" indent="1"/>
    </xf>
    <xf numFmtId="0" fontId="38" fillId="13" borderId="83" xfId="0" applyFont="1" applyFill="1" applyBorder="1" applyAlignment="1" applyProtection="1">
      <alignment horizontal="right" vertical="center" wrapText="1"/>
      <protection locked="0"/>
    </xf>
    <xf numFmtId="0" fontId="34" fillId="19" borderId="108" xfId="0" applyFont="1" applyFill="1" applyBorder="1" applyAlignment="1">
      <alignment horizontal="left" vertical="center" indent="1"/>
    </xf>
    <xf numFmtId="0" fontId="34" fillId="19" borderId="123" xfId="0" applyFont="1" applyFill="1" applyBorder="1" applyAlignment="1">
      <alignment horizontal="left" vertical="center" indent="1"/>
    </xf>
    <xf numFmtId="0" fontId="34" fillId="19" borderId="106" xfId="0" applyFont="1" applyFill="1" applyBorder="1" applyAlignment="1">
      <alignment horizontal="left" vertical="center" indent="1"/>
    </xf>
    <xf numFmtId="0" fontId="38" fillId="13" borderId="107" xfId="0" applyFont="1" applyFill="1" applyBorder="1" applyAlignment="1" applyProtection="1">
      <alignment horizontal="right" vertical="center" wrapText="1"/>
      <protection locked="0"/>
    </xf>
    <xf numFmtId="0" fontId="34" fillId="19" borderId="124" xfId="0" applyFont="1" applyFill="1" applyBorder="1" applyAlignment="1">
      <alignment horizontal="left" vertical="center" indent="1"/>
    </xf>
    <xf numFmtId="0" fontId="34" fillId="19" borderId="125" xfId="0" applyFont="1" applyFill="1" applyBorder="1" applyAlignment="1">
      <alignment horizontal="left" vertical="center" indent="1"/>
    </xf>
    <xf numFmtId="0" fontId="34" fillId="19" borderId="121" xfId="0" applyFont="1" applyFill="1" applyBorder="1" applyAlignment="1">
      <alignment horizontal="left" vertical="center" indent="1"/>
    </xf>
    <xf numFmtId="2" fontId="38" fillId="0" borderId="90" xfId="0" applyNumberFormat="1" applyFont="1" applyBorder="1" applyAlignment="1">
      <alignment horizontal="right" vertical="center" wrapText="1"/>
    </xf>
    <xf numFmtId="0" fontId="34" fillId="0" borderId="51" xfId="0" applyFont="1" applyBorder="1" applyAlignment="1">
      <alignment vertical="center"/>
    </xf>
    <xf numFmtId="0" fontId="10" fillId="0" borderId="86" xfId="0" applyFont="1" applyBorder="1" applyAlignment="1">
      <alignment vertical="top" wrapText="1"/>
    </xf>
    <xf numFmtId="0" fontId="10" fillId="0" borderId="0" xfId="0" applyFont="1" applyAlignment="1">
      <alignment vertical="top" wrapText="1"/>
    </xf>
    <xf numFmtId="0" fontId="10" fillId="0" borderId="51" xfId="0" applyFont="1" applyBorder="1" applyAlignment="1">
      <alignment vertical="top" wrapText="1"/>
    </xf>
    <xf numFmtId="0" fontId="35" fillId="19" borderId="84" xfId="0" applyFont="1" applyFill="1" applyBorder="1" applyAlignment="1">
      <alignment horizontal="center" vertical="center"/>
    </xf>
    <xf numFmtId="0" fontId="35" fillId="19" borderId="80" xfId="0" applyFont="1" applyFill="1" applyBorder="1" applyAlignment="1">
      <alignment horizontal="center" vertical="center"/>
    </xf>
    <xf numFmtId="0" fontId="34" fillId="19" borderId="129" xfId="0" applyFont="1" applyFill="1" applyBorder="1" applyAlignment="1">
      <alignment horizontal="center" vertical="center" wrapText="1"/>
    </xf>
    <xf numFmtId="0" fontId="34" fillId="19" borderId="89" xfId="0" applyFont="1" applyFill="1" applyBorder="1" applyAlignment="1">
      <alignment horizontal="center" vertical="center" wrapText="1"/>
    </xf>
    <xf numFmtId="0" fontId="34" fillId="19" borderId="88" xfId="0" applyFont="1" applyFill="1" applyBorder="1" applyAlignment="1">
      <alignment horizontal="center" vertical="center" wrapText="1"/>
    </xf>
    <xf numFmtId="0" fontId="34" fillId="19" borderId="120" xfId="0" applyFont="1" applyFill="1" applyBorder="1" applyAlignment="1">
      <alignment horizontal="center" vertical="center" wrapText="1"/>
    </xf>
    <xf numFmtId="0" fontId="10" fillId="19" borderId="130" xfId="0" applyFont="1" applyFill="1" applyBorder="1" applyAlignment="1">
      <alignment horizontal="center" vertical="center" wrapText="1"/>
    </xf>
    <xf numFmtId="0" fontId="34" fillId="19" borderId="90" xfId="0" applyFont="1" applyFill="1" applyBorder="1" applyAlignment="1">
      <alignment horizontal="center" vertical="center" wrapText="1"/>
    </xf>
    <xf numFmtId="0" fontId="10" fillId="19" borderId="97" xfId="0" applyFont="1" applyFill="1" applyBorder="1" applyAlignment="1">
      <alignment horizontal="center" vertical="center" wrapText="1"/>
    </xf>
    <xf numFmtId="0" fontId="10" fillId="19" borderId="88" xfId="0" applyFont="1" applyFill="1" applyBorder="1" applyAlignment="1">
      <alignment horizontal="center" vertical="center" wrapText="1"/>
    </xf>
    <xf numFmtId="0" fontId="10" fillId="19" borderId="131" xfId="0" applyFont="1" applyFill="1" applyBorder="1" applyAlignment="1">
      <alignment horizontal="center" vertical="center" wrapText="1"/>
    </xf>
    <xf numFmtId="0" fontId="38" fillId="13" borderId="132" xfId="0" applyFont="1" applyFill="1" applyBorder="1" applyAlignment="1" applyProtection="1">
      <alignment horizontal="left" vertical="center"/>
      <protection locked="0"/>
    </xf>
    <xf numFmtId="0" fontId="38" fillId="13" borderId="82" xfId="0" applyFont="1" applyFill="1" applyBorder="1" applyAlignment="1" applyProtection="1">
      <alignment vertical="center"/>
      <protection locked="0"/>
    </xf>
    <xf numFmtId="4" fontId="38" fillId="0" borderId="82" xfId="0" applyNumberFormat="1" applyFont="1" applyBorder="1" applyAlignment="1">
      <alignment horizontal="right" vertical="center"/>
    </xf>
    <xf numFmtId="4" fontId="11" fillId="19" borderId="130" xfId="0" applyNumberFormat="1" applyFont="1" applyFill="1" applyBorder="1" applyAlignment="1">
      <alignment vertical="center"/>
    </xf>
    <xf numFmtId="169" fontId="38" fillId="0" borderId="81" xfId="0" applyNumberFormat="1" applyFont="1" applyBorder="1" applyAlignment="1">
      <alignment horizontal="center" vertical="center"/>
    </xf>
    <xf numFmtId="169" fontId="11" fillId="0" borderId="82" xfId="0" applyNumberFormat="1" applyFont="1" applyBorder="1" applyAlignment="1">
      <alignment horizontal="center" vertical="center"/>
    </xf>
    <xf numFmtId="4" fontId="11" fillId="0" borderId="82" xfId="0" applyNumberFormat="1" applyFont="1" applyBorder="1" applyAlignment="1">
      <alignment horizontal="center" vertical="center"/>
    </xf>
    <xf numFmtId="169" fontId="11" fillId="13" borderId="83" xfId="0" applyNumberFormat="1" applyFont="1" applyFill="1" applyBorder="1" applyAlignment="1" applyProtection="1">
      <alignment horizontal="center" vertical="center"/>
      <protection locked="0"/>
    </xf>
    <xf numFmtId="169" fontId="11" fillId="0" borderId="81" xfId="0" applyNumberFormat="1" applyFont="1" applyBorder="1" applyAlignment="1">
      <alignment horizontal="center" vertical="center"/>
    </xf>
    <xf numFmtId="4" fontId="11" fillId="19" borderId="97" xfId="0" applyNumberFormat="1" applyFont="1" applyFill="1" applyBorder="1" applyAlignment="1">
      <alignment vertical="center"/>
    </xf>
    <xf numFmtId="4" fontId="11" fillId="0" borderId="81" xfId="0" applyNumberFormat="1" applyFont="1" applyBorder="1" applyAlignment="1">
      <alignment vertical="center"/>
    </xf>
    <xf numFmtId="0" fontId="11" fillId="0" borderId="128" xfId="0" applyFont="1" applyBorder="1" applyAlignment="1">
      <alignment vertical="center"/>
    </xf>
    <xf numFmtId="0" fontId="38" fillId="13" borderId="133" xfId="0" applyFont="1" applyFill="1" applyBorder="1" applyAlignment="1" applyProtection="1">
      <alignment horizontal="left" vertical="center"/>
      <protection locked="0"/>
    </xf>
    <xf numFmtId="0" fontId="38" fillId="13" borderId="104" xfId="0" applyFont="1" applyFill="1" applyBorder="1" applyAlignment="1" applyProtection="1">
      <alignment vertical="center"/>
      <protection locked="0"/>
    </xf>
    <xf numFmtId="169" fontId="38" fillId="0" borderId="103" xfId="0" applyNumberFormat="1" applyFont="1" applyBorder="1" applyAlignment="1">
      <alignment horizontal="center" vertical="center"/>
    </xf>
    <xf numFmtId="169" fontId="11" fillId="0" borderId="104" xfId="0" applyNumberFormat="1" applyFont="1" applyBorder="1" applyAlignment="1">
      <alignment horizontal="center" vertical="center"/>
    </xf>
    <xf numFmtId="4" fontId="11" fillId="0" borderId="104" xfId="0" applyNumberFormat="1" applyFont="1" applyBorder="1" applyAlignment="1">
      <alignment horizontal="center" vertical="center"/>
    </xf>
    <xf numFmtId="169" fontId="11" fillId="13" borderId="107" xfId="0" applyNumberFormat="1" applyFont="1" applyFill="1" applyBorder="1" applyAlignment="1" applyProtection="1">
      <alignment horizontal="center" vertical="center"/>
      <protection locked="0"/>
    </xf>
    <xf numFmtId="169" fontId="11" fillId="0" borderId="103" xfId="0" applyNumberFormat="1" applyFont="1" applyBorder="1" applyAlignment="1">
      <alignment horizontal="center" vertical="center"/>
    </xf>
    <xf numFmtId="4" fontId="11" fillId="0" borderId="103" xfId="0" applyNumberFormat="1" applyFont="1" applyBorder="1" applyAlignment="1">
      <alignment vertical="center"/>
    </xf>
    <xf numFmtId="0" fontId="11" fillId="0" borderId="134" xfId="0" applyFont="1" applyBorder="1" applyAlignment="1">
      <alignment vertical="center"/>
    </xf>
    <xf numFmtId="0" fontId="38" fillId="13" borderId="129" xfId="0" applyFont="1" applyFill="1" applyBorder="1" applyAlignment="1" applyProtection="1">
      <alignment horizontal="left" vertical="center"/>
      <protection locked="0"/>
    </xf>
    <xf numFmtId="0" fontId="38" fillId="13" borderId="89" xfId="0" applyFont="1" applyFill="1" applyBorder="1" applyAlignment="1" applyProtection="1">
      <alignment vertical="center"/>
      <protection locked="0"/>
    </xf>
    <xf numFmtId="4" fontId="38" fillId="2" borderId="130" xfId="0" applyNumberFormat="1" applyFont="1" applyFill="1" applyBorder="1" applyAlignment="1">
      <alignment vertical="center"/>
    </xf>
    <xf numFmtId="169" fontId="38" fillId="0" borderId="88" xfId="0" applyNumberFormat="1" applyFont="1" applyBorder="1" applyAlignment="1">
      <alignment horizontal="center" vertical="center"/>
    </xf>
    <xf numFmtId="169" fontId="11" fillId="0" borderId="89" xfId="0" applyNumberFormat="1" applyFont="1" applyBorder="1" applyAlignment="1">
      <alignment horizontal="center" vertical="center"/>
    </xf>
    <xf numFmtId="4" fontId="11" fillId="0" borderId="89" xfId="0" applyNumberFormat="1" applyFont="1" applyBorder="1" applyAlignment="1">
      <alignment horizontal="center" vertical="center"/>
    </xf>
    <xf numFmtId="169" fontId="11" fillId="13" borderId="90" xfId="0" applyNumberFormat="1" applyFont="1" applyFill="1" applyBorder="1" applyAlignment="1" applyProtection="1">
      <alignment horizontal="center" vertical="center"/>
      <protection locked="0"/>
    </xf>
    <xf numFmtId="169" fontId="11" fillId="0" borderId="88" xfId="0" applyNumberFormat="1" applyFont="1" applyBorder="1" applyAlignment="1">
      <alignment horizontal="center" vertical="center"/>
    </xf>
    <xf numFmtId="4" fontId="38" fillId="2" borderId="97" xfId="0" applyNumberFormat="1" applyFont="1" applyFill="1" applyBorder="1" applyAlignment="1">
      <alignment vertical="center"/>
    </xf>
    <xf numFmtId="4" fontId="11" fillId="0" borderId="88" xfId="0" applyNumberFormat="1" applyFont="1" applyBorder="1" applyAlignment="1">
      <alignment vertical="center"/>
    </xf>
    <xf numFmtId="0" fontId="11" fillId="0" borderId="131" xfId="0" applyFont="1" applyBorder="1" applyAlignment="1">
      <alignment vertical="center"/>
    </xf>
    <xf numFmtId="0" fontId="34" fillId="19" borderId="122" xfId="0" applyFont="1" applyFill="1" applyBorder="1" applyAlignment="1">
      <alignment vertical="center"/>
    </xf>
    <xf numFmtId="4" fontId="38" fillId="0" borderId="83" xfId="0" applyNumberFormat="1" applyFont="1" applyBorder="1" applyAlignment="1">
      <alignment vertical="center"/>
    </xf>
    <xf numFmtId="0" fontId="34" fillId="19" borderId="130" xfId="0" applyFont="1" applyFill="1" applyBorder="1" applyAlignment="1">
      <alignment vertical="center"/>
    </xf>
    <xf numFmtId="0" fontId="34" fillId="19" borderId="126" xfId="0" applyFont="1" applyFill="1" applyBorder="1" applyAlignment="1">
      <alignment vertical="center"/>
    </xf>
    <xf numFmtId="0" fontId="34" fillId="19" borderId="127" xfId="0" applyFont="1" applyFill="1" applyBorder="1" applyAlignment="1">
      <alignment vertical="center"/>
    </xf>
    <xf numFmtId="0" fontId="34" fillId="19" borderId="101" xfId="0" applyFont="1" applyFill="1" applyBorder="1" applyAlignment="1">
      <alignment vertical="center"/>
    </xf>
    <xf numFmtId="0" fontId="34" fillId="19" borderId="125" xfId="0" applyFont="1" applyFill="1" applyBorder="1" applyAlignment="1">
      <alignment vertical="center"/>
    </xf>
    <xf numFmtId="4" fontId="38" fillId="0" borderId="90" xfId="0" applyNumberFormat="1" applyFont="1" applyBorder="1" applyAlignment="1">
      <alignment vertical="center"/>
    </xf>
    <xf numFmtId="0" fontId="34" fillId="19" borderId="91" xfId="0" applyFont="1" applyFill="1" applyBorder="1" applyAlignment="1">
      <alignment vertical="center"/>
    </xf>
    <xf numFmtId="0" fontId="34" fillId="19" borderId="135" xfId="0" applyFont="1" applyFill="1" applyBorder="1" applyAlignment="1">
      <alignment vertical="center"/>
    </xf>
    <xf numFmtId="0" fontId="34" fillId="19" borderId="136" xfId="0" applyFont="1" applyFill="1" applyBorder="1" applyAlignment="1">
      <alignment vertical="center"/>
    </xf>
    <xf numFmtId="0" fontId="34" fillId="19" borderId="137" xfId="0" applyFont="1" applyFill="1" applyBorder="1" applyAlignment="1">
      <alignment vertical="center"/>
    </xf>
    <xf numFmtId="0" fontId="45" fillId="0" borderId="50" xfId="0" applyFont="1" applyBorder="1" applyAlignment="1">
      <alignment horizontal="left" vertical="center"/>
    </xf>
    <xf numFmtId="0" fontId="34" fillId="0" borderId="0" xfId="0" applyFont="1" applyAlignment="1">
      <alignment horizontal="right" vertical="center"/>
    </xf>
    <xf numFmtId="3" fontId="34" fillId="0" borderId="0" xfId="0" applyNumberFormat="1" applyFont="1" applyAlignment="1">
      <alignment vertical="center"/>
    </xf>
    <xf numFmtId="0" fontId="10" fillId="0" borderId="138" xfId="0" applyFont="1" applyBorder="1" applyAlignment="1">
      <alignment vertical="top" wrapText="1"/>
    </xf>
    <xf numFmtId="0" fontId="34" fillId="19" borderId="84" xfId="0" applyFont="1" applyFill="1" applyBorder="1" applyAlignment="1">
      <alignment horizontal="center" vertical="center"/>
    </xf>
    <xf numFmtId="0" fontId="11" fillId="13" borderId="132" xfId="0" applyFont="1" applyFill="1" applyBorder="1" applyAlignment="1" applyProtection="1">
      <alignment horizontal="left" vertical="center"/>
      <protection locked="0"/>
    </xf>
    <xf numFmtId="0" fontId="11" fillId="0" borderId="82" xfId="0" applyFont="1" applyBorder="1" applyAlignment="1">
      <alignment horizontal="right" vertical="center"/>
    </xf>
    <xf numFmtId="0" fontId="11" fillId="13" borderId="82" xfId="0" applyFont="1" applyFill="1" applyBorder="1" applyAlignment="1" applyProtection="1">
      <alignment horizontal="right" vertical="center"/>
      <protection locked="0"/>
    </xf>
    <xf numFmtId="0" fontId="38" fillId="13" borderId="82" xfId="0" applyFont="1" applyFill="1" applyBorder="1" applyAlignment="1" applyProtection="1">
      <alignment horizontal="right" vertical="center"/>
      <protection locked="0"/>
    </xf>
    <xf numFmtId="1" fontId="38" fillId="13" borderId="83" xfId="0" applyNumberFormat="1" applyFont="1" applyFill="1" applyBorder="1" applyAlignment="1" applyProtection="1">
      <alignment horizontal="right" vertical="center"/>
      <protection locked="0"/>
    </xf>
    <xf numFmtId="0" fontId="46" fillId="19" borderId="130" xfId="0" applyFont="1" applyFill="1" applyBorder="1" applyAlignment="1">
      <alignment vertical="center"/>
    </xf>
    <xf numFmtId="0" fontId="46" fillId="19" borderId="97" xfId="0" applyFont="1" applyFill="1" applyBorder="1" applyAlignment="1">
      <alignment vertical="center"/>
    </xf>
    <xf numFmtId="4" fontId="11" fillId="0" borderId="81" xfId="0" applyNumberFormat="1" applyFont="1" applyBorder="1" applyAlignment="1">
      <alignment horizontal="center" vertical="center"/>
    </xf>
    <xf numFmtId="4" fontId="11" fillId="0" borderId="128" xfId="0" applyNumberFormat="1" applyFont="1" applyBorder="1" applyAlignment="1">
      <alignment vertical="center"/>
    </xf>
    <xf numFmtId="0" fontId="11" fillId="13" borderId="133" xfId="0" applyFont="1" applyFill="1" applyBorder="1" applyAlignment="1" applyProtection="1">
      <alignment horizontal="left" vertical="center"/>
      <protection locked="0"/>
    </xf>
    <xf numFmtId="0" fontId="11" fillId="0" borderId="104" xfId="0" applyFont="1" applyBorder="1" applyAlignment="1">
      <alignment horizontal="right" vertical="center"/>
    </xf>
    <xf numFmtId="0" fontId="11" fillId="13" borderId="104" xfId="0" applyFont="1" applyFill="1" applyBorder="1" applyAlignment="1" applyProtection="1">
      <alignment horizontal="right" vertical="center"/>
      <protection locked="0"/>
    </xf>
    <xf numFmtId="4" fontId="11" fillId="0" borderId="104" xfId="0" applyNumberFormat="1" applyFont="1" applyBorder="1" applyAlignment="1">
      <alignment horizontal="right" vertical="center"/>
    </xf>
    <xf numFmtId="0" fontId="38" fillId="13" borderId="104" xfId="0" applyFont="1" applyFill="1" applyBorder="1" applyAlignment="1" applyProtection="1">
      <alignment horizontal="right" vertical="center"/>
      <protection locked="0"/>
    </xf>
    <xf numFmtId="1" fontId="38" fillId="13" borderId="107" xfId="0" applyNumberFormat="1" applyFont="1" applyFill="1" applyBorder="1" applyAlignment="1" applyProtection="1">
      <alignment horizontal="right" vertical="center"/>
      <protection locked="0"/>
    </xf>
    <xf numFmtId="4" fontId="11" fillId="0" borderId="103" xfId="0" applyNumberFormat="1" applyFont="1" applyBorder="1" applyAlignment="1">
      <alignment horizontal="center" vertical="center"/>
    </xf>
    <xf numFmtId="4" fontId="11" fillId="0" borderId="134" xfId="0" applyNumberFormat="1" applyFont="1" applyBorder="1" applyAlignment="1">
      <alignment vertical="center"/>
    </xf>
    <xf numFmtId="0" fontId="34" fillId="19" borderId="139" xfId="0" applyFont="1" applyFill="1" applyBorder="1" applyAlignment="1">
      <alignment vertical="center"/>
    </xf>
    <xf numFmtId="4" fontId="38" fillId="0" borderId="140" xfId="0" applyNumberFormat="1" applyFont="1" applyBorder="1" applyAlignment="1">
      <alignment vertical="center"/>
    </xf>
    <xf numFmtId="0" fontId="34" fillId="19" borderId="141" xfId="0" applyFont="1" applyFill="1" applyBorder="1" applyAlignment="1">
      <alignment vertical="center"/>
    </xf>
    <xf numFmtId="0" fontId="34" fillId="19" borderId="142" xfId="0" applyFont="1" applyFill="1" applyBorder="1" applyAlignment="1">
      <alignment vertical="center"/>
    </xf>
    <xf numFmtId="0" fontId="34" fillId="19" borderId="143" xfId="0" applyFont="1" applyFill="1" applyBorder="1" applyAlignment="1">
      <alignment vertical="center"/>
    </xf>
    <xf numFmtId="0" fontId="34" fillId="19" borderId="113" xfId="0" applyFont="1" applyFill="1" applyBorder="1" applyAlignment="1">
      <alignment vertical="center"/>
    </xf>
    <xf numFmtId="0" fontId="45" fillId="0" borderId="0" xfId="0" applyFont="1" applyAlignment="1">
      <alignment horizontal="left" vertical="center"/>
    </xf>
    <xf numFmtId="0" fontId="10" fillId="2" borderId="88" xfId="0" applyFont="1" applyFill="1" applyBorder="1" applyAlignment="1" applyProtection="1">
      <alignment horizontal="center" vertical="center" wrapText="1"/>
      <protection hidden="1"/>
    </xf>
    <xf numFmtId="0" fontId="10" fillId="2" borderId="89" xfId="0" applyFont="1" applyFill="1" applyBorder="1" applyAlignment="1" applyProtection="1">
      <alignment horizontal="center" vertical="center" wrapText="1"/>
      <protection hidden="1"/>
    </xf>
    <xf numFmtId="0" fontId="10" fillId="2" borderId="90" xfId="0" applyFont="1" applyFill="1" applyBorder="1" applyAlignment="1" applyProtection="1">
      <alignment horizontal="center" vertical="center" wrapText="1"/>
      <protection hidden="1"/>
    </xf>
    <xf numFmtId="0" fontId="10" fillId="2" borderId="131" xfId="0" applyFont="1" applyFill="1" applyBorder="1" applyAlignment="1" applyProtection="1">
      <alignment horizontal="center" vertical="center" wrapText="1"/>
      <protection hidden="1"/>
    </xf>
    <xf numFmtId="0" fontId="11" fillId="5" borderId="133" xfId="7" applyFont="1" applyFill="1" applyBorder="1" applyAlignment="1" applyProtection="1">
      <alignment vertical="center"/>
      <protection hidden="1"/>
    </xf>
    <xf numFmtId="0" fontId="10" fillId="5" borderId="50" xfId="7" applyFill="1" applyBorder="1" applyAlignment="1" applyProtection="1">
      <alignment vertical="center"/>
      <protection hidden="1"/>
    </xf>
    <xf numFmtId="4" fontId="10" fillId="5" borderId="0" xfId="7" applyNumberFormat="1" applyFill="1" applyAlignment="1" applyProtection="1">
      <alignment horizontal="right" vertical="center"/>
      <protection hidden="1"/>
    </xf>
    <xf numFmtId="4" fontId="10" fillId="5" borderId="0" xfId="5" applyNumberFormat="1" applyFont="1" applyFill="1" applyBorder="1" applyAlignment="1" applyProtection="1">
      <alignment horizontal="right" vertical="center"/>
      <protection hidden="1"/>
    </xf>
    <xf numFmtId="4" fontId="10" fillId="5" borderId="51" xfId="5" applyNumberFormat="1" applyFont="1" applyFill="1" applyBorder="1" applyAlignment="1" applyProtection="1">
      <alignment horizontal="right" vertical="center"/>
      <protection hidden="1"/>
    </xf>
    <xf numFmtId="0" fontId="10" fillId="2" borderId="100" xfId="0" applyFont="1" applyFill="1" applyBorder="1" applyAlignment="1" applyProtection="1">
      <alignment horizontal="left" vertical="center" indent="1"/>
      <protection hidden="1"/>
    </xf>
    <xf numFmtId="0" fontId="10" fillId="2" borderId="122" xfId="0" applyFont="1" applyFill="1" applyBorder="1" applyAlignment="1" applyProtection="1">
      <alignment horizontal="left" vertical="center" indent="1"/>
      <protection hidden="1"/>
    </xf>
    <xf numFmtId="0" fontId="10" fillId="2" borderId="108" xfId="0" applyFont="1" applyFill="1" applyBorder="1" applyAlignment="1" applyProtection="1">
      <alignment horizontal="left" vertical="center" indent="1"/>
      <protection hidden="1"/>
    </xf>
    <xf numFmtId="0" fontId="10" fillId="2" borderId="123" xfId="0" applyFont="1" applyFill="1" applyBorder="1" applyAlignment="1" applyProtection="1">
      <alignment horizontal="left" vertical="center" indent="1"/>
      <protection hidden="1"/>
    </xf>
    <xf numFmtId="0" fontId="10" fillId="2" borderId="111" xfId="0" applyFont="1" applyFill="1" applyBorder="1" applyAlignment="1" applyProtection="1">
      <alignment horizontal="left" vertical="center" indent="1"/>
      <protection hidden="1"/>
    </xf>
    <xf numFmtId="0" fontId="10" fillId="2" borderId="139" xfId="0" applyFont="1" applyFill="1" applyBorder="1" applyAlignment="1" applyProtection="1">
      <alignment horizontal="left" vertical="center" indent="1"/>
      <protection hidden="1"/>
    </xf>
    <xf numFmtId="10" fontId="14" fillId="5" borderId="152" xfId="5" applyNumberFormat="1" applyFont="1" applyFill="1" applyBorder="1" applyAlignment="1" applyProtection="1">
      <alignment horizontal="center" vertical="center"/>
    </xf>
    <xf numFmtId="49" fontId="10" fillId="5" borderId="50" xfId="7" applyNumberFormat="1" applyFill="1" applyBorder="1" applyAlignment="1" applyProtection="1">
      <alignment vertical="center"/>
      <protection hidden="1"/>
    </xf>
    <xf numFmtId="0" fontId="10" fillId="5" borderId="0" xfId="7" applyFill="1" applyAlignment="1" applyProtection="1">
      <alignment vertical="center"/>
      <protection hidden="1"/>
    </xf>
    <xf numFmtId="0" fontId="10" fillId="0" borderId="0" xfId="7" applyAlignment="1" applyProtection="1">
      <alignment vertical="center"/>
      <protection hidden="1"/>
    </xf>
    <xf numFmtId="10" fontId="11" fillId="13" borderId="153" xfId="7" applyNumberFormat="1" applyFont="1" applyFill="1" applyBorder="1" applyAlignment="1" applyProtection="1">
      <alignment vertical="center"/>
      <protection locked="0"/>
    </xf>
    <xf numFmtId="49" fontId="48" fillId="5" borderId="50" xfId="7" applyNumberFormat="1" applyFont="1" applyFill="1" applyBorder="1" applyAlignment="1" applyProtection="1">
      <alignment vertical="center"/>
      <protection hidden="1"/>
    </xf>
    <xf numFmtId="49" fontId="41" fillId="5" borderId="0" xfId="7" applyNumberFormat="1" applyFont="1" applyFill="1" applyAlignment="1" applyProtection="1">
      <alignment vertical="center"/>
      <protection hidden="1"/>
    </xf>
    <xf numFmtId="0" fontId="10" fillId="2" borderId="122" xfId="0" applyFont="1" applyFill="1" applyBorder="1" applyAlignment="1" applyProtection="1">
      <alignment vertical="center"/>
      <protection hidden="1"/>
    </xf>
    <xf numFmtId="0" fontId="10" fillId="2" borderId="99" xfId="0" applyFont="1" applyFill="1" applyBorder="1" applyAlignment="1" applyProtection="1">
      <alignment vertical="center"/>
      <protection hidden="1"/>
    </xf>
    <xf numFmtId="0" fontId="10" fillId="2" borderId="123" xfId="0" applyFont="1" applyFill="1" applyBorder="1" applyAlignment="1" applyProtection="1">
      <alignment vertical="center"/>
      <protection hidden="1"/>
    </xf>
    <xf numFmtId="0" fontId="10" fillId="2" borderId="106" xfId="0" applyFont="1" applyFill="1" applyBorder="1" applyAlignment="1" applyProtection="1">
      <alignment vertical="center"/>
      <protection hidden="1"/>
    </xf>
    <xf numFmtId="10" fontId="11" fillId="5" borderId="134" xfId="5" applyNumberFormat="1" applyFont="1" applyFill="1" applyBorder="1" applyAlignment="1" applyProtection="1">
      <alignment horizontal="center" vertical="center"/>
    </xf>
    <xf numFmtId="0" fontId="10" fillId="2" borderId="139" xfId="0" applyFont="1" applyFill="1" applyBorder="1" applyAlignment="1" applyProtection="1">
      <alignment vertical="center"/>
      <protection hidden="1"/>
    </xf>
    <xf numFmtId="0" fontId="10" fillId="2" borderId="112" xfId="0" applyFont="1" applyFill="1" applyBorder="1" applyAlignment="1" applyProtection="1">
      <alignment vertical="center"/>
      <protection hidden="1"/>
    </xf>
    <xf numFmtId="0" fontId="34" fillId="0" borderId="50" xfId="0" applyFont="1" applyBorder="1" applyAlignment="1">
      <alignment vertical="top" wrapText="1"/>
    </xf>
    <xf numFmtId="0" fontId="34" fillId="0" borderId="0" xfId="0" applyFont="1" applyAlignment="1">
      <alignment vertical="top" wrapText="1"/>
    </xf>
    <xf numFmtId="0" fontId="1" fillId="0" borderId="76" xfId="0" applyFont="1" applyBorder="1"/>
    <xf numFmtId="0" fontId="1" fillId="0" borderId="50" xfId="0" applyFont="1" applyBorder="1"/>
    <xf numFmtId="0" fontId="10" fillId="19" borderId="135" xfId="0" applyFont="1" applyFill="1" applyBorder="1" applyAlignment="1">
      <alignment horizontal="center" vertical="center" wrapText="1"/>
    </xf>
    <xf numFmtId="0" fontId="38" fillId="19" borderId="126" xfId="0" applyFont="1" applyFill="1" applyBorder="1" applyAlignment="1">
      <alignment horizontal="center" vertical="center"/>
    </xf>
    <xf numFmtId="0" fontId="39" fillId="5" borderId="126" xfId="0" applyFont="1" applyFill="1" applyBorder="1" applyAlignment="1">
      <alignment horizontal="left" vertical="center" wrapText="1" indent="1"/>
    </xf>
    <xf numFmtId="0" fontId="39" fillId="5" borderId="154" xfId="0" applyFont="1" applyFill="1" applyBorder="1" applyAlignment="1">
      <alignment horizontal="left" vertical="center" wrapText="1" indent="1"/>
    </xf>
    <xf numFmtId="0" fontId="39" fillId="5" borderId="135" xfId="0" applyFont="1" applyFill="1" applyBorder="1" applyAlignment="1">
      <alignment horizontal="left" vertical="center" wrapText="1" indent="1"/>
    </xf>
    <xf numFmtId="2" fontId="38" fillId="5" borderId="98" xfId="0" applyNumberFormat="1" applyFont="1" applyFill="1" applyBorder="1" applyAlignment="1">
      <alignment horizontal="center" vertical="center" wrapText="1"/>
    </xf>
    <xf numFmtId="2" fontId="38" fillId="5" borderId="105" xfId="0" applyNumberFormat="1" applyFont="1" applyFill="1" applyBorder="1" applyAlignment="1">
      <alignment horizontal="center" vertical="center" wrapText="1"/>
    </xf>
    <xf numFmtId="2" fontId="38" fillId="5" borderId="120" xfId="0" applyNumberFormat="1" applyFont="1" applyFill="1" applyBorder="1" applyAlignment="1">
      <alignment horizontal="center" vertical="center" wrapText="1"/>
    </xf>
    <xf numFmtId="4" fontId="38" fillId="0" borderId="82" xfId="0" applyNumberFormat="1" applyFont="1" applyBorder="1" applyAlignment="1">
      <alignment horizontal="center" vertical="center"/>
    </xf>
    <xf numFmtId="0" fontId="38" fillId="13" borderId="82" xfId="0" applyFont="1" applyFill="1" applyBorder="1" applyAlignment="1" applyProtection="1">
      <alignment horizontal="center" vertical="center"/>
      <protection locked="0"/>
    </xf>
    <xf numFmtId="1" fontId="38" fillId="13" borderId="83" xfId="0" applyNumberFormat="1" applyFont="1" applyFill="1" applyBorder="1" applyAlignment="1" applyProtection="1">
      <alignment horizontal="center" vertical="center"/>
      <protection locked="0"/>
    </xf>
    <xf numFmtId="0" fontId="38" fillId="13" borderId="104" xfId="0" applyFont="1" applyFill="1" applyBorder="1" applyAlignment="1" applyProtection="1">
      <alignment horizontal="center" vertical="center"/>
      <protection locked="0"/>
    </xf>
    <xf numFmtId="1" fontId="38" fillId="13" borderId="107" xfId="0" applyNumberFormat="1" applyFont="1" applyFill="1" applyBorder="1" applyAlignment="1" applyProtection="1">
      <alignment horizontal="center" vertical="center"/>
      <protection locked="0"/>
    </xf>
    <xf numFmtId="0" fontId="38" fillId="13" borderId="89" xfId="0" applyFont="1" applyFill="1" applyBorder="1" applyAlignment="1" applyProtection="1">
      <alignment horizontal="center" vertical="center"/>
      <protection locked="0"/>
    </xf>
    <xf numFmtId="1" fontId="38" fillId="13" borderId="90" xfId="0" applyNumberFormat="1" applyFont="1" applyFill="1" applyBorder="1" applyAlignment="1" applyProtection="1">
      <alignment horizontal="center" vertical="center"/>
      <protection locked="0"/>
    </xf>
    <xf numFmtId="0" fontId="10" fillId="0" borderId="119" xfId="0" applyFont="1" applyBorder="1" applyAlignment="1">
      <alignment vertical="top" wrapText="1"/>
    </xf>
    <xf numFmtId="0" fontId="10" fillId="0" borderId="0" xfId="0" applyFont="1" applyAlignment="1">
      <alignment vertical="top"/>
    </xf>
    <xf numFmtId="0" fontId="10" fillId="0" borderId="50" xfId="0" applyFont="1" applyBorder="1" applyAlignment="1">
      <alignment horizontal="left" vertical="center"/>
    </xf>
    <xf numFmtId="0" fontId="10" fillId="0" borderId="50" xfId="0" applyFont="1" applyBorder="1" applyAlignment="1">
      <alignment vertical="top"/>
    </xf>
    <xf numFmtId="0" fontId="36" fillId="0" borderId="50" xfId="0" applyFont="1" applyBorder="1" applyAlignment="1">
      <alignment horizontal="left" vertical="center"/>
    </xf>
    <xf numFmtId="0" fontId="34" fillId="19" borderId="111" xfId="0" applyFont="1" applyFill="1" applyBorder="1" applyAlignment="1">
      <alignment horizontal="left" vertical="center" indent="1"/>
    </xf>
    <xf numFmtId="4" fontId="11" fillId="5" borderId="128" xfId="5" applyNumberFormat="1" applyFont="1" applyFill="1" applyBorder="1" applyAlignment="1" applyProtection="1">
      <alignment horizontal="center" vertical="center"/>
    </xf>
    <xf numFmtId="4" fontId="11" fillId="5" borderId="134" xfId="5" applyNumberFormat="1" applyFont="1" applyFill="1" applyBorder="1" applyAlignment="1" applyProtection="1">
      <alignment horizontal="center" vertical="center"/>
    </xf>
    <xf numFmtId="4" fontId="11" fillId="5" borderId="104" xfId="7" applyNumberFormat="1" applyFont="1" applyFill="1" applyBorder="1" applyAlignment="1" applyProtection="1">
      <alignment horizontal="center" vertical="center"/>
      <protection hidden="1"/>
    </xf>
    <xf numFmtId="4" fontId="11" fillId="5" borderId="104" xfId="7" applyNumberFormat="1" applyFont="1" applyFill="1" applyBorder="1" applyAlignment="1" applyProtection="1">
      <alignment horizontal="center" vertical="center" wrapText="1"/>
      <protection hidden="1"/>
    </xf>
    <xf numFmtId="4" fontId="11" fillId="5" borderId="104" xfId="5" applyNumberFormat="1" applyFont="1" applyFill="1" applyBorder="1" applyAlignment="1" applyProtection="1">
      <alignment horizontal="center" vertical="center"/>
    </xf>
    <xf numFmtId="0" fontId="0" fillId="0" borderId="5" xfId="0" applyBorder="1" applyAlignment="1">
      <alignment horizontal="left"/>
    </xf>
    <xf numFmtId="0" fontId="22" fillId="3" borderId="0" xfId="2" applyFill="1"/>
    <xf numFmtId="0" fontId="23" fillId="10" borderId="28" xfId="0" applyFont="1" applyFill="1" applyBorder="1" applyAlignment="1">
      <alignment vertical="center"/>
    </xf>
    <xf numFmtId="0" fontId="23" fillId="10" borderId="29" xfId="0" applyFont="1" applyFill="1" applyBorder="1" applyAlignment="1">
      <alignment vertical="center"/>
    </xf>
    <xf numFmtId="0" fontId="23" fillId="10" borderId="30" xfId="0" applyFont="1" applyFill="1" applyBorder="1" applyAlignment="1">
      <alignment vertical="center"/>
    </xf>
    <xf numFmtId="0" fontId="24" fillId="4" borderId="40" xfId="0" applyFont="1" applyFill="1" applyBorder="1" applyAlignment="1">
      <alignment vertical="center" wrapText="1"/>
    </xf>
    <xf numFmtId="0" fontId="23" fillId="4" borderId="40" xfId="0" applyFont="1" applyFill="1" applyBorder="1" applyAlignment="1">
      <alignment vertical="center" wrapText="1"/>
    </xf>
    <xf numFmtId="0" fontId="0" fillId="0" borderId="8" xfId="0" applyBorder="1" applyAlignment="1">
      <alignment horizontal="left"/>
    </xf>
    <xf numFmtId="3" fontId="20" fillId="0" borderId="7" xfId="0" applyNumberFormat="1" applyFont="1" applyBorder="1" applyAlignment="1">
      <alignment horizontal="center"/>
    </xf>
    <xf numFmtId="173" fontId="26" fillId="0" borderId="0" xfId="0" applyNumberFormat="1" applyFont="1" applyAlignment="1">
      <alignment horizontal="center"/>
    </xf>
    <xf numFmtId="173" fontId="26" fillId="0" borderId="7" xfId="0" applyNumberFormat="1" applyFont="1" applyBorder="1" applyAlignment="1">
      <alignment horizontal="center"/>
    </xf>
    <xf numFmtId="0" fontId="20" fillId="0" borderId="4" xfId="0" applyFont="1" applyBorder="1" applyAlignment="1">
      <alignment horizontal="center"/>
    </xf>
    <xf numFmtId="0" fontId="20" fillId="0" borderId="6" xfId="0" applyFont="1" applyBorder="1" applyAlignment="1">
      <alignment horizontal="center"/>
    </xf>
    <xf numFmtId="0" fontId="20" fillId="0" borderId="7" xfId="0" applyFont="1" applyBorder="1" applyAlignment="1">
      <alignment horizontal="center"/>
    </xf>
    <xf numFmtId="0" fontId="0" fillId="2" borderId="58" xfId="0" applyFill="1" applyBorder="1" applyAlignment="1">
      <alignment horizontal="center" wrapText="1"/>
    </xf>
    <xf numFmtId="0" fontId="0" fillId="2" borderId="19" xfId="0" applyFill="1" applyBorder="1" applyAlignment="1">
      <alignment horizontal="center" wrapText="1"/>
    </xf>
    <xf numFmtId="174" fontId="0" fillId="0" borderId="0" xfId="0" applyNumberFormat="1" applyAlignment="1">
      <alignment horizontal="center"/>
    </xf>
    <xf numFmtId="174" fontId="0" fillId="0" borderId="7" xfId="0" applyNumberFormat="1" applyBorder="1" applyAlignment="1">
      <alignment horizontal="center"/>
    </xf>
    <xf numFmtId="44" fontId="0" fillId="0" borderId="0" xfId="8" applyFont="1"/>
    <xf numFmtId="0" fontId="1" fillId="3" borderId="160" xfId="0" applyFont="1" applyFill="1" applyBorder="1" applyAlignment="1">
      <alignment horizontal="center" vertical="center" wrapText="1"/>
    </xf>
    <xf numFmtId="0" fontId="1" fillId="3" borderId="161" xfId="0" applyFont="1" applyFill="1" applyBorder="1" applyAlignment="1">
      <alignment horizontal="center" vertical="center" wrapText="1"/>
    </xf>
    <xf numFmtId="0" fontId="1" fillId="2" borderId="161" xfId="0" applyFont="1" applyFill="1" applyBorder="1" applyAlignment="1">
      <alignment horizontal="center" vertical="center" wrapText="1"/>
    </xf>
    <xf numFmtId="0" fontId="1" fillId="2" borderId="162" xfId="0" applyFont="1" applyFill="1" applyBorder="1" applyAlignment="1">
      <alignment horizontal="center" vertical="center" wrapText="1"/>
    </xf>
    <xf numFmtId="0" fontId="0" fillId="0" borderId="158" xfId="0" applyBorder="1" applyAlignment="1">
      <alignment horizontal="center"/>
    </xf>
    <xf numFmtId="0" fontId="0" fillId="0" borderId="157" xfId="0" applyBorder="1" applyAlignment="1">
      <alignment horizontal="center"/>
    </xf>
    <xf numFmtId="3" fontId="0" fillId="0" borderId="157" xfId="0" applyNumberFormat="1" applyBorder="1" applyAlignment="1">
      <alignment horizontal="center"/>
    </xf>
    <xf numFmtId="167" fontId="0" fillId="0" borderId="159" xfId="0" applyNumberFormat="1" applyBorder="1" applyAlignment="1">
      <alignment horizontal="center"/>
    </xf>
    <xf numFmtId="0" fontId="0" fillId="0" borderId="163" xfId="0" applyBorder="1" applyAlignment="1">
      <alignment horizontal="center"/>
    </xf>
    <xf numFmtId="0" fontId="0" fillId="0" borderId="164" xfId="0" applyBorder="1" applyAlignment="1">
      <alignment horizontal="center"/>
    </xf>
    <xf numFmtId="3" fontId="0" fillId="0" borderId="164" xfId="0" applyNumberFormat="1" applyBorder="1" applyAlignment="1">
      <alignment horizontal="center"/>
    </xf>
    <xf numFmtId="167" fontId="0" fillId="0" borderId="165" xfId="0" applyNumberFormat="1" applyBorder="1" applyAlignment="1">
      <alignment horizontal="center"/>
    </xf>
    <xf numFmtId="0" fontId="23" fillId="0" borderId="34" xfId="0" applyFont="1" applyBorder="1" applyAlignment="1">
      <alignment vertical="center" wrapText="1"/>
    </xf>
    <xf numFmtId="0" fontId="23" fillId="0" borderId="36" xfId="0" applyFont="1" applyBorder="1" applyAlignment="1">
      <alignment vertical="center" wrapText="1"/>
    </xf>
    <xf numFmtId="0" fontId="23" fillId="0" borderId="39" xfId="0" applyFont="1" applyBorder="1" applyAlignment="1">
      <alignment vertical="center" wrapText="1"/>
    </xf>
    <xf numFmtId="0" fontId="1" fillId="3" borderId="19" xfId="0" applyFont="1" applyFill="1" applyBorder="1" applyAlignment="1">
      <alignment horizontal="center"/>
    </xf>
    <xf numFmtId="0" fontId="1" fillId="3" borderId="19" xfId="0" applyFont="1" applyFill="1" applyBorder="1" applyAlignment="1">
      <alignment horizontal="center" wrapText="1"/>
    </xf>
    <xf numFmtId="0" fontId="1" fillId="3" borderId="59" xfId="0" applyFont="1" applyFill="1" applyBorder="1" applyAlignment="1">
      <alignment horizontal="center" wrapText="1"/>
    </xf>
    <xf numFmtId="4" fontId="0" fillId="3" borderId="19" xfId="0" applyNumberFormat="1" applyFill="1" applyBorder="1" applyAlignment="1">
      <alignment horizontal="center"/>
    </xf>
    <xf numFmtId="0" fontId="1" fillId="3" borderId="55" xfId="0" applyFont="1" applyFill="1" applyBorder="1"/>
    <xf numFmtId="4" fontId="0" fillId="0" borderId="26" xfId="0" applyNumberFormat="1" applyBorder="1" applyAlignment="1">
      <alignment horizontal="center"/>
    </xf>
    <xf numFmtId="0" fontId="1" fillId="21" borderId="170" xfId="0" applyFont="1" applyFill="1" applyBorder="1" applyAlignment="1">
      <alignment vertical="center"/>
    </xf>
    <xf numFmtId="0" fontId="1" fillId="21" borderId="171" xfId="0" applyFont="1" applyFill="1" applyBorder="1" applyAlignment="1">
      <alignment vertical="center"/>
    </xf>
    <xf numFmtId="175" fontId="0" fillId="0" borderId="26" xfId="0" applyNumberFormat="1" applyBorder="1" applyAlignment="1">
      <alignment horizontal="center"/>
    </xf>
    <xf numFmtId="9" fontId="0" fillId="0" borderId="0" xfId="4" applyFont="1" applyBorder="1" applyAlignment="1">
      <alignment horizontal="center"/>
    </xf>
    <xf numFmtId="173" fontId="0" fillId="0" borderId="0" xfId="0" applyNumberFormat="1" applyAlignment="1">
      <alignment horizontal="center"/>
    </xf>
    <xf numFmtId="173" fontId="0" fillId="0" borderId="7" xfId="0" applyNumberFormat="1" applyBorder="1" applyAlignment="1">
      <alignment horizontal="center"/>
    </xf>
    <xf numFmtId="0" fontId="0" fillId="0" borderId="0" xfId="0" applyAlignment="1">
      <alignment vertical="top"/>
    </xf>
    <xf numFmtId="0" fontId="0" fillId="0" borderId="0" xfId="0" applyAlignment="1">
      <alignment horizontal="left" vertical="top" wrapText="1"/>
    </xf>
    <xf numFmtId="0" fontId="50" fillId="0" borderId="166" xfId="9" applyAlignment="1">
      <alignment vertical="top"/>
    </xf>
    <xf numFmtId="0" fontId="50" fillId="0" borderId="166" xfId="9" applyAlignment="1">
      <alignment horizontal="left" vertical="top" wrapText="1"/>
    </xf>
    <xf numFmtId="0" fontId="50" fillId="0" borderId="166" xfId="9" applyAlignment="1">
      <alignment horizontal="left"/>
    </xf>
    <xf numFmtId="0" fontId="52" fillId="0" borderId="172" xfId="11" applyBorder="1" applyAlignment="1">
      <alignment horizontal="left" vertical="top" wrapText="1"/>
    </xf>
    <xf numFmtId="0" fontId="25" fillId="0" borderId="169" xfId="12" applyFont="1" applyFill="1" applyAlignment="1">
      <alignment horizontal="left" vertical="top" wrapText="1"/>
    </xf>
    <xf numFmtId="0" fontId="22" fillId="0" borderId="174" xfId="2" applyFill="1" applyBorder="1" applyAlignment="1">
      <alignment horizontal="left" vertical="top" wrapText="1"/>
    </xf>
    <xf numFmtId="0" fontId="0" fillId="0" borderId="169" xfId="12" applyFont="1" applyFill="1" applyAlignment="1">
      <alignment horizontal="left" vertical="top" wrapText="1"/>
    </xf>
    <xf numFmtId="0" fontId="57" fillId="0" borderId="169" xfId="12" applyFont="1" applyFill="1" applyAlignment="1">
      <alignment horizontal="left" vertical="top" wrapText="1"/>
    </xf>
    <xf numFmtId="0" fontId="20" fillId="0" borderId="169" xfId="12" applyFont="1" applyFill="1" applyAlignment="1">
      <alignment horizontal="left" vertical="top" wrapText="1"/>
    </xf>
    <xf numFmtId="3" fontId="25" fillId="0" borderId="169" xfId="12" applyNumberFormat="1" applyFont="1" applyFill="1" applyAlignment="1">
      <alignment horizontal="left" vertical="top" wrapText="1"/>
    </xf>
    <xf numFmtId="0" fontId="1" fillId="0" borderId="169" xfId="12" applyFont="1" applyFill="1" applyAlignment="1">
      <alignment horizontal="left" vertical="top" wrapText="1"/>
    </xf>
    <xf numFmtId="3" fontId="0" fillId="0" borderId="169" xfId="12" applyNumberFormat="1" applyFont="1" applyFill="1" applyAlignment="1">
      <alignment horizontal="left" vertical="top" wrapText="1"/>
    </xf>
    <xf numFmtId="3" fontId="1" fillId="0" borderId="169" xfId="12" applyNumberFormat="1" applyFont="1" applyFill="1" applyAlignment="1">
      <alignment horizontal="left" vertical="top" wrapText="1"/>
    </xf>
    <xf numFmtId="0" fontId="52" fillId="0" borderId="172" xfId="10" applyFont="1" applyBorder="1" applyAlignment="1">
      <alignment horizontal="left" vertical="top" wrapText="1"/>
    </xf>
    <xf numFmtId="0" fontId="52" fillId="0" borderId="172" xfId="11" applyFill="1" applyBorder="1" applyAlignment="1">
      <alignment horizontal="left" vertical="top" wrapText="1"/>
    </xf>
    <xf numFmtId="0" fontId="52" fillId="0" borderId="167" xfId="10" applyFont="1" applyAlignment="1">
      <alignment horizontal="left" vertical="top" wrapText="1"/>
    </xf>
    <xf numFmtId="9" fontId="0" fillId="0" borderId="169" xfId="12" applyNumberFormat="1" applyFont="1" applyFill="1" applyAlignment="1">
      <alignment horizontal="left" vertical="top" wrapText="1"/>
    </xf>
    <xf numFmtId="9" fontId="1" fillId="0" borderId="169" xfId="12" applyNumberFormat="1" applyFont="1" applyFill="1" applyAlignment="1">
      <alignment horizontal="left" vertical="top" wrapText="1"/>
    </xf>
    <xf numFmtId="0" fontId="56" fillId="0" borderId="169" xfId="12" applyFont="1" applyFill="1" applyAlignment="1">
      <alignment horizontal="left" vertical="top" wrapText="1"/>
    </xf>
    <xf numFmtId="9" fontId="25" fillId="0" borderId="169" xfId="12" applyNumberFormat="1" applyFont="1" applyFill="1" applyAlignment="1">
      <alignment horizontal="left" vertical="top" wrapText="1"/>
    </xf>
    <xf numFmtId="0" fontId="56" fillId="20" borderId="169" xfId="12" applyFont="1" applyAlignment="1">
      <alignment horizontal="left" vertical="top" wrapText="1"/>
    </xf>
    <xf numFmtId="0" fontId="1" fillId="20" borderId="169" xfId="12" applyFont="1" applyAlignment="1">
      <alignment horizontal="left" vertical="top" wrapText="1"/>
    </xf>
    <xf numFmtId="0" fontId="0" fillId="20" borderId="169" xfId="12" applyFont="1" applyAlignment="1">
      <alignment horizontal="left" vertical="top" wrapText="1"/>
    </xf>
    <xf numFmtId="0" fontId="58" fillId="0" borderId="169" xfId="12" applyFont="1" applyFill="1" applyAlignment="1">
      <alignment horizontal="left" vertical="top" wrapText="1"/>
    </xf>
    <xf numFmtId="0" fontId="54" fillId="0" borderId="169" xfId="12" applyFont="1" applyFill="1" applyAlignment="1">
      <alignment horizontal="left" vertical="top" wrapText="1"/>
    </xf>
    <xf numFmtId="9" fontId="20" fillId="0" borderId="169" xfId="12" applyNumberFormat="1" applyFont="1" applyFill="1" applyAlignment="1">
      <alignment horizontal="left" vertical="top" wrapText="1"/>
    </xf>
    <xf numFmtId="0" fontId="0" fillId="0" borderId="15" xfId="0" applyBorder="1" applyAlignment="1">
      <alignment vertical="center"/>
    </xf>
    <xf numFmtId="0" fontId="0" fillId="0" borderId="19" xfId="0" applyBorder="1" applyAlignment="1">
      <alignment vertical="center"/>
    </xf>
    <xf numFmtId="0" fontId="0" fillId="0" borderId="47" xfId="0" applyBorder="1" applyAlignment="1">
      <alignment vertical="center" wrapText="1"/>
    </xf>
    <xf numFmtId="0" fontId="0" fillId="0" borderId="44" xfId="0" applyBorder="1" applyAlignment="1">
      <alignment vertical="center" wrapText="1"/>
    </xf>
    <xf numFmtId="0" fontId="0" fillId="0" borderId="43" xfId="0" applyBorder="1" applyAlignment="1">
      <alignment vertical="center"/>
    </xf>
    <xf numFmtId="0" fontId="0" fillId="0" borderId="75" xfId="0" applyBorder="1" applyAlignment="1">
      <alignment vertical="center" wrapText="1"/>
    </xf>
    <xf numFmtId="0" fontId="1" fillId="0" borderId="177" xfId="0" applyFont="1" applyBorder="1" applyAlignment="1">
      <alignment horizontal="center"/>
    </xf>
    <xf numFmtId="0" fontId="1" fillId="0" borderId="178" xfId="0" applyFont="1" applyBorder="1" applyAlignment="1">
      <alignment horizontal="center"/>
    </xf>
    <xf numFmtId="0" fontId="1" fillId="0" borderId="179" xfId="0" applyFont="1" applyBorder="1" applyAlignment="1">
      <alignment horizontal="center"/>
    </xf>
    <xf numFmtId="0" fontId="0" fillId="0" borderId="18" xfId="0" applyBorder="1" applyAlignment="1">
      <alignment horizontal="center" vertical="center"/>
    </xf>
    <xf numFmtId="0" fontId="0" fillId="0" borderId="46" xfId="0" applyBorder="1" applyAlignment="1">
      <alignment horizontal="center" vertical="center"/>
    </xf>
    <xf numFmtId="0" fontId="25" fillId="0" borderId="0" xfId="12" applyFont="1" applyFill="1" applyBorder="1" applyAlignment="1">
      <alignment horizontal="left" vertical="center" wrapText="1"/>
    </xf>
    <xf numFmtId="9" fontId="23" fillId="4" borderId="40" xfId="0" applyNumberFormat="1" applyFont="1" applyFill="1" applyBorder="1" applyAlignment="1">
      <alignment vertical="center" wrapText="1"/>
    </xf>
    <xf numFmtId="0" fontId="22" fillId="0" borderId="0" xfId="2" applyFill="1" applyBorder="1" applyAlignment="1">
      <alignment horizontal="left" vertical="top"/>
    </xf>
    <xf numFmtId="0" fontId="1" fillId="3" borderId="11" xfId="0" applyFont="1" applyFill="1" applyBorder="1" applyAlignment="1">
      <alignment horizontal="center" wrapText="1"/>
    </xf>
    <xf numFmtId="0" fontId="1" fillId="3" borderId="58" xfId="0" applyFont="1" applyFill="1" applyBorder="1" applyAlignment="1">
      <alignment horizontal="center"/>
    </xf>
    <xf numFmtId="0" fontId="1" fillId="3" borderId="12" xfId="0" applyFont="1" applyFill="1" applyBorder="1" applyAlignment="1">
      <alignment horizontal="center" wrapText="1"/>
    </xf>
    <xf numFmtId="173" fontId="0" fillId="0" borderId="5" xfId="0" applyNumberFormat="1" applyBorder="1" applyAlignment="1">
      <alignment horizontal="center"/>
    </xf>
    <xf numFmtId="173" fontId="0" fillId="0" borderId="0" xfId="4" applyNumberFormat="1" applyFont="1" applyBorder="1" applyAlignment="1">
      <alignment horizontal="center"/>
    </xf>
    <xf numFmtId="173" fontId="0" fillId="0" borderId="7" xfId="4" applyNumberFormat="1" applyFont="1" applyBorder="1" applyAlignment="1">
      <alignment horizontal="center"/>
    </xf>
    <xf numFmtId="173" fontId="0" fillId="0" borderId="8" xfId="0" applyNumberFormat="1" applyBorder="1" applyAlignment="1">
      <alignment horizontal="center"/>
    </xf>
    <xf numFmtId="0" fontId="10" fillId="2" borderId="0" xfId="0" applyFont="1" applyFill="1" applyAlignment="1" applyProtection="1">
      <alignment horizontal="center" vertical="center" wrapText="1"/>
      <protection hidden="1"/>
    </xf>
    <xf numFmtId="0" fontId="1" fillId="3" borderId="180" xfId="0" applyFont="1" applyFill="1" applyBorder="1" applyAlignment="1">
      <alignment horizontal="center" wrapText="1"/>
    </xf>
    <xf numFmtId="0" fontId="1" fillId="3" borderId="44" xfId="0" applyFont="1" applyFill="1" applyBorder="1" applyAlignment="1">
      <alignment horizontal="center" wrapText="1"/>
    </xf>
    <xf numFmtId="1" fontId="0" fillId="0" borderId="0" xfId="0" applyNumberFormat="1"/>
    <xf numFmtId="0" fontId="61" fillId="22" borderId="8" xfId="0" applyFont="1" applyFill="1" applyBorder="1" applyAlignment="1">
      <alignment horizontal="center" vertical="center" wrapText="1"/>
    </xf>
    <xf numFmtId="0" fontId="0" fillId="0" borderId="53" xfId="0" applyBorder="1" applyAlignment="1">
      <alignment vertical="center" wrapText="1"/>
    </xf>
    <xf numFmtId="0" fontId="0" fillId="0" borderId="5" xfId="0" applyBorder="1" applyAlignment="1">
      <alignment vertical="center" wrapText="1"/>
    </xf>
    <xf numFmtId="0" fontId="0" fillId="0" borderId="8" xfId="0" applyBorder="1" applyAlignment="1">
      <alignment vertical="center" wrapText="1"/>
    </xf>
    <xf numFmtId="0" fontId="62" fillId="0" borderId="8" xfId="0" applyFont="1" applyBorder="1" applyAlignment="1">
      <alignment horizontal="left" vertical="center" wrapText="1"/>
    </xf>
    <xf numFmtId="0" fontId="0" fillId="0" borderId="54" xfId="0" applyBorder="1" applyAlignment="1">
      <alignment vertical="center" wrapText="1"/>
    </xf>
    <xf numFmtId="9" fontId="0" fillId="0" borderId="8" xfId="0" applyNumberFormat="1" applyBorder="1" applyAlignment="1">
      <alignment vertical="center" wrapText="1"/>
    </xf>
    <xf numFmtId="0" fontId="0" fillId="0" borderId="5" xfId="0" applyBorder="1" applyAlignment="1">
      <alignment vertical="top" wrapText="1"/>
    </xf>
    <xf numFmtId="0" fontId="0" fillId="0" borderId="8" xfId="0" applyBorder="1" applyAlignment="1">
      <alignment vertical="top" wrapText="1"/>
    </xf>
    <xf numFmtId="167" fontId="0" fillId="0" borderId="0" xfId="0" applyNumberFormat="1" applyAlignment="1">
      <alignment horizontal="center" vertical="center"/>
    </xf>
    <xf numFmtId="2" fontId="0" fillId="0" borderId="51" xfId="0" applyNumberFormat="1" applyBorder="1" applyAlignment="1">
      <alignment horizontal="center" vertical="center"/>
    </xf>
    <xf numFmtId="0" fontId="0" fillId="0" borderId="181" xfId="0" applyBorder="1" applyAlignment="1">
      <alignment vertical="center" wrapText="1"/>
    </xf>
    <xf numFmtId="0" fontId="0" fillId="0" borderId="22" xfId="0" applyBorder="1" applyAlignment="1">
      <alignment vertical="center" wrapText="1"/>
    </xf>
    <xf numFmtId="176" fontId="0" fillId="0" borderId="5" xfId="0" applyNumberFormat="1" applyBorder="1" applyAlignment="1">
      <alignment horizontal="left" vertical="center" wrapText="1"/>
    </xf>
    <xf numFmtId="177" fontId="0" fillId="0" borderId="5" xfId="0" applyNumberFormat="1" applyBorder="1" applyAlignment="1">
      <alignment horizontal="left" vertical="center" wrapText="1"/>
    </xf>
    <xf numFmtId="178" fontId="0" fillId="0" borderId="5" xfId="0" applyNumberFormat="1" applyBorder="1" applyAlignment="1">
      <alignment horizontal="left" vertical="center" wrapText="1"/>
    </xf>
    <xf numFmtId="179" fontId="0" fillId="0" borderId="5" xfId="0" applyNumberFormat="1" applyBorder="1" applyAlignment="1">
      <alignment horizontal="left" vertical="center" wrapText="1"/>
    </xf>
    <xf numFmtId="0" fontId="0" fillId="0" borderId="8" xfId="0" quotePrefix="1" applyBorder="1" applyAlignment="1">
      <alignment vertical="center" wrapText="1"/>
    </xf>
    <xf numFmtId="0" fontId="0" fillId="0" borderId="8" xfId="0" applyBorder="1" applyAlignment="1">
      <alignment horizontal="center" vertical="center" wrapText="1"/>
    </xf>
    <xf numFmtId="0" fontId="0" fillId="0" borderId="182" xfId="0" applyBorder="1"/>
    <xf numFmtId="0" fontId="0" fillId="0" borderId="183" xfId="0" applyBorder="1"/>
    <xf numFmtId="0" fontId="65" fillId="23" borderId="70" xfId="0" applyFont="1" applyFill="1" applyBorder="1" applyAlignment="1">
      <alignment horizontal="center" vertical="center" wrapText="1"/>
    </xf>
    <xf numFmtId="0" fontId="64" fillId="0" borderId="70" xfId="0" applyFont="1" applyBorder="1" applyAlignment="1">
      <alignment vertical="center" wrapText="1"/>
    </xf>
    <xf numFmtId="9" fontId="0" fillId="0" borderId="0" xfId="4" applyFont="1"/>
    <xf numFmtId="0" fontId="64" fillId="0" borderId="0" xfId="0" applyFont="1" applyAlignment="1">
      <alignment horizontal="right" wrapText="1"/>
    </xf>
    <xf numFmtId="9" fontId="0" fillId="0" borderId="157" xfId="4" applyFont="1" applyFill="1" applyBorder="1" applyAlignment="1">
      <alignment horizontal="center"/>
    </xf>
    <xf numFmtId="9" fontId="0" fillId="0" borderId="164" xfId="4" applyFont="1" applyFill="1" applyBorder="1" applyAlignment="1">
      <alignment horizontal="center"/>
    </xf>
    <xf numFmtId="171" fontId="0" fillId="0" borderId="0" xfId="0" applyNumberFormat="1" applyAlignment="1">
      <alignment horizontal="center"/>
    </xf>
    <xf numFmtId="0" fontId="1" fillId="22" borderId="181" xfId="0" applyFont="1" applyFill="1" applyBorder="1" applyAlignment="1">
      <alignment horizontal="center" vertical="center" wrapText="1"/>
    </xf>
    <xf numFmtId="0" fontId="0" fillId="0" borderId="0" xfId="0" applyAlignment="1">
      <alignment horizontal="left" wrapText="1"/>
    </xf>
    <xf numFmtId="0" fontId="66" fillId="22" borderId="181" xfId="0" applyFont="1" applyFill="1" applyBorder="1" applyAlignment="1">
      <alignment horizontal="center" vertical="center" wrapText="1"/>
    </xf>
    <xf numFmtId="0" fontId="0" fillId="0" borderId="8" xfId="0" applyBorder="1" applyAlignment="1">
      <alignment wrapText="1"/>
    </xf>
    <xf numFmtId="2" fontId="0" fillId="0" borderId="8" xfId="0" applyNumberFormat="1" applyBorder="1" applyAlignment="1">
      <alignment horizontal="center" vertical="center" wrapText="1"/>
    </xf>
    <xf numFmtId="0" fontId="61" fillId="22" borderId="6" xfId="0" applyFont="1" applyFill="1" applyBorder="1" applyAlignment="1">
      <alignment horizontal="center" vertical="center" wrapText="1"/>
    </xf>
    <xf numFmtId="1" fontId="0" fillId="0" borderId="8" xfId="0" applyNumberFormat="1" applyBorder="1" applyAlignment="1">
      <alignment horizontal="center" vertical="center" wrapText="1"/>
    </xf>
    <xf numFmtId="0" fontId="0" fillId="0" borderId="27" xfId="0" applyBorder="1" applyAlignment="1">
      <alignment vertical="center" wrapText="1"/>
    </xf>
    <xf numFmtId="0" fontId="14" fillId="0" borderId="0" xfId="1" applyFont="1" applyAlignment="1">
      <alignment horizontal="center" vertical="center" wrapText="1"/>
    </xf>
    <xf numFmtId="0" fontId="18" fillId="0" borderId="0" xfId="1" applyFont="1" applyAlignment="1">
      <alignment horizontal="center" wrapText="1"/>
    </xf>
    <xf numFmtId="167" fontId="0" fillId="0" borderId="157" xfId="0" applyNumberFormat="1" applyBorder="1" applyAlignment="1">
      <alignment horizontal="center"/>
    </xf>
    <xf numFmtId="167" fontId="0" fillId="0" borderId="164" xfId="0" applyNumberFormat="1" applyBorder="1" applyAlignment="1">
      <alignment horizontal="center"/>
    </xf>
    <xf numFmtId="0" fontId="69" fillId="17" borderId="185" xfId="0" applyFont="1" applyFill="1" applyBorder="1" applyAlignment="1">
      <alignment horizontal="center" vertical="center" wrapText="1"/>
    </xf>
    <xf numFmtId="0" fontId="68" fillId="17" borderId="184" xfId="0" applyFont="1" applyFill="1" applyBorder="1" applyAlignment="1">
      <alignment horizontal="center" vertical="center" wrapText="1"/>
    </xf>
    <xf numFmtId="0" fontId="68" fillId="17" borderId="186" xfId="0" applyFont="1" applyFill="1" applyBorder="1" applyAlignment="1">
      <alignment horizontal="center" vertical="center" wrapText="1"/>
    </xf>
    <xf numFmtId="0" fontId="68" fillId="17" borderId="185" xfId="0" applyFont="1" applyFill="1" applyBorder="1" applyAlignment="1">
      <alignment horizontal="center" vertical="center" wrapText="1"/>
    </xf>
    <xf numFmtId="0" fontId="69" fillId="17" borderId="188" xfId="0" applyFont="1" applyFill="1" applyBorder="1" applyAlignment="1">
      <alignment horizontal="center" vertical="center" wrapText="1"/>
    </xf>
    <xf numFmtId="0" fontId="69" fillId="17" borderId="189" xfId="0" applyFont="1" applyFill="1" applyBorder="1" applyAlignment="1">
      <alignment horizontal="center" vertical="center" wrapText="1"/>
    </xf>
    <xf numFmtId="0" fontId="69" fillId="17" borderId="190" xfId="0" applyFont="1" applyFill="1" applyBorder="1" applyAlignment="1">
      <alignment horizontal="center" vertical="center" wrapText="1"/>
    </xf>
    <xf numFmtId="0" fontId="69" fillId="17" borderId="191" xfId="0" applyFont="1" applyFill="1" applyBorder="1" applyAlignment="1">
      <alignment horizontal="center" vertical="center" wrapText="1"/>
    </xf>
    <xf numFmtId="0" fontId="68" fillId="17" borderId="192" xfId="0" applyFont="1" applyFill="1" applyBorder="1" applyAlignment="1">
      <alignment horizontal="center" vertical="center" wrapText="1"/>
    </xf>
    <xf numFmtId="0" fontId="68" fillId="17" borderId="194" xfId="0" applyFont="1" applyFill="1" applyBorder="1" applyAlignment="1">
      <alignment horizontal="center" vertical="center" wrapText="1"/>
    </xf>
    <xf numFmtId="0" fontId="0" fillId="17" borderId="190" xfId="0" applyFill="1" applyBorder="1" applyAlignment="1">
      <alignment horizontal="center" vertical="center" wrapText="1"/>
    </xf>
    <xf numFmtId="0" fontId="0" fillId="17" borderId="194" xfId="0" applyFill="1" applyBorder="1" applyAlignment="1">
      <alignment horizontal="center" vertical="center" wrapText="1"/>
    </xf>
    <xf numFmtId="0" fontId="69" fillId="17" borderId="202" xfId="0" applyFont="1" applyFill="1" applyBorder="1" applyAlignment="1">
      <alignment horizontal="center" vertical="center" wrapText="1"/>
    </xf>
    <xf numFmtId="0" fontId="1" fillId="0" borderId="0" xfId="0" applyFont="1" applyAlignment="1">
      <alignment wrapText="1"/>
    </xf>
    <xf numFmtId="0" fontId="68" fillId="17" borderId="192" xfId="0" applyFont="1" applyFill="1" applyBorder="1" applyAlignment="1">
      <alignment vertical="center" wrapText="1"/>
    </xf>
    <xf numFmtId="0" fontId="68" fillId="17" borderId="194" xfId="0" applyFont="1" applyFill="1" applyBorder="1" applyAlignment="1">
      <alignment vertical="center" wrapText="1"/>
    </xf>
    <xf numFmtId="0" fontId="68" fillId="17" borderId="190" xfId="0" applyFont="1" applyFill="1" applyBorder="1" applyAlignment="1">
      <alignment vertical="center" wrapText="1"/>
    </xf>
    <xf numFmtId="0" fontId="68" fillId="17" borderId="184" xfId="0" applyFont="1" applyFill="1" applyBorder="1" applyAlignment="1">
      <alignment vertical="center" wrapText="1"/>
    </xf>
    <xf numFmtId="0" fontId="68" fillId="17" borderId="186" xfId="0" applyFont="1" applyFill="1" applyBorder="1" applyAlignment="1">
      <alignment vertical="center" wrapText="1"/>
    </xf>
    <xf numFmtId="0" fontId="68" fillId="17" borderId="185" xfId="0" applyFont="1" applyFill="1" applyBorder="1" applyAlignment="1">
      <alignment vertical="center" wrapText="1"/>
    </xf>
    <xf numFmtId="0" fontId="71" fillId="17" borderId="184" xfId="0" applyFont="1" applyFill="1" applyBorder="1" applyAlignment="1">
      <alignment vertical="center" wrapText="1"/>
    </xf>
    <xf numFmtId="0" fontId="71" fillId="17" borderId="186" xfId="0" applyFont="1" applyFill="1" applyBorder="1" applyAlignment="1">
      <alignment vertical="center" wrapText="1"/>
    </xf>
    <xf numFmtId="0" fontId="71" fillId="17" borderId="185" xfId="0" applyFont="1" applyFill="1" applyBorder="1" applyAlignment="1">
      <alignment vertical="center" wrapText="1"/>
    </xf>
    <xf numFmtId="0" fontId="68" fillId="17" borderId="193" xfId="0" applyFont="1" applyFill="1" applyBorder="1" applyAlignment="1">
      <alignment vertical="center" wrapText="1"/>
    </xf>
    <xf numFmtId="0" fontId="68" fillId="17" borderId="195" xfId="0" applyFont="1" applyFill="1" applyBorder="1" applyAlignment="1">
      <alignment vertical="center" wrapText="1"/>
    </xf>
    <xf numFmtId="0" fontId="68" fillId="17" borderId="191" xfId="0" applyFont="1" applyFill="1" applyBorder="1" applyAlignment="1">
      <alignment vertical="center" wrapText="1"/>
    </xf>
    <xf numFmtId="0" fontId="69" fillId="17" borderId="189" xfId="0" applyFont="1" applyFill="1" applyBorder="1" applyAlignment="1">
      <alignment vertical="center" wrapText="1"/>
    </xf>
    <xf numFmtId="0" fontId="69" fillId="17" borderId="185" xfId="0" applyFont="1" applyFill="1" applyBorder="1" applyAlignment="1">
      <alignment vertical="center" wrapText="1"/>
    </xf>
    <xf numFmtId="0" fontId="0" fillId="11" borderId="53" xfId="0" applyFill="1" applyBorder="1" applyAlignment="1">
      <alignment wrapText="1"/>
    </xf>
    <xf numFmtId="0" fontId="0" fillId="11" borderId="0" xfId="0" applyFill="1" applyAlignment="1">
      <alignment horizontal="center" vertical="center"/>
    </xf>
    <xf numFmtId="0" fontId="0" fillId="24" borderId="53" xfId="0" applyFill="1" applyBorder="1"/>
    <xf numFmtId="0" fontId="0" fillId="24" borderId="0" xfId="0" applyFill="1"/>
    <xf numFmtId="0" fontId="0" fillId="24" borderId="0" xfId="0" applyFill="1" applyAlignment="1">
      <alignment horizontal="center"/>
    </xf>
    <xf numFmtId="43" fontId="0" fillId="0" borderId="0" xfId="3" applyFont="1" applyBorder="1" applyAlignment="1">
      <alignment horizontal="center"/>
    </xf>
    <xf numFmtId="43" fontId="0" fillId="0" borderId="5" xfId="3" applyFont="1" applyBorder="1" applyAlignment="1">
      <alignment horizontal="center"/>
    </xf>
    <xf numFmtId="43" fontId="0" fillId="0" borderId="7" xfId="3" applyFont="1" applyBorder="1" applyAlignment="1">
      <alignment horizontal="center"/>
    </xf>
    <xf numFmtId="43" fontId="0" fillId="0" borderId="8" xfId="3" applyFont="1" applyBorder="1" applyAlignment="1">
      <alignment horizontal="center"/>
    </xf>
    <xf numFmtId="0" fontId="1" fillId="4" borderId="0" xfId="0" applyFont="1" applyFill="1"/>
    <xf numFmtId="0" fontId="0" fillId="0" borderId="43" xfId="0" applyBorder="1"/>
    <xf numFmtId="0" fontId="20" fillId="7" borderId="0" xfId="0" applyFont="1" applyFill="1"/>
    <xf numFmtId="2" fontId="0" fillId="0" borderId="0" xfId="0" applyNumberFormat="1"/>
    <xf numFmtId="1" fontId="0" fillId="0" borderId="0" xfId="0" applyNumberFormat="1" applyAlignment="1">
      <alignment horizontal="center"/>
    </xf>
    <xf numFmtId="164" fontId="0" fillId="0" borderId="0" xfId="0" applyNumberFormat="1" applyAlignment="1">
      <alignment horizontal="center"/>
    </xf>
    <xf numFmtId="0" fontId="0" fillId="7" borderId="0" xfId="0" applyFill="1" applyAlignment="1">
      <alignment horizontal="center" wrapText="1"/>
    </xf>
    <xf numFmtId="0" fontId="0" fillId="0" borderId="0" xfId="0" quotePrefix="1"/>
    <xf numFmtId="4" fontId="0" fillId="3" borderId="43" xfId="0" applyNumberFormat="1" applyFill="1" applyBorder="1" applyAlignment="1">
      <alignment horizontal="center"/>
    </xf>
    <xf numFmtId="4" fontId="0" fillId="5" borderId="43" xfId="0" applyNumberFormat="1" applyFill="1" applyBorder="1" applyAlignment="1">
      <alignment horizontal="center"/>
    </xf>
    <xf numFmtId="0" fontId="1" fillId="3" borderId="46" xfId="0" applyFont="1" applyFill="1" applyBorder="1"/>
    <xf numFmtId="0" fontId="1" fillId="3" borderId="77" xfId="0" applyFont="1" applyFill="1" applyBorder="1"/>
    <xf numFmtId="4" fontId="0" fillId="3" borderId="44" xfId="0" applyNumberFormat="1" applyFill="1" applyBorder="1" applyAlignment="1">
      <alignment horizontal="center"/>
    </xf>
    <xf numFmtId="4" fontId="0" fillId="5" borderId="75" xfId="0" applyNumberFormat="1" applyFill="1" applyBorder="1" applyAlignment="1">
      <alignment horizontal="center"/>
    </xf>
    <xf numFmtId="4" fontId="0" fillId="3" borderId="75" xfId="0" applyNumberFormat="1" applyFill="1" applyBorder="1" applyAlignment="1">
      <alignment horizontal="center"/>
    </xf>
    <xf numFmtId="4" fontId="0" fillId="0" borderId="43" xfId="0" applyNumberFormat="1" applyBorder="1" applyAlignment="1">
      <alignment horizontal="center"/>
    </xf>
    <xf numFmtId="4" fontId="0" fillId="0" borderId="75" xfId="0" applyNumberFormat="1" applyBorder="1" applyAlignment="1">
      <alignment horizontal="center"/>
    </xf>
    <xf numFmtId="0" fontId="56" fillId="21" borderId="18" xfId="0" applyFont="1" applyFill="1" applyBorder="1" applyAlignment="1">
      <alignment vertical="center"/>
    </xf>
    <xf numFmtId="0" fontId="56" fillId="3" borderId="19" xfId="0" applyFont="1" applyFill="1" applyBorder="1" applyAlignment="1">
      <alignment horizontal="center" wrapText="1"/>
    </xf>
    <xf numFmtId="0" fontId="56" fillId="3" borderId="44" xfId="0" applyFont="1" applyFill="1" applyBorder="1" applyAlignment="1">
      <alignment horizontal="center" wrapText="1"/>
    </xf>
    <xf numFmtId="44" fontId="0" fillId="0" borderId="0" xfId="0" applyNumberFormat="1"/>
    <xf numFmtId="0" fontId="1" fillId="3" borderId="0" xfId="0" applyFont="1" applyFill="1" applyAlignment="1">
      <alignment horizontal="center" wrapText="1"/>
    </xf>
    <xf numFmtId="43" fontId="0" fillId="0" borderId="0" xfId="3" applyFont="1" applyFill="1" applyBorder="1" applyAlignment="1">
      <alignment horizontal="center"/>
    </xf>
    <xf numFmtId="9" fontId="25" fillId="0" borderId="0" xfId="0" applyNumberFormat="1" applyFont="1" applyAlignment="1">
      <alignment horizontal="center" wrapText="1"/>
    </xf>
    <xf numFmtId="0" fontId="1" fillId="3" borderId="19" xfId="0" applyFont="1" applyFill="1" applyBorder="1"/>
    <xf numFmtId="180" fontId="0" fillId="0" borderId="0" xfId="8" applyNumberFormat="1" applyFont="1" applyBorder="1" applyAlignment="1">
      <alignment horizontal="center"/>
    </xf>
    <xf numFmtId="0" fontId="75" fillId="0" borderId="0" xfId="0" applyFont="1"/>
    <xf numFmtId="0" fontId="20" fillId="25" borderId="0" xfId="0" applyFont="1" applyFill="1"/>
    <xf numFmtId="0" fontId="0" fillId="0" borderId="0" xfId="0" applyAlignment="1">
      <alignment horizontal="left"/>
    </xf>
    <xf numFmtId="0" fontId="1" fillId="2" borderId="0" xfId="0" applyFont="1" applyFill="1" applyAlignment="1">
      <alignment horizontal="center"/>
    </xf>
    <xf numFmtId="0" fontId="23" fillId="10" borderId="28" xfId="0" applyFont="1" applyFill="1" applyBorder="1" applyAlignment="1">
      <alignment vertical="center" wrapText="1"/>
    </xf>
    <xf numFmtId="0" fontId="23" fillId="10" borderId="29" xfId="0" applyFont="1" applyFill="1" applyBorder="1" applyAlignment="1">
      <alignment vertical="center" wrapText="1"/>
    </xf>
    <xf numFmtId="0" fontId="23" fillId="10" borderId="30" xfId="0" applyFont="1" applyFill="1" applyBorder="1" applyAlignment="1">
      <alignment vertical="center" wrapText="1"/>
    </xf>
    <xf numFmtId="0" fontId="24" fillId="0" borderId="35" xfId="0" applyFont="1" applyBorder="1" applyAlignment="1">
      <alignment vertical="center" wrapText="1"/>
    </xf>
    <xf numFmtId="0" fontId="24" fillId="0" borderId="32" xfId="0" applyFont="1" applyBorder="1" applyAlignment="1">
      <alignment vertical="center" wrapText="1"/>
    </xf>
    <xf numFmtId="0" fontId="24" fillId="0" borderId="42" xfId="0" applyFont="1" applyBorder="1" applyAlignment="1">
      <alignment vertical="center" wrapText="1"/>
    </xf>
    <xf numFmtId="0" fontId="24" fillId="0" borderId="33" xfId="0" applyFont="1" applyBorder="1" applyAlignment="1">
      <alignment vertical="center" wrapText="1"/>
    </xf>
    <xf numFmtId="0" fontId="24" fillId="0" borderId="37" xfId="0" applyFont="1" applyBorder="1" applyAlignment="1">
      <alignment vertical="center" wrapText="1"/>
    </xf>
    <xf numFmtId="0" fontId="24" fillId="0" borderId="38" xfId="0" applyFont="1" applyBorder="1" applyAlignment="1">
      <alignment vertical="center" wrapText="1"/>
    </xf>
    <xf numFmtId="10" fontId="23" fillId="0" borderId="34" xfId="0" applyNumberFormat="1" applyFont="1" applyBorder="1" applyAlignment="1">
      <alignment vertical="center" wrapText="1"/>
    </xf>
    <xf numFmtId="10" fontId="23" fillId="0" borderId="39" xfId="0" applyNumberFormat="1" applyFont="1" applyBorder="1" applyAlignment="1">
      <alignment vertical="center" wrapText="1"/>
    </xf>
    <xf numFmtId="9" fontId="23" fillId="0" borderId="34" xfId="0" applyNumberFormat="1" applyFont="1" applyBorder="1" applyAlignment="1">
      <alignment vertical="center" wrapText="1"/>
    </xf>
    <xf numFmtId="9" fontId="23" fillId="0" borderId="39" xfId="0" applyNumberFormat="1" applyFont="1" applyBorder="1" applyAlignment="1">
      <alignment vertical="center" wrapText="1"/>
    </xf>
    <xf numFmtId="0" fontId="24" fillId="0" borderId="28" xfId="0" applyFont="1" applyBorder="1" applyAlignment="1">
      <alignment vertical="center" wrapText="1"/>
    </xf>
    <xf numFmtId="0" fontId="24" fillId="0" borderId="30" xfId="0" applyFont="1" applyBorder="1" applyAlignment="1">
      <alignment vertical="center" wrapText="1"/>
    </xf>
    <xf numFmtId="0" fontId="23" fillId="0" borderId="35" xfId="0" applyFont="1" applyBorder="1" applyAlignment="1">
      <alignment vertical="center" wrapText="1"/>
    </xf>
    <xf numFmtId="0" fontId="23" fillId="0" borderId="31" xfId="0" applyFont="1" applyBorder="1" applyAlignment="1">
      <alignment vertical="center" wrapText="1"/>
    </xf>
    <xf numFmtId="0" fontId="23" fillId="0" borderId="32" xfId="0" applyFont="1" applyBorder="1" applyAlignment="1">
      <alignment vertical="center" wrapText="1"/>
    </xf>
    <xf numFmtId="0" fontId="23" fillId="0" borderId="37" xfId="0" applyFont="1" applyBorder="1" applyAlignment="1">
      <alignment vertical="center" wrapText="1"/>
    </xf>
    <xf numFmtId="0" fontId="23" fillId="0" borderId="41" xfId="0" applyFont="1" applyBorder="1" applyAlignment="1">
      <alignment vertical="center" wrapText="1"/>
    </xf>
    <xf numFmtId="0" fontId="23" fillId="0" borderId="38" xfId="0" applyFont="1" applyBorder="1" applyAlignment="1">
      <alignment vertical="center" wrapText="1"/>
    </xf>
    <xf numFmtId="0" fontId="23" fillId="0" borderId="34" xfId="0" applyFont="1" applyBorder="1" applyAlignment="1">
      <alignment vertical="center" wrapText="1"/>
    </xf>
    <xf numFmtId="0" fontId="23" fillId="0" borderId="36" xfId="0" applyFont="1" applyBorder="1" applyAlignment="1">
      <alignment vertical="center" wrapText="1"/>
    </xf>
    <xf numFmtId="0" fontId="23" fillId="0" borderId="39" xfId="0" applyFont="1" applyBorder="1" applyAlignment="1">
      <alignment vertical="center" wrapText="1"/>
    </xf>
    <xf numFmtId="0" fontId="23" fillId="0" borderId="28" xfId="0" applyFont="1" applyBorder="1" applyAlignment="1">
      <alignment vertical="center" wrapText="1"/>
    </xf>
    <xf numFmtId="0" fontId="23" fillId="0" borderId="29" xfId="0" applyFont="1" applyBorder="1" applyAlignment="1">
      <alignment vertical="center" wrapText="1"/>
    </xf>
    <xf numFmtId="0" fontId="23" fillId="0" borderId="30" xfId="0" applyFont="1" applyBorder="1" applyAlignment="1">
      <alignment vertical="center" wrapText="1"/>
    </xf>
    <xf numFmtId="10" fontId="23" fillId="0" borderId="28" xfId="0" applyNumberFormat="1" applyFont="1" applyBorder="1" applyAlignment="1">
      <alignment vertical="center" wrapText="1"/>
    </xf>
    <xf numFmtId="10" fontId="23" fillId="0" borderId="29" xfId="0" applyNumberFormat="1" applyFont="1" applyBorder="1" applyAlignment="1">
      <alignment vertical="center" wrapText="1"/>
    </xf>
    <xf numFmtId="10" fontId="23" fillId="0" borderId="30" xfId="0" applyNumberFormat="1" applyFont="1" applyBorder="1" applyAlignment="1">
      <alignment vertical="center" wrapText="1"/>
    </xf>
    <xf numFmtId="9" fontId="23" fillId="4" borderId="28" xfId="0" applyNumberFormat="1" applyFont="1" applyFill="1" applyBorder="1" applyAlignment="1">
      <alignment vertical="center" wrapText="1"/>
    </xf>
    <xf numFmtId="9" fontId="23" fillId="4" borderId="29" xfId="0" applyNumberFormat="1" applyFont="1" applyFill="1" applyBorder="1" applyAlignment="1">
      <alignment vertical="center" wrapText="1"/>
    </xf>
    <xf numFmtId="9" fontId="23" fillId="4" borderId="30" xfId="0" applyNumberFormat="1" applyFont="1" applyFill="1" applyBorder="1" applyAlignment="1">
      <alignment vertical="center" wrapText="1"/>
    </xf>
    <xf numFmtId="9" fontId="23" fillId="0" borderId="28" xfId="0" applyNumberFormat="1" applyFont="1" applyBorder="1" applyAlignment="1">
      <alignment vertical="center" wrapText="1"/>
    </xf>
    <xf numFmtId="9" fontId="23" fillId="0" borderId="29" xfId="0" applyNumberFormat="1" applyFont="1" applyBorder="1" applyAlignment="1">
      <alignment vertical="center" wrapText="1"/>
    </xf>
    <xf numFmtId="9" fontId="23" fillId="0" borderId="30" xfId="0" applyNumberFormat="1" applyFont="1" applyBorder="1" applyAlignment="1">
      <alignment vertical="center" wrapText="1"/>
    </xf>
    <xf numFmtId="0" fontId="24" fillId="0" borderId="28" xfId="0" applyFont="1" applyBorder="1" applyAlignment="1">
      <alignment horizontal="center" vertical="center" wrapText="1"/>
    </xf>
    <xf numFmtId="0" fontId="24" fillId="0" borderId="29" xfId="0" applyFont="1" applyBorder="1" applyAlignment="1">
      <alignment horizontal="center" vertical="center" wrapText="1"/>
    </xf>
    <xf numFmtId="0" fontId="24" fillId="0" borderId="30" xfId="0" applyFont="1" applyBorder="1" applyAlignment="1">
      <alignment horizontal="center" vertical="center" wrapText="1"/>
    </xf>
    <xf numFmtId="0" fontId="23" fillId="0" borderId="28" xfId="0" applyFont="1" applyBorder="1" applyAlignment="1">
      <alignment horizontal="center" vertical="center" wrapText="1"/>
    </xf>
    <xf numFmtId="0" fontId="23" fillId="0" borderId="30" xfId="0" applyFont="1" applyBorder="1" applyAlignment="1">
      <alignment horizontal="center" vertical="center" wrapText="1"/>
    </xf>
    <xf numFmtId="0" fontId="23" fillId="0" borderId="29" xfId="0" applyFont="1" applyBorder="1" applyAlignment="1">
      <alignment horizontal="center" vertical="center" wrapText="1"/>
    </xf>
    <xf numFmtId="0" fontId="23" fillId="0" borderId="0" xfId="0" applyFont="1" applyAlignment="1">
      <alignment vertical="center" wrapText="1"/>
    </xf>
    <xf numFmtId="0" fontId="1" fillId="2" borderId="9" xfId="0" applyFont="1" applyFill="1" applyBorder="1" applyAlignment="1">
      <alignment horizontal="center"/>
    </xf>
    <xf numFmtId="0" fontId="1" fillId="2" borderId="11" xfId="0" applyFont="1" applyFill="1" applyBorder="1" applyAlignment="1">
      <alignment horizontal="center"/>
    </xf>
    <xf numFmtId="0" fontId="0" fillId="2" borderId="12" xfId="0" applyFill="1" applyBorder="1" applyAlignment="1">
      <alignment horizontal="center" wrapText="1"/>
    </xf>
    <xf numFmtId="0" fontId="0" fillId="2" borderId="59" xfId="0" applyFill="1" applyBorder="1" applyAlignment="1">
      <alignment horizontal="center" wrapText="1"/>
    </xf>
    <xf numFmtId="0" fontId="1" fillId="9" borderId="44" xfId="0" applyFont="1" applyFill="1" applyBorder="1" applyAlignment="1">
      <alignment horizontal="center" wrapText="1"/>
    </xf>
    <xf numFmtId="0" fontId="1" fillId="9" borderId="45" xfId="0" applyFont="1" applyFill="1" applyBorder="1" applyAlignment="1">
      <alignment horizontal="center" wrapText="1"/>
    </xf>
    <xf numFmtId="0" fontId="1" fillId="9" borderId="46" xfId="0" applyFont="1" applyFill="1" applyBorder="1" applyAlignment="1">
      <alignment horizontal="center" wrapText="1"/>
    </xf>
    <xf numFmtId="166" fontId="0" fillId="0" borderId="50" xfId="0" applyNumberFormat="1" applyBorder="1" applyAlignment="1">
      <alignment horizontal="center"/>
    </xf>
    <xf numFmtId="166" fontId="0" fillId="0" borderId="0" xfId="0" applyNumberFormat="1" applyAlignment="1">
      <alignment horizontal="center"/>
    </xf>
    <xf numFmtId="0" fontId="1" fillId="9" borderId="47" xfId="0" applyFont="1" applyFill="1" applyBorder="1" applyAlignment="1">
      <alignment horizontal="center" wrapText="1"/>
    </xf>
    <xf numFmtId="0" fontId="1" fillId="9" borderId="48" xfId="0" applyFont="1" applyFill="1" applyBorder="1" applyAlignment="1">
      <alignment horizontal="center" wrapText="1"/>
    </xf>
    <xf numFmtId="0" fontId="1" fillId="2" borderId="23" xfId="0" applyFont="1" applyFill="1" applyBorder="1" applyAlignment="1">
      <alignment horizontal="center"/>
    </xf>
    <xf numFmtId="0" fontId="1" fillId="2" borderId="24" xfId="0" applyFont="1" applyFill="1" applyBorder="1" applyAlignment="1">
      <alignment horizontal="center"/>
    </xf>
    <xf numFmtId="0" fontId="1" fillId="2" borderId="26" xfId="0" applyFont="1" applyFill="1" applyBorder="1" applyAlignment="1">
      <alignment horizontal="center"/>
    </xf>
    <xf numFmtId="0" fontId="1" fillId="2" borderId="52" xfId="0" applyFont="1" applyFill="1" applyBorder="1" applyAlignment="1">
      <alignment horizontal="center"/>
    </xf>
    <xf numFmtId="0" fontId="1" fillId="2" borderId="48" xfId="0" applyFont="1" applyFill="1" applyBorder="1" applyAlignment="1">
      <alignment horizontal="center"/>
    </xf>
    <xf numFmtId="0" fontId="1" fillId="2" borderId="4" xfId="0" applyFont="1" applyFill="1" applyBorder="1" applyAlignment="1">
      <alignment horizontal="center"/>
    </xf>
    <xf numFmtId="0" fontId="1" fillId="2" borderId="20" xfId="0" applyFont="1" applyFill="1" applyBorder="1" applyAlignment="1">
      <alignment horizontal="center"/>
    </xf>
    <xf numFmtId="0" fontId="1" fillId="2" borderId="21" xfId="0" applyFont="1" applyFill="1" applyBorder="1" applyAlignment="1">
      <alignment horizontal="center"/>
    </xf>
    <xf numFmtId="0" fontId="1" fillId="2" borderId="5" xfId="0" applyFont="1" applyFill="1" applyBorder="1" applyAlignment="1">
      <alignment horizontal="center"/>
    </xf>
    <xf numFmtId="0" fontId="1" fillId="2" borderId="22" xfId="0" applyFont="1" applyFill="1" applyBorder="1" applyAlignment="1">
      <alignment horizontal="center"/>
    </xf>
    <xf numFmtId="0" fontId="50" fillId="0" borderId="166" xfId="9" applyAlignment="1">
      <alignment horizontal="center" vertical="top" textRotation="90"/>
    </xf>
    <xf numFmtId="0" fontId="50" fillId="0" borderId="173" xfId="9" applyBorder="1" applyAlignment="1">
      <alignment horizontal="center" vertical="top" textRotation="90"/>
    </xf>
    <xf numFmtId="0" fontId="50" fillId="0" borderId="175" xfId="9" applyBorder="1" applyAlignment="1">
      <alignment horizontal="center" vertical="top" textRotation="90"/>
    </xf>
    <xf numFmtId="0" fontId="50" fillId="0" borderId="176" xfId="9" applyBorder="1" applyAlignment="1">
      <alignment horizontal="center" vertical="top" textRotation="90"/>
    </xf>
    <xf numFmtId="0" fontId="61" fillId="22" borderId="181" xfId="0" applyFont="1" applyFill="1" applyBorder="1" applyAlignment="1">
      <alignment horizontal="center" vertical="center" wrapText="1"/>
    </xf>
    <xf numFmtId="0" fontId="61" fillId="22" borderId="53" xfId="0" applyFont="1" applyFill="1" applyBorder="1" applyAlignment="1">
      <alignment horizontal="center" vertical="center" wrapText="1"/>
    </xf>
    <xf numFmtId="0" fontId="61" fillId="22" borderId="54" xfId="0" applyFont="1" applyFill="1" applyBorder="1" applyAlignment="1">
      <alignment horizontal="center" vertical="center" wrapText="1"/>
    </xf>
    <xf numFmtId="0" fontId="0" fillId="0" borderId="181" xfId="0" applyBorder="1" applyAlignment="1">
      <alignment vertical="center" wrapText="1"/>
    </xf>
    <xf numFmtId="0" fontId="0" fillId="0" borderId="54" xfId="0" applyBorder="1" applyAlignment="1">
      <alignment vertical="center" wrapText="1"/>
    </xf>
    <xf numFmtId="0" fontId="1" fillId="22" borderId="181" xfId="0" applyFont="1" applyFill="1" applyBorder="1" applyAlignment="1">
      <alignment horizontal="center" vertical="center" wrapText="1"/>
    </xf>
    <xf numFmtId="0" fontId="1" fillId="22" borderId="54" xfId="0" applyFont="1" applyFill="1" applyBorder="1" applyAlignment="1">
      <alignment horizontal="center" vertical="center" wrapText="1"/>
    </xf>
    <xf numFmtId="0" fontId="61" fillId="22" borderId="23" xfId="0" applyFont="1" applyFill="1" applyBorder="1" applyAlignment="1">
      <alignment horizontal="center" vertical="center" wrapText="1"/>
    </xf>
    <xf numFmtId="0" fontId="61" fillId="22" borderId="24" xfId="0" applyFont="1" applyFill="1" applyBorder="1" applyAlignment="1">
      <alignment horizontal="center" vertical="center" wrapText="1"/>
    </xf>
    <xf numFmtId="0" fontId="61" fillId="22" borderId="26" xfId="0" applyFont="1" applyFill="1" applyBorder="1" applyAlignment="1">
      <alignment horizontal="center" vertical="center" wrapText="1"/>
    </xf>
    <xf numFmtId="0" fontId="0" fillId="0" borderId="53" xfId="0" applyBorder="1" applyAlignment="1">
      <alignment vertical="center" wrapText="1"/>
    </xf>
    <xf numFmtId="0" fontId="62" fillId="0" borderId="181" xfId="0" quotePrefix="1" applyFont="1" applyBorder="1" applyAlignment="1">
      <alignment horizontal="left" vertical="center" wrapText="1"/>
    </xf>
    <xf numFmtId="0" fontId="62" fillId="0" borderId="54" xfId="0" applyFont="1" applyBorder="1" applyAlignment="1">
      <alignment horizontal="left" vertical="center" wrapText="1"/>
    </xf>
    <xf numFmtId="0" fontId="61" fillId="22" borderId="181" xfId="0" applyFont="1" applyFill="1" applyBorder="1" applyAlignment="1">
      <alignment vertical="center" wrapText="1"/>
    </xf>
    <xf numFmtId="0" fontId="61" fillId="22" borderId="54" xfId="0" applyFont="1" applyFill="1" applyBorder="1" applyAlignment="1">
      <alignment vertical="center" wrapText="1"/>
    </xf>
    <xf numFmtId="0" fontId="61" fillId="22" borderId="20" xfId="0" applyFont="1" applyFill="1" applyBorder="1" applyAlignment="1">
      <alignment horizontal="center" vertical="center" wrapText="1"/>
    </xf>
    <xf numFmtId="0" fontId="61" fillId="22" borderId="22" xfId="0" applyFont="1" applyFill="1" applyBorder="1" applyAlignment="1">
      <alignment horizontal="center" vertical="center" wrapText="1"/>
    </xf>
    <xf numFmtId="0" fontId="1" fillId="22" borderId="181" xfId="0" applyFont="1" applyFill="1" applyBorder="1" applyAlignment="1">
      <alignment vertical="center" wrapText="1"/>
    </xf>
    <xf numFmtId="0" fontId="1" fillId="22" borderId="54" xfId="0" applyFont="1" applyFill="1" applyBorder="1" applyAlignment="1">
      <alignment vertical="center" wrapText="1"/>
    </xf>
    <xf numFmtId="0" fontId="1" fillId="3" borderId="1" xfId="0" applyFont="1" applyFill="1" applyBorder="1" applyAlignment="1">
      <alignment horizontal="center"/>
    </xf>
    <xf numFmtId="0" fontId="1" fillId="3" borderId="10" xfId="0" applyFont="1" applyFill="1" applyBorder="1" applyAlignment="1">
      <alignment horizontal="center"/>
    </xf>
    <xf numFmtId="0" fontId="1" fillId="3" borderId="19" xfId="0" applyFont="1" applyFill="1" applyBorder="1" applyAlignment="1">
      <alignment horizontal="center"/>
    </xf>
    <xf numFmtId="0" fontId="1" fillId="3" borderId="59" xfId="0" applyFont="1" applyFill="1" applyBorder="1" applyAlignment="1">
      <alignment horizontal="center"/>
    </xf>
    <xf numFmtId="0" fontId="1" fillId="21" borderId="11" xfId="0" applyFont="1" applyFill="1" applyBorder="1" applyAlignment="1">
      <alignment horizontal="center"/>
    </xf>
    <xf numFmtId="0" fontId="1" fillId="21" borderId="12" xfId="0" applyFont="1" applyFill="1" applyBorder="1" applyAlignment="1">
      <alignment horizontal="center"/>
    </xf>
    <xf numFmtId="0" fontId="1" fillId="0" borderId="23" xfId="0" applyFont="1" applyBorder="1" applyAlignment="1">
      <alignment horizontal="center"/>
    </xf>
    <xf numFmtId="0" fontId="1" fillId="0" borderId="24" xfId="0" applyFont="1" applyBorder="1" applyAlignment="1">
      <alignment horizontal="center"/>
    </xf>
    <xf numFmtId="0" fontId="1" fillId="0" borderId="26" xfId="0" applyFont="1" applyBorder="1" applyAlignment="1">
      <alignment horizontal="center"/>
    </xf>
    <xf numFmtId="0" fontId="29" fillId="3" borderId="0" xfId="0" applyFont="1" applyFill="1" applyAlignment="1">
      <alignment horizontal="left" wrapText="1"/>
    </xf>
    <xf numFmtId="0" fontId="27" fillId="14" borderId="0" xfId="0" applyFont="1" applyFill="1" applyAlignment="1">
      <alignment horizontal="center"/>
    </xf>
    <xf numFmtId="0" fontId="28" fillId="15" borderId="0" xfId="0" applyFont="1" applyFill="1" applyAlignment="1">
      <alignment horizontal="center"/>
    </xf>
    <xf numFmtId="0" fontId="29" fillId="0" borderId="0" xfId="0" applyFont="1" applyAlignment="1">
      <alignment horizontal="left" wrapText="1"/>
    </xf>
    <xf numFmtId="0" fontId="0" fillId="0" borderId="4" xfId="0" applyBorder="1" applyAlignment="1">
      <alignment horizontal="left" wrapText="1"/>
    </xf>
    <xf numFmtId="0" fontId="0" fillId="0" borderId="0" xfId="0" applyAlignment="1">
      <alignment horizontal="left" wrapText="1"/>
    </xf>
    <xf numFmtId="0" fontId="0" fillId="0" borderId="5" xfId="0" applyBorder="1" applyAlignment="1">
      <alignment horizontal="left" wrapText="1"/>
    </xf>
    <xf numFmtId="0" fontId="1" fillId="0" borderId="20" xfId="0" applyFont="1" applyBorder="1" applyAlignment="1">
      <alignment horizontal="left"/>
    </xf>
    <xf numFmtId="0" fontId="1" fillId="0" borderId="21" xfId="0" applyFont="1" applyBorder="1" applyAlignment="1">
      <alignment horizontal="left"/>
    </xf>
    <xf numFmtId="0" fontId="1" fillId="0" borderId="22" xfId="0" applyFont="1"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23" xfId="0" applyBorder="1" applyAlignment="1">
      <alignment horizontal="center"/>
    </xf>
    <xf numFmtId="0" fontId="0" fillId="0" borderId="24" xfId="0" applyBorder="1" applyAlignment="1">
      <alignment horizontal="center"/>
    </xf>
    <xf numFmtId="0" fontId="0" fillId="0" borderId="26" xfId="0" applyBorder="1" applyAlignment="1">
      <alignment horizontal="center"/>
    </xf>
    <xf numFmtId="0" fontId="1" fillId="3" borderId="23" xfId="0" applyFont="1" applyFill="1" applyBorder="1" applyAlignment="1">
      <alignment horizontal="center"/>
    </xf>
    <xf numFmtId="0" fontId="1" fillId="3" borderId="24" xfId="0" applyFont="1" applyFill="1" applyBorder="1" applyAlignment="1">
      <alignment horizontal="center"/>
    </xf>
    <xf numFmtId="0" fontId="1" fillId="3" borderId="26" xfId="0" applyFont="1" applyFill="1" applyBorder="1" applyAlignment="1">
      <alignment horizontal="center"/>
    </xf>
    <xf numFmtId="0" fontId="0" fillId="0" borderId="20" xfId="0" applyBorder="1" applyAlignment="1">
      <alignment horizontal="center"/>
    </xf>
    <xf numFmtId="0" fontId="0" fillId="0" borderId="22" xfId="0" applyBorder="1" applyAlignment="1">
      <alignment horizontal="center"/>
    </xf>
    <xf numFmtId="0" fontId="72" fillId="17" borderId="196" xfId="0" applyFont="1" applyFill="1" applyBorder="1" applyAlignment="1">
      <alignment vertical="center" wrapText="1"/>
    </xf>
    <xf numFmtId="0" fontId="72" fillId="17" borderId="187" xfId="0" applyFont="1" applyFill="1" applyBorder="1" applyAlignment="1">
      <alignment vertical="center" wrapText="1"/>
    </xf>
    <xf numFmtId="0" fontId="72" fillId="17" borderId="197" xfId="0" applyFont="1" applyFill="1" applyBorder="1" applyAlignment="1">
      <alignment vertical="center" wrapText="1"/>
    </xf>
    <xf numFmtId="0" fontId="72" fillId="17" borderId="198" xfId="0" applyFont="1" applyFill="1" applyBorder="1" applyAlignment="1">
      <alignment vertical="center" wrapText="1"/>
    </xf>
    <xf numFmtId="0" fontId="72" fillId="17" borderId="0" xfId="0" applyFont="1" applyFill="1" applyAlignment="1">
      <alignment vertical="center" wrapText="1"/>
    </xf>
    <xf numFmtId="0" fontId="72" fillId="17" borderId="199" xfId="0" applyFont="1" applyFill="1" applyBorder="1" applyAlignment="1">
      <alignment vertical="center" wrapText="1"/>
    </xf>
    <xf numFmtId="0" fontId="72" fillId="17" borderId="200" xfId="0" applyFont="1" applyFill="1" applyBorder="1" applyAlignment="1">
      <alignment vertical="center" wrapText="1"/>
    </xf>
    <xf numFmtId="0" fontId="72" fillId="17" borderId="63" xfId="0" applyFont="1" applyFill="1" applyBorder="1" applyAlignment="1">
      <alignment vertical="center" wrapText="1"/>
    </xf>
    <xf numFmtId="0" fontId="72" fillId="17" borderId="201" xfId="0" applyFont="1" applyFill="1" applyBorder="1" applyAlignment="1">
      <alignment vertical="center" wrapText="1"/>
    </xf>
    <xf numFmtId="0" fontId="1" fillId="0" borderId="63" xfId="0" applyFont="1" applyBorder="1" applyAlignment="1">
      <alignment horizontal="center" wrapText="1"/>
    </xf>
    <xf numFmtId="0" fontId="31" fillId="17" borderId="64" xfId="0" applyFont="1" applyFill="1" applyBorder="1" applyAlignment="1">
      <alignment horizontal="center" vertical="center" wrapText="1"/>
    </xf>
    <xf numFmtId="0" fontId="31" fillId="17" borderId="65" xfId="0" applyFont="1" applyFill="1" applyBorder="1" applyAlignment="1">
      <alignment horizontal="center" vertical="center" wrapText="1"/>
    </xf>
    <xf numFmtId="0" fontId="31" fillId="17" borderId="66" xfId="0" applyFont="1" applyFill="1" applyBorder="1" applyAlignment="1">
      <alignment horizontal="center" vertical="center" wrapText="1"/>
    </xf>
    <xf numFmtId="0" fontId="1" fillId="0" borderId="23" xfId="0" applyFont="1" applyBorder="1" applyAlignment="1">
      <alignment horizontal="center" wrapText="1"/>
    </xf>
    <xf numFmtId="0" fontId="1" fillId="0" borderId="24" xfId="0" applyFont="1" applyBorder="1" applyAlignment="1">
      <alignment horizontal="center" wrapText="1"/>
    </xf>
    <xf numFmtId="0" fontId="1" fillId="0" borderId="26" xfId="0" applyFont="1" applyBorder="1" applyAlignment="1">
      <alignment horizontal="center" wrapText="1"/>
    </xf>
    <xf numFmtId="0" fontId="10" fillId="2" borderId="78" xfId="0" applyFont="1" applyFill="1" applyBorder="1" applyAlignment="1" applyProtection="1">
      <alignment horizontal="center" vertical="center" wrapText="1"/>
      <protection hidden="1"/>
    </xf>
    <xf numFmtId="0" fontId="10" fillId="2" borderId="79" xfId="0" applyFont="1" applyFill="1" applyBorder="1" applyAlignment="1" applyProtection="1">
      <alignment horizontal="center" vertical="center" wrapText="1"/>
      <protection hidden="1"/>
    </xf>
    <xf numFmtId="0" fontId="10" fillId="2" borderId="80" xfId="0" applyFont="1" applyFill="1" applyBorder="1" applyAlignment="1" applyProtection="1">
      <alignment horizontal="center" vertical="center" wrapText="1"/>
      <protection hidden="1"/>
    </xf>
    <xf numFmtId="0" fontId="10" fillId="2" borderId="147" xfId="0" applyFont="1" applyFill="1" applyBorder="1" applyAlignment="1" applyProtection="1">
      <alignment horizontal="center" vertical="center" wrapText="1"/>
      <protection hidden="1"/>
    </xf>
    <xf numFmtId="0" fontId="10" fillId="2" borderId="148" xfId="0" applyFont="1" applyFill="1" applyBorder="1" applyAlignment="1" applyProtection="1">
      <alignment horizontal="center" vertical="center" wrapText="1"/>
      <protection hidden="1"/>
    </xf>
    <xf numFmtId="0" fontId="10" fillId="2" borderId="149" xfId="0" applyFont="1" applyFill="1" applyBorder="1" applyAlignment="1" applyProtection="1">
      <alignment horizontal="center" vertical="center" wrapText="1"/>
      <protection hidden="1"/>
    </xf>
    <xf numFmtId="0" fontId="10" fillId="2" borderId="145" xfId="0" applyFont="1" applyFill="1" applyBorder="1" applyAlignment="1" applyProtection="1">
      <alignment horizontal="center" vertical="center" wrapText="1"/>
      <protection hidden="1"/>
    </xf>
    <xf numFmtId="0" fontId="10" fillId="2" borderId="150" xfId="0" applyFont="1" applyFill="1" applyBorder="1" applyAlignment="1" applyProtection="1">
      <alignment horizontal="center" vertical="center" wrapText="1"/>
      <protection hidden="1"/>
    </xf>
    <xf numFmtId="0" fontId="35" fillId="19" borderId="126" xfId="0" applyFont="1" applyFill="1" applyBorder="1" applyAlignment="1">
      <alignment horizontal="center" vertical="center"/>
    </xf>
    <xf numFmtId="0" fontId="35" fillId="19" borderId="122" xfId="0" applyFont="1" applyFill="1" applyBorder="1" applyAlignment="1">
      <alignment horizontal="center" vertical="center"/>
    </xf>
    <xf numFmtId="0" fontId="35" fillId="19" borderId="127" xfId="0" applyFont="1" applyFill="1" applyBorder="1" applyAlignment="1">
      <alignment horizontal="center" vertical="center"/>
    </xf>
    <xf numFmtId="0" fontId="34" fillId="19" borderId="80" xfId="0" applyFont="1" applyFill="1" applyBorder="1" applyAlignment="1">
      <alignment horizontal="center" vertical="center" wrapText="1"/>
    </xf>
    <xf numFmtId="0" fontId="34" fillId="19" borderId="87" xfId="0" applyFont="1" applyFill="1" applyBorder="1" applyAlignment="1">
      <alignment horizontal="center" vertical="center" wrapText="1"/>
    </xf>
    <xf numFmtId="0" fontId="35" fillId="19" borderId="100" xfId="0" applyFont="1" applyFill="1" applyBorder="1" applyAlignment="1">
      <alignment horizontal="center" vertical="center"/>
    </xf>
    <xf numFmtId="0" fontId="10" fillId="2" borderId="144" xfId="0" applyFont="1" applyFill="1" applyBorder="1" applyAlignment="1" applyProtection="1">
      <alignment horizontal="center" vertical="center" wrapText="1"/>
      <protection hidden="1"/>
    </xf>
    <xf numFmtId="0" fontId="10" fillId="2" borderId="146" xfId="0" applyFont="1" applyFill="1" applyBorder="1" applyAlignment="1" applyProtection="1">
      <alignment horizontal="center" vertical="center" wrapText="1"/>
      <protection hidden="1"/>
    </xf>
    <xf numFmtId="0" fontId="10" fillId="2" borderId="151" xfId="0" applyFont="1" applyFill="1" applyBorder="1" applyAlignment="1" applyProtection="1">
      <alignment horizontal="center" vertical="center" wrapText="1"/>
      <protection hidden="1"/>
    </xf>
    <xf numFmtId="0" fontId="11" fillId="13" borderId="104" xfId="0" applyFont="1" applyFill="1" applyBorder="1" applyAlignment="1" applyProtection="1">
      <alignment horizontal="left" vertical="center"/>
      <protection locked="0"/>
    </xf>
    <xf numFmtId="0" fontId="39" fillId="19" borderId="84" xfId="0" applyFont="1" applyFill="1" applyBorder="1" applyAlignment="1">
      <alignment horizontal="center" vertical="center" wrapText="1"/>
    </xf>
    <xf numFmtId="0" fontId="39" fillId="19" borderId="91" xfId="0" applyFont="1" applyFill="1" applyBorder="1" applyAlignment="1">
      <alignment horizontal="center" vertical="center" wrapText="1"/>
    </xf>
    <xf numFmtId="0" fontId="39" fillId="19" borderId="81" xfId="0" applyFont="1" applyFill="1" applyBorder="1" applyAlignment="1">
      <alignment horizontal="center" vertical="center" wrapText="1"/>
    </xf>
    <xf numFmtId="0" fontId="39" fillId="19" borderId="82" xfId="0" applyFont="1" applyFill="1" applyBorder="1" applyAlignment="1">
      <alignment horizontal="center" vertical="center" wrapText="1"/>
    </xf>
    <xf numFmtId="0" fontId="39" fillId="19" borderId="83" xfId="0" applyFont="1" applyFill="1" applyBorder="1" applyAlignment="1">
      <alignment horizontal="center" vertical="center" wrapText="1"/>
    </xf>
    <xf numFmtId="0" fontId="10" fillId="0" borderId="119" xfId="0" applyFont="1" applyBorder="1" applyAlignment="1">
      <alignment horizontal="left" vertical="top" wrapText="1"/>
    </xf>
    <xf numFmtId="0" fontId="10" fillId="0" borderId="86" xfId="0" applyFont="1" applyBorder="1" applyAlignment="1">
      <alignment horizontal="left" vertical="top" wrapText="1"/>
    </xf>
    <xf numFmtId="0" fontId="34" fillId="2" borderId="92" xfId="0" applyFont="1" applyFill="1" applyBorder="1" applyAlignment="1">
      <alignment horizontal="center" vertical="center"/>
    </xf>
    <xf numFmtId="0" fontId="34" fillId="2" borderId="93" xfId="0" applyFont="1" applyFill="1" applyBorder="1" applyAlignment="1">
      <alignment horizontal="center" vertical="center"/>
    </xf>
    <xf numFmtId="0" fontId="34" fillId="0" borderId="100" xfId="0" applyFont="1" applyBorder="1" applyAlignment="1">
      <alignment horizontal="center" vertical="center"/>
    </xf>
    <xf numFmtId="0" fontId="34" fillId="0" borderId="99" xfId="0" applyFont="1" applyBorder="1" applyAlignment="1">
      <alignment horizontal="center" vertical="center"/>
    </xf>
    <xf numFmtId="0" fontId="34" fillId="0" borderId="108" xfId="0" applyFont="1" applyBorder="1" applyAlignment="1">
      <alignment horizontal="center" vertical="center"/>
    </xf>
    <xf numFmtId="0" fontId="34" fillId="0" borderId="106" xfId="0" applyFont="1" applyBorder="1" applyAlignment="1">
      <alignment horizontal="center" vertical="center"/>
    </xf>
    <xf numFmtId="0" fontId="34" fillId="0" borderId="111" xfId="0" applyFont="1" applyBorder="1" applyAlignment="1">
      <alignment horizontal="center" vertical="center"/>
    </xf>
    <xf numFmtId="0" fontId="34" fillId="0" borderId="112" xfId="0" applyFont="1" applyBorder="1" applyAlignment="1">
      <alignment horizontal="center" vertical="center"/>
    </xf>
    <xf numFmtId="0" fontId="43" fillId="0" borderId="50" xfId="0" applyFont="1" applyBorder="1" applyAlignment="1">
      <alignment horizontal="left" vertical="top" wrapText="1"/>
    </xf>
    <xf numFmtId="0" fontId="43" fillId="0" borderId="0" xfId="0" applyFont="1" applyAlignment="1">
      <alignment horizontal="left" vertical="top" wrapText="1"/>
    </xf>
    <xf numFmtId="0" fontId="0" fillId="0" borderId="48" xfId="0" applyBorder="1" applyAlignment="1">
      <alignment horizontal="left" wrapText="1"/>
    </xf>
    <xf numFmtId="0" fontId="11" fillId="13" borderId="89" xfId="0" applyFont="1" applyFill="1" applyBorder="1" applyAlignment="1" applyProtection="1">
      <alignment horizontal="left" vertical="center"/>
      <protection locked="0"/>
    </xf>
    <xf numFmtId="0" fontId="34" fillId="19" borderId="120" xfId="0" applyFont="1" applyFill="1" applyBorder="1" applyAlignment="1">
      <alignment horizontal="center" vertical="center" wrapText="1"/>
    </xf>
    <xf numFmtId="0" fontId="34" fillId="19" borderId="125" xfId="0" applyFont="1" applyFill="1" applyBorder="1" applyAlignment="1">
      <alignment horizontal="center" vertical="center" wrapText="1"/>
    </xf>
    <xf numFmtId="0" fontId="47" fillId="5" borderId="75" xfId="7" applyFont="1" applyFill="1" applyBorder="1" applyAlignment="1" applyProtection="1">
      <alignment horizontal="center" vertical="center"/>
      <protection hidden="1"/>
    </xf>
    <xf numFmtId="0" fontId="47" fillId="5" borderId="76" xfId="7" applyFont="1" applyFill="1" applyBorder="1" applyAlignment="1" applyProtection="1">
      <alignment horizontal="center" vertical="center"/>
      <protection hidden="1"/>
    </xf>
    <xf numFmtId="0" fontId="47" fillId="5" borderId="77" xfId="7" applyFont="1" applyFill="1" applyBorder="1" applyAlignment="1" applyProtection="1">
      <alignment horizontal="center" vertical="center"/>
      <protection hidden="1"/>
    </xf>
    <xf numFmtId="0" fontId="47" fillId="5" borderId="92" xfId="7" applyFont="1" applyFill="1" applyBorder="1" applyAlignment="1" applyProtection="1">
      <alignment horizontal="center" vertical="center"/>
      <protection hidden="1"/>
    </xf>
    <xf numFmtId="0" fontId="47" fillId="5" borderId="155" xfId="7" applyFont="1" applyFill="1" applyBorder="1" applyAlignment="1" applyProtection="1">
      <alignment horizontal="center" vertical="center"/>
      <protection hidden="1"/>
    </xf>
    <xf numFmtId="0" fontId="47" fillId="5" borderId="156" xfId="7" applyFont="1" applyFill="1" applyBorder="1" applyAlignment="1" applyProtection="1">
      <alignment horizontal="center" vertical="center"/>
      <protection hidden="1"/>
    </xf>
    <xf numFmtId="0" fontId="37" fillId="19" borderId="78" xfId="0" applyFont="1" applyFill="1" applyBorder="1" applyAlignment="1">
      <alignment horizontal="center" vertical="center" wrapText="1"/>
    </xf>
    <xf numFmtId="0" fontId="37" fillId="19" borderId="85" xfId="0" applyFont="1" applyFill="1" applyBorder="1" applyAlignment="1">
      <alignment horizontal="center" vertical="center" wrapText="1"/>
    </xf>
    <xf numFmtId="0" fontId="35" fillId="19" borderId="101" xfId="0" applyFont="1" applyFill="1" applyBorder="1" applyAlignment="1">
      <alignment horizontal="center" vertical="center"/>
    </xf>
    <xf numFmtId="0" fontId="11" fillId="13" borderId="82" xfId="0" applyFont="1" applyFill="1" applyBorder="1" applyAlignment="1" applyProtection="1">
      <alignment horizontal="left" vertical="center"/>
      <protection locked="0"/>
    </xf>
    <xf numFmtId="0" fontId="34" fillId="19" borderId="84" xfId="0" applyFont="1" applyFill="1" applyBorder="1" applyAlignment="1">
      <alignment horizontal="center" vertical="center" wrapText="1"/>
    </xf>
    <xf numFmtId="0" fontId="34" fillId="19" borderId="91" xfId="0" applyFont="1" applyFill="1" applyBorder="1" applyAlignment="1">
      <alignment horizontal="center" vertical="center" wrapText="1"/>
    </xf>
    <xf numFmtId="0" fontId="34" fillId="19" borderId="120" xfId="0" applyFont="1" applyFill="1" applyBorder="1" applyAlignment="1">
      <alignment horizontal="center" vertical="center"/>
    </xf>
    <xf numFmtId="0" fontId="34" fillId="19" borderId="125" xfId="0" applyFont="1" applyFill="1" applyBorder="1" applyAlignment="1">
      <alignment horizontal="center" vertical="center"/>
    </xf>
    <xf numFmtId="0" fontId="0" fillId="0" borderId="21" xfId="0" applyBorder="1" applyAlignment="1">
      <alignment horizontal="center"/>
    </xf>
    <xf numFmtId="0" fontId="14" fillId="0" borderId="19" xfId="1" applyFont="1" applyBorder="1" applyAlignment="1">
      <alignment horizontal="center" vertical="center"/>
    </xf>
    <xf numFmtId="0" fontId="7" fillId="5" borderId="23" xfId="0" applyFont="1" applyFill="1" applyBorder="1" applyAlignment="1">
      <alignment horizontal="center" vertical="center" wrapText="1"/>
    </xf>
    <xf numFmtId="0" fontId="7" fillId="5" borderId="24" xfId="0" applyFont="1" applyFill="1" applyBorder="1" applyAlignment="1">
      <alignment horizontal="center" vertical="center" wrapText="1"/>
    </xf>
    <xf numFmtId="0" fontId="7" fillId="5" borderId="25" xfId="0" applyFont="1" applyFill="1" applyBorder="1" applyAlignment="1">
      <alignment horizontal="center" vertical="center" wrapText="1"/>
    </xf>
    <xf numFmtId="0" fontId="7" fillId="5" borderId="26" xfId="0" applyFont="1" applyFill="1" applyBorder="1" applyAlignment="1">
      <alignment horizontal="center" vertical="center" wrapText="1"/>
    </xf>
    <xf numFmtId="0" fontId="0" fillId="0" borderId="0" xfId="0" applyNumberFormat="1" applyAlignment="1">
      <alignment horizontal="center"/>
    </xf>
    <xf numFmtId="0" fontId="0" fillId="2" borderId="15" xfId="0" applyFill="1" applyBorder="1" applyAlignment="1">
      <alignment horizontal="center" wrapText="1"/>
    </xf>
  </cellXfs>
  <cellStyles count="13">
    <cellStyle name="Comma" xfId="3" builtinId="3"/>
    <cellStyle name="Currency" xfId="8" builtinId="4"/>
    <cellStyle name="Heading 1" xfId="9" builtinId="16"/>
    <cellStyle name="Heading 2" xfId="10" builtinId="17"/>
    <cellStyle name="Heading 3" xfId="11" builtinId="18"/>
    <cellStyle name="Hyperlink" xfId="2" builtinId="8"/>
    <cellStyle name="Input" xfId="12" builtinId="20"/>
    <cellStyle name="Normal" xfId="0" builtinId="0"/>
    <cellStyle name="Normal 2" xfId="6" xr:uid="{0B2B8B30-2700-4435-A6EE-D7F14CBC5554}"/>
    <cellStyle name="Normal 2 2 2 2 2" xfId="1" xr:uid="{72C7D173-CA56-40FF-8FFE-6E92AE4DB825}"/>
    <cellStyle name="Normal 4" xfId="7" xr:uid="{476A58EB-D2BB-4A59-B9D4-BF389868E356}"/>
    <cellStyle name="Percent" xfId="4" builtinId="5"/>
    <cellStyle name="Percent 2" xfId="5" xr:uid="{DC03647D-7EBC-4F25-844D-D8075440D6C3}"/>
  </cellStyles>
  <dxfs count="584">
    <dxf>
      <numFmt numFmtId="0" formatCode="General"/>
      <alignment horizontal="center" vertical="bottom" textRotation="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indent="0" justifyLastLine="0" shrinkToFit="0" readingOrder="0"/>
    </dxf>
    <dxf>
      <numFmt numFmtId="1" formatCode="0"/>
      <alignment horizontal="center" vertical="bottom" textRotation="0" wrapText="0" indent="0" justifyLastLine="0" shrinkToFit="0" readingOrder="0"/>
    </dxf>
    <dxf>
      <fill>
        <patternFill>
          <bgColor theme="0"/>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165" formatCode="#0.0"/>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right style="medium">
          <color indexed="64"/>
        </right>
        <top/>
        <bottom/>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border>
        <bottom style="medium">
          <color indexed="64"/>
        </bottom>
        <vertical/>
        <horizontal/>
      </border>
    </dxf>
    <dxf>
      <font>
        <b val="0"/>
        <i val="0"/>
        <strike val="0"/>
        <condense val="0"/>
        <extend val="0"/>
        <outline val="0"/>
        <shadow val="0"/>
        <u val="none"/>
        <vertAlign val="baseline"/>
        <sz val="12"/>
        <color theme="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4" tint="0.7999816888943144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color theme="5"/>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color theme="5"/>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ill>
        <patternFill patternType="solid">
          <fgColor indexed="64"/>
          <bgColor theme="9" tint="0.79998168889431442"/>
        </patternFill>
      </fill>
      <alignment vertical="bottom"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strike val="0"/>
        <outline val="0"/>
        <shadow val="0"/>
        <u val="none"/>
        <vertAlign val="baseline"/>
        <sz val="11"/>
        <color auto="1"/>
        <name val="Calibri"/>
        <family val="2"/>
        <scheme val="minor"/>
      </font>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3" formatCode="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numFmt numFmtId="169" formatCode="#,##0.0"/>
      <alignment horizontal="center" vertical="bottom" textRotation="0" wrapText="0" indent="0" justifyLastLine="0" shrinkToFit="0" readingOrder="0"/>
    </dxf>
    <dxf>
      <font>
        <strike val="0"/>
        <outline val="0"/>
        <shadow val="0"/>
        <u val="none"/>
        <vertAlign val="baseline"/>
        <sz val="11"/>
        <color theme="5"/>
        <name val="Calibri"/>
        <family val="2"/>
        <scheme val="minor"/>
      </font>
      <alignment horizontal="center" vertical="bottom" textRotation="0" wrapText="0" indent="0" justifyLastLine="0" shrinkToFit="0" readingOrder="0"/>
    </dxf>
    <dxf>
      <font>
        <strike val="0"/>
        <outline val="0"/>
        <shadow val="0"/>
        <u val="none"/>
        <vertAlign val="baseline"/>
        <sz val="11"/>
        <color theme="5"/>
        <name val="Calibri"/>
        <family val="2"/>
        <scheme val="minor"/>
      </font>
      <numFmt numFmtId="169" formatCode="#,##0.0"/>
      <alignment horizontal="center" vertical="bottom" textRotation="0" wrapText="0" indent="0" justifyLastLine="0" shrinkToFit="0" readingOrder="0"/>
    </dxf>
    <dxf>
      <font>
        <strike val="0"/>
        <outline val="0"/>
        <shadow val="0"/>
        <u val="none"/>
        <vertAlign val="baseline"/>
        <sz val="11"/>
        <color theme="5"/>
        <name val="Calibri"/>
        <family val="2"/>
        <scheme val="minor"/>
      </font>
      <numFmt numFmtId="169" formatCode="#,##0.0"/>
      <alignment horizontal="center" vertical="bottom" textRotation="0" wrapText="0" indent="0" justifyLastLine="0" shrinkToFit="0" readingOrder="0"/>
    </dxf>
    <dxf>
      <font>
        <strike val="0"/>
        <outline val="0"/>
        <shadow val="0"/>
        <u val="none"/>
        <vertAlign val="baseline"/>
        <sz val="11"/>
        <color theme="5"/>
        <name val="Calibri"/>
        <family val="2"/>
        <scheme val="minor"/>
      </font>
      <alignment horizontal="center" vertical="bottom" textRotation="0" wrapText="0" indent="0" justifyLastLine="0" shrinkToFit="0" readingOrder="0"/>
    </dxf>
    <dxf>
      <font>
        <strike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color theme="5"/>
      </font>
      <alignment horizontal="center" vertical="bottom" textRotation="0" wrapText="0" indent="0" justifyLastLine="0" shrinkToFit="0" readingOrder="0"/>
    </dxf>
    <dxf>
      <font>
        <color theme="5"/>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dxf>
    <dxf>
      <font>
        <strike val="0"/>
        <outline val="0"/>
        <shadow val="0"/>
        <u val="none"/>
        <vertAlign val="baseline"/>
        <sz val="11"/>
        <color auto="1"/>
        <name val="Calibri"/>
        <family val="2"/>
        <scheme val="minor"/>
      </font>
      <fill>
        <patternFill patternType="solid">
          <fgColor indexed="64"/>
          <bgColor theme="2"/>
        </patternFill>
      </fill>
    </dxf>
    <dxf>
      <numFmt numFmtId="4" formatCode="#,##0.00"/>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4" formatCode="#,##0.0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71" formatCode="#,##0.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1" formatCode="#,##0.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1" formatCode="#,##0.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 formatCode="#,##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7" formatCode="0.000"/>
      <fill>
        <patternFill patternType="none">
          <bgColor auto="1"/>
        </patternFill>
      </fill>
      <alignment horizontal="center" vertical="bottom" textRotation="0" wrapText="0" indent="0" justifyLastLine="0" shrinkToFit="0" readingOrder="0"/>
      <border diagonalUp="0" diagonalDown="0" outline="0">
        <left style="thin">
          <color theme="9"/>
        </left>
        <right/>
        <top style="thin">
          <color theme="9"/>
        </top>
        <bottom style="thin">
          <color theme="9"/>
        </bottom>
      </border>
    </dxf>
    <dxf>
      <font>
        <b val="0"/>
        <i val="0"/>
        <strike val="0"/>
        <condense val="0"/>
        <extend val="0"/>
        <outline val="0"/>
        <shadow val="0"/>
        <u val="none"/>
        <vertAlign val="baseline"/>
        <sz val="11"/>
        <color theme="1"/>
        <name val="Calibri"/>
        <family val="2"/>
        <scheme val="minor"/>
      </font>
      <numFmt numFmtId="167" formatCode="0.000"/>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numFmt numFmtId="167" formatCode="0.000"/>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theme="9"/>
        </left>
        <right style="thin">
          <color theme="9"/>
        </right>
        <top style="thin">
          <color theme="9"/>
        </top>
        <bottom style="thin">
          <color theme="9"/>
        </bottom>
        <vertical/>
        <horizontal/>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numFmt numFmtId="3" formatCode="#,##0"/>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right style="thin">
          <color theme="9"/>
        </right>
        <top style="thin">
          <color theme="9"/>
        </top>
        <bottom style="thin">
          <color theme="9"/>
        </bottom>
      </border>
    </dxf>
    <dxf>
      <border outline="0">
        <top style="thin">
          <color theme="9"/>
        </top>
      </border>
    </dxf>
    <dxf>
      <border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dxf>
    <dxf>
      <border outline="0">
        <bottom style="medium">
          <color theme="9"/>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9"/>
        </left>
        <right style="thin">
          <color theme="9"/>
        </right>
        <top/>
        <bottom/>
      </border>
    </dxf>
    <dxf>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top style="thin">
          <color indexed="64"/>
        </top>
        <bottom style="thin">
          <color indexed="64"/>
        </bottom>
        <vertical/>
        <horizontal/>
      </border>
    </dxf>
    <dxf>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border outline="0">
        <bottom style="medium">
          <color indexed="64"/>
        </bottom>
      </border>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medium">
          <color indexed="64"/>
        </right>
        <bottom style="medium">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medium">
          <color indexed="64"/>
        </right>
        <bottom style="medium">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medium">
          <color indexed="64"/>
        </right>
        <bottom style="medium">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medium">
          <color indexed="64"/>
        </right>
        <bottom style="medium">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medium">
          <color indexed="64"/>
        </right>
        <bottom style="medium">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medium">
          <color indexed="64"/>
        </right>
        <bottom style="medium">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medium">
          <color indexed="64"/>
        </right>
        <bottom style="medium">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medium">
          <color indexed="64"/>
        </right>
        <bottom style="medium">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medium">
          <color indexed="64"/>
        </right>
        <bottom style="medium">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0" formatCode="General"/>
      <alignment horizontal="left" vertical="bottom" textRotation="0" wrapText="1" indent="0" justifyLastLine="0" shrinkToFit="0" readingOrder="0"/>
    </dxf>
    <dxf>
      <alignment horizontal="center" vertical="bottom" textRotation="0" wrapText="0" indent="0" justifyLastLine="0" shrinkToFit="0" readingOrder="0"/>
    </dxf>
    <dxf>
      <border outline="0">
        <left style="medium">
          <color indexed="64"/>
        </left>
        <right style="medium">
          <color indexed="64"/>
        </right>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0" formatCode="General"/>
      <alignment horizontal="left" vertical="bottom" textRotation="0" wrapText="1" indent="0" justifyLastLine="0" shrinkToFit="0" readingOrder="0"/>
    </dxf>
    <dxf>
      <alignment horizontal="left" vertical="bottom"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border outline="0">
        <left style="medium">
          <color indexed="64"/>
        </left>
        <right style="medium">
          <color indexed="64"/>
        </right>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0" formatCode="General"/>
      <alignment horizontal="left" vertical="bottom" textRotation="0" wrapText="1" indent="0" justifyLastLine="0" shrinkToFit="0" readingOrder="0"/>
    </dxf>
    <dxf>
      <alignment horizontal="center" vertical="bottom" textRotation="0" wrapText="0" indent="0" justifyLastLine="0" shrinkToFit="0" readingOrder="0"/>
    </dxf>
    <dxf>
      <border outline="0">
        <left style="medium">
          <color indexed="64"/>
        </left>
        <right style="medium">
          <color indexed="64"/>
        </right>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0" formatCode="General"/>
      <alignment horizontal="left" vertical="bottom" textRotation="0" wrapText="1" indent="0" justifyLastLine="0" shrinkToFit="0" readingOrder="0"/>
    </dxf>
    <dxf>
      <alignment horizontal="center" vertical="bottom" textRotation="0" wrapText="0" indent="0" justifyLastLine="0" shrinkToFit="0" readingOrder="0"/>
    </dxf>
    <dxf>
      <border outline="0">
        <left style="medium">
          <color indexed="64"/>
        </left>
        <right style="medium">
          <color indexed="64"/>
        </right>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dxf>
    <dxf>
      <numFmt numFmtId="180" formatCode="_(&quot;$&quot;* #,##0_);_(&quot;$&quot;* \(#,##0\);_(&quot;$&quot;*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80" formatCode="_(&quot;$&quot;* #,##0_);_(&quot;$&quot;* \(#,##0\);_(&quot;$&quot;*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80" formatCode="_(&quot;$&quot;* #,##0_);_(&quot;$&quot;* \(#,##0\);_(&quot;$&quot;*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alignment horizontal="left" vertical="bottom" textRotation="0" wrapText="1" indent="0" justifyLastLine="0" shrinkToFit="0" readingOrder="0"/>
    </dxf>
    <dxf>
      <alignment horizontal="left" vertical="bottom"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border outline="0">
        <left style="medium">
          <color indexed="64"/>
        </left>
        <right style="medium">
          <color indexed="64"/>
        </right>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dxf>
    <dxf>
      <numFmt numFmtId="34" formatCode="_(&quot;$&quot;* #,##0.00_);_(&quot;$&quot;* \(#,##0.00\);_(&quot;$&quot;* &quot;-&quot;??_);_(@_)"/>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border diagonalUp="0" diagonalDown="0">
        <left style="medium">
          <color indexed="64"/>
        </left>
      </border>
    </dxf>
    <dxf>
      <numFmt numFmtId="0" formatCode="General"/>
      <alignment horizontal="center" vertical="bottom" textRotation="0" wrapText="0" indent="0" justifyLastLine="0" shrinkToFit="0" readingOrder="0"/>
      <border diagonalUp="0" diagonalDown="0">
        <left/>
        <right style="medium">
          <color indexed="64"/>
        </right>
        <top/>
        <bottom/>
        <vertical/>
        <horizontal/>
      </border>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border diagonalUp="0" diagonalDown="0" outline="0">
        <left style="medium">
          <color indexed="64"/>
        </left>
        <right/>
        <top/>
        <bottom/>
      </border>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border diagonalUp="0" diagonalDown="0">
        <left/>
        <right style="medium">
          <color indexed="64"/>
        </right>
        <top/>
        <bottom/>
        <vertical/>
        <horizontal/>
      </border>
    </dxf>
    <dxf>
      <numFmt numFmtId="0" formatCode="General"/>
      <alignment horizontal="center" vertical="bottom" textRotation="0" wrapText="0" indent="0" justifyLastLine="0" shrinkToFit="0" readingOrder="0"/>
    </dxf>
    <dxf>
      <font>
        <color theme="5" tint="-0.249977111117893"/>
      </font>
      <alignment horizontal="center" vertical="bottom" textRotation="0" wrapText="0" indent="0" justifyLastLine="0" shrinkToFit="0" readingOrder="0"/>
      <border diagonalUp="0" diagonalDown="0">
        <left style="medium">
          <color indexed="64"/>
        </left>
        <right/>
        <top/>
        <bottom/>
        <vertical/>
        <horizontal/>
      </border>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border diagonalUp="0" diagonalDown="0" outline="0">
        <left style="medium">
          <color indexed="64"/>
        </left>
        <right/>
        <top/>
        <bottom/>
      </border>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alignment horizontal="center" vertical="bottom" textRotation="0" wrapText="0" indent="0" justifyLastLine="0" shrinkToFit="0" readingOrder="0"/>
      <border diagonalUp="0" diagonalDown="0">
        <left style="medium">
          <color indexed="64"/>
        </left>
        <right/>
        <top/>
        <bottom/>
        <vertical/>
        <horizontal/>
      </border>
    </dxf>
    <dxf>
      <numFmt numFmtId="0" formatCode="General"/>
      <alignment horizontal="center" vertical="bottom" textRotation="0" wrapText="0" indent="0" justifyLastLine="0" shrinkToFit="0" readingOrder="0"/>
      <border diagonalUp="0" diagonalDown="0">
        <right style="medium">
          <color indexed="64"/>
        </right>
      </border>
    </dxf>
    <dxf>
      <numFmt numFmtId="0" formatCode="General"/>
      <alignment horizontal="center" vertical="bottom" textRotation="0" wrapText="0" indent="0" justifyLastLine="0" shrinkToFit="0" readingOrder="0"/>
    </dxf>
    <dxf>
      <alignment horizontal="center" vertical="bottom" textRotation="0" indent="0" justifyLastLine="0" shrinkToFit="0" readingOrder="0"/>
      <border diagonalUp="0" diagonalDown="0">
        <left style="medium">
          <color indexed="64"/>
        </left>
        <right/>
        <top/>
        <bottom/>
      </border>
    </dxf>
    <dxf>
      <border outline="0">
        <top style="thin">
          <color indexed="64"/>
        </top>
        <bottom style="medium">
          <color indexed="64"/>
        </bottom>
      </border>
    </dxf>
    <dxf>
      <alignment horizontal="center" vertical="bottom" textRotation="0" indent="0" justifyLastLine="0" shrinkToFit="0" readingOrder="0"/>
    </dxf>
    <dxf>
      <border outline="0">
        <bottom style="thin">
          <color indexed="64"/>
        </bottom>
      </border>
    </dxf>
    <dxf>
      <fill>
        <patternFill patternType="solid">
          <fgColor indexed="64"/>
          <bgColor theme="0" tint="-0.14999847407452621"/>
        </patternFill>
      </fill>
      <alignment horizontal="center" vertical="bottom" textRotation="0" wrapText="1" indent="0" justifyLastLine="0" shrinkToFit="0" readingOrder="0"/>
      <border diagonalUp="0" diagonalDown="0" outline="0">
        <left style="thin">
          <color indexed="64"/>
        </left>
        <right style="thin">
          <color indexed="64"/>
        </right>
        <top/>
        <bottom/>
      </border>
    </dxf>
    <dxf>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numFmt numFmtId="3" formatCode="#,##0"/>
      <alignment horizontal="center" vertical="bottom" textRotation="0" wrapText="0" indent="0" justifyLastLine="0" shrinkToFit="0" readingOrder="0"/>
      <border diagonalUp="0" diagonalDown="0">
        <left style="medium">
          <color indexed="64"/>
        </left>
        <right/>
        <top/>
        <bottom/>
        <vertical/>
        <horizontal/>
      </border>
    </dxf>
    <dxf>
      <font>
        <color auto="1"/>
      </font>
      <numFmt numFmtId="3" formatCode="#,##0"/>
      <alignment horizontal="center" vertical="bottom" textRotation="0" wrapText="0" indent="0" justifyLastLine="0" shrinkToFit="0" readingOrder="0"/>
    </dxf>
    <dxf>
      <font>
        <color auto="1"/>
      </font>
      <numFmt numFmtId="4" formatCode="#,##0.00"/>
      <alignment horizontal="center" vertical="bottom" textRotation="0" wrapText="0" indent="0" justifyLastLine="0" shrinkToFit="0" readingOrder="0"/>
    </dxf>
    <dxf>
      <font>
        <color auto="1"/>
      </font>
      <numFmt numFmtId="3" formatCode="#,##0"/>
      <alignment horizontal="center" vertical="bottom" textRotation="0" wrapText="0" indent="0" justifyLastLine="0" shrinkToFit="0" readingOrder="0"/>
    </dxf>
    <dxf>
      <font>
        <color auto="1"/>
      </font>
      <numFmt numFmtId="3" formatCode="#,##0"/>
      <alignment horizontal="center" vertical="bottom" textRotation="0" wrapText="0" indent="0" justifyLastLine="0" shrinkToFit="0" readingOrder="0"/>
    </dxf>
    <dxf>
      <font>
        <color auto="1"/>
      </font>
      <numFmt numFmtId="3" formatCode="#,##0"/>
      <alignment horizontal="center" vertical="bottom" textRotation="0" wrapText="0" indent="0" justifyLastLine="0" shrinkToFit="0" readingOrder="0"/>
    </dxf>
    <dxf>
      <font>
        <color theme="5" tint="-0.249977111117893"/>
      </font>
      <numFmt numFmtId="3" formatCode="#,##0"/>
      <alignment horizontal="center" vertical="bottom" textRotation="0" wrapText="0" indent="0" justifyLastLine="0" shrinkToFit="0" readingOrder="0"/>
      <border diagonalUp="0" diagonalDown="0">
        <left style="medium">
          <color indexed="64"/>
        </left>
        <right/>
        <top/>
        <bottom/>
        <vertical/>
        <horizontal/>
      </border>
    </dxf>
    <dxf>
      <font>
        <color auto="1"/>
      </font>
      <numFmt numFmtId="3" formatCode="#,##0"/>
      <alignment horizontal="center" vertical="bottom" textRotation="0" wrapText="0" indent="0" justifyLastLine="0" shrinkToFit="0" readingOrder="0"/>
    </dxf>
    <dxf>
      <font>
        <color auto="1"/>
      </font>
      <numFmt numFmtId="4" formatCode="#,##0.00"/>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theme="5" tint="-0.249977111117893"/>
      </font>
      <numFmt numFmtId="3" formatCode="#,##0"/>
      <alignment horizontal="center" vertical="bottom" textRotation="0" wrapText="0" indent="0" justifyLastLine="0" shrinkToFit="0" readingOrder="0"/>
      <border diagonalUp="0" diagonalDown="0">
        <left style="medium">
          <color indexed="64"/>
        </left>
        <right/>
        <top/>
        <bottom/>
        <vertical/>
        <horizontal/>
      </border>
    </dxf>
    <dxf>
      <font>
        <color auto="1"/>
      </font>
      <numFmt numFmtId="3" formatCode="#,##0"/>
      <alignment horizontal="center" vertical="bottom" textRotation="0" wrapText="0" indent="0" justifyLastLine="0" shrinkToFit="0" readingOrder="0"/>
    </dxf>
    <dxf>
      <font>
        <color auto="1"/>
      </font>
      <numFmt numFmtId="4" formatCode="#,##0.00"/>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theme="5" tint="-0.249977111117893"/>
      </font>
      <numFmt numFmtId="3" formatCode="#,##0"/>
      <alignment horizontal="center" vertical="bottom" textRotation="0" wrapText="0" indent="0" justifyLastLine="0" shrinkToFit="0" readingOrder="0"/>
      <border diagonalUp="0" diagonalDown="0">
        <left style="medium">
          <color indexed="64"/>
        </left>
        <right/>
        <top/>
        <bottom/>
        <vertical/>
        <horizontal/>
      </border>
    </dxf>
    <dxf>
      <numFmt numFmtId="3" formatCode="#,##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0" formatCode="General"/>
      <alignment horizontal="center" vertical="bottom" textRotation="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alignment horizontal="center" vertical="bottom" textRotation="0" wrapText="0" indent="0" justifyLastLine="0" shrinkToFit="0" readingOrder="0"/>
      <border diagonalUp="0" diagonalDown="0">
        <left style="medium">
          <color indexed="64"/>
        </left>
        <right/>
        <top/>
        <bottom/>
        <vertical/>
        <horizontal/>
      </border>
    </dxf>
    <dxf>
      <numFmt numFmtId="3" formatCode="#,##0"/>
      <alignment horizontal="center" vertical="bottom" textRotation="0" wrapText="0" indent="0" justifyLastLine="0" shrinkToFit="0" readingOrder="0"/>
      <border diagonalUp="0" diagonalDown="0">
        <right style="medium">
          <color indexed="64"/>
        </right>
      </border>
    </dxf>
    <dxf>
      <numFmt numFmtId="0" formatCode="General"/>
      <alignment horizontal="center" vertical="bottom" textRotation="0" wrapText="0" indent="0" justifyLastLine="0" shrinkToFit="0" readingOrder="0"/>
    </dxf>
    <dxf>
      <alignment horizontal="center" vertical="bottom" textRotation="0" indent="0" justifyLastLine="0" shrinkToFit="0" readingOrder="0"/>
      <border diagonalUp="0" diagonalDown="0">
        <left style="medium">
          <color indexed="64"/>
        </left>
        <right/>
        <top/>
        <bottom/>
      </border>
    </dxf>
    <dxf>
      <border outline="0">
        <top style="thin">
          <color indexed="64"/>
        </top>
        <bottom style="medium">
          <color indexed="64"/>
        </bottom>
      </border>
    </dxf>
    <dxf>
      <alignment horizontal="center" vertical="bottom" textRotation="0" indent="0" justifyLastLine="0" shrinkToFit="0" readingOrder="0"/>
    </dxf>
    <dxf>
      <border outline="0">
        <bottom style="thin">
          <color indexed="64"/>
        </bottom>
      </border>
    </dxf>
    <dxf>
      <fill>
        <patternFill patternType="solid">
          <fgColor indexed="64"/>
          <bgColor theme="0" tint="-0.14999847407452621"/>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dxf>
    <dxf>
      <font>
        <strike val="0"/>
        <outline val="0"/>
        <shadow val="0"/>
        <u val="none"/>
        <vertAlign val="baseline"/>
        <sz val="11"/>
        <color auto="1"/>
        <name val="Calibri"/>
        <family val="2"/>
        <scheme val="minor"/>
      </font>
      <fill>
        <patternFill patternType="solid">
          <fgColor indexed="64"/>
          <bgColor theme="2"/>
        </patternFill>
      </fill>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3" formatCode="#,##0"/>
      <alignment horizontal="center" vertical="bottom" textRotation="0" wrapText="0" indent="0" justifyLastLine="0" shrinkToFit="0" readingOrder="0"/>
      <border diagonalUp="0" diagonalDown="0">
        <left/>
        <right style="medium">
          <color indexed="64"/>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indexed="64"/>
        </top>
      </border>
    </dxf>
    <dxf>
      <border outline="0">
        <bottom style="thin">
          <color indexed="64"/>
        </bottom>
      </border>
    </dxf>
    <dxf>
      <fill>
        <patternFill patternType="solid">
          <fgColor indexed="64"/>
          <bgColor theme="0" tint="-0.14999847407452621"/>
        </patternFill>
      </fill>
      <alignment horizontal="general" vertical="bottom"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bottom" textRotation="0" indent="0" justifyLastLine="0" shrinkToFit="0" readingOrder="0"/>
    </dxf>
    <dxf>
      <numFmt numFmtId="0" formatCode="General"/>
      <alignment horizontal="center" vertical="bottom" textRotation="0" indent="0" justifyLastLine="0" shrinkToFit="0" readingOrder="0"/>
    </dxf>
    <dxf>
      <numFmt numFmtId="0" formatCode="General"/>
      <alignment horizontal="center" vertical="bottom" textRotation="0" indent="0" justifyLastLine="0" shrinkToFit="0" readingOrder="0"/>
    </dxf>
    <dxf>
      <numFmt numFmtId="13" formatCode="0%"/>
      <alignment horizontal="center" vertical="bottom" textRotation="0" indent="0" justifyLastLine="0" shrinkToFit="0" readingOrder="0"/>
    </dxf>
    <dxf>
      <numFmt numFmtId="3" formatCode="#,##0"/>
      <alignment horizontal="center" vertical="bottom" textRotation="0" indent="0" justifyLastLine="0" shrinkToFit="0" readingOrder="0"/>
    </dxf>
    <dxf>
      <numFmt numFmtId="0" formatCode="General"/>
      <alignment horizontal="center" vertical="bottom" textRotation="0" indent="0" justifyLastLine="0" shrinkToFit="0" readingOrder="0"/>
    </dxf>
    <dxf>
      <alignment horizontal="center" vertical="bottom" textRotation="0" wrapText="0" indent="0" justifyLastLine="0" shrinkToFit="0" readingOrder="0"/>
    </dxf>
    <dxf>
      <alignment horizontal="center" vertical="bottom" textRotation="0" indent="0" justifyLastLine="0" shrinkToFit="0" readingOrder="0"/>
    </dxf>
    <dxf>
      <border outline="0">
        <top style="thin">
          <color indexed="64"/>
        </top>
        <bottom style="medium">
          <color indexed="64"/>
        </bottom>
      </border>
    </dxf>
    <dxf>
      <alignment horizontal="center" vertical="bottom" textRotation="0" indent="0" justifyLastLine="0" shrinkToFit="0" readingOrder="0"/>
    </dxf>
    <dxf>
      <border outline="0">
        <bottom style="thin">
          <color indexed="64"/>
        </bottom>
      </border>
    </dxf>
    <dxf>
      <fill>
        <patternFill patternType="solid">
          <fgColor indexed="64"/>
          <bgColor theme="0" tint="-0.14999847407452621"/>
        </patternFill>
      </fill>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'ECM Reports'!$M$26</c:f>
              <c:strCache>
                <c:ptCount val="1"/>
                <c:pt idx="0">
                  <c:v>Proposed</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A-704B-4082-A96F-07446793063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B-704B-4082-A96F-07446793063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C-704B-4082-A96F-07446793063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D-704B-4082-A96F-07446793063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E-704B-4082-A96F-07446793063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F-704B-4082-A96F-07446793063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0-704B-4082-A96F-07446793063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1-704B-4082-A96F-07446793063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22-704B-4082-A96F-07446793063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2-275E-412B-B856-74B2C1E0034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30EE-44FA-B240-A9F6F50E770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30EE-44FA-B240-A9F6F50E770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30EE-44FA-B240-A9F6F50E770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30EE-44FA-B240-A9F6F50E770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30EE-44FA-B240-A9F6F50E770C}"/>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30EE-44FA-B240-A9F6F50E770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30EE-44FA-B240-A9F6F50E770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30EE-44FA-B240-A9F6F50E770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30EE-44FA-B240-A9F6F50E770C}"/>
              </c:ext>
            </c:extLst>
          </c:dPt>
          <c:dLbls>
            <c:spPr>
              <a:noFill/>
              <a:ln>
                <a:noFill/>
              </a:ln>
              <a:effectLst/>
            </c:spPr>
            <c:txPr>
              <a:bodyPr rot="0" spcFirstLastPara="1" vertOverflow="overflow" horzOverflow="overflow" vert="horz" wrap="square" lIns="91440" tIns="0" rIns="9144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'ECM Reports'!$O$17:$AG$17</c:f>
              <c:strCache>
                <c:ptCount val="19"/>
                <c:pt idx="0">
                  <c:v>Internal Lighting</c:v>
                </c:pt>
                <c:pt idx="1">
                  <c:v>External Lighting</c:v>
                </c:pt>
                <c:pt idx="2">
                  <c:v>Space Heating</c:v>
                </c:pt>
                <c:pt idx="3">
                  <c:v>Space Cooling</c:v>
                </c:pt>
                <c:pt idx="4">
                  <c:v>Pumps</c:v>
                </c:pt>
                <c:pt idx="5">
                  <c:v>Fans Process</c:v>
                </c:pt>
                <c:pt idx="6">
                  <c:v>Fans Interior</c:v>
                </c:pt>
                <c:pt idx="7">
                  <c:v>Fans Parking Garage</c:v>
                </c:pt>
                <c:pt idx="8">
                  <c:v>Service Water Heating</c:v>
                </c:pt>
                <c:pt idx="9">
                  <c:v>Receptacle Equipment</c:v>
                </c:pt>
                <c:pt idx="10">
                  <c:v>Interior Lighting Process</c:v>
                </c:pt>
                <c:pt idx="11">
                  <c:v>Refrigeration</c:v>
                </c:pt>
                <c:pt idx="12">
                  <c:v>Data Centre Equipment</c:v>
                </c:pt>
                <c:pt idx="13">
                  <c:v>Cooking</c:v>
                </c:pt>
                <c:pt idx="14">
                  <c:v>Elevators/ Escalators</c:v>
                </c:pt>
                <c:pt idx="15">
                  <c:v>Heat Rejection</c:v>
                </c:pt>
                <c:pt idx="16">
                  <c:v>Combined Heat and Power</c:v>
                </c:pt>
                <c:pt idx="17">
                  <c:v>Humidification</c:v>
                </c:pt>
                <c:pt idx="18">
                  <c:v>Other Processes</c:v>
                </c:pt>
              </c:strCache>
            </c:strRef>
          </c:cat>
          <c:val>
            <c:numRef>
              <c:f>'ECM Reports'!$O$26:$AG$26</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704B-4082-A96F-07446793063B}"/>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'ECM Reports'!$O$29</c:f>
              <c:strCache>
                <c:ptCount val="1"/>
                <c:pt idx="0">
                  <c:v>Internal Lighting</c:v>
                </c:pt>
              </c:strCache>
            </c:strRef>
          </c:tx>
          <c:spPr>
            <a:solidFill>
              <a:schemeClr val="accent1"/>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Reports'!$O$30:$O$38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E160-474C-800E-7D820A3C1FEB}"/>
            </c:ext>
          </c:extLst>
        </c:ser>
        <c:ser>
          <c:idx val="1"/>
          <c:order val="1"/>
          <c:tx>
            <c:strRef>
              <c:f>'ECM Reports'!$P$29</c:f>
              <c:strCache>
                <c:ptCount val="1"/>
                <c:pt idx="0">
                  <c:v>External Lighting</c:v>
                </c:pt>
              </c:strCache>
            </c:strRef>
          </c:tx>
          <c:spPr>
            <a:solidFill>
              <a:schemeClr val="accent2"/>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Reports'!$P$30:$P$38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2-E160-474C-800E-7D820A3C1FEB}"/>
            </c:ext>
          </c:extLst>
        </c:ser>
        <c:ser>
          <c:idx val="2"/>
          <c:order val="2"/>
          <c:tx>
            <c:strRef>
              <c:f>'ECM Reports'!$Q$29</c:f>
              <c:strCache>
                <c:ptCount val="1"/>
                <c:pt idx="0">
                  <c:v>Space Heating</c:v>
                </c:pt>
              </c:strCache>
            </c:strRef>
          </c:tx>
          <c:spPr>
            <a:solidFill>
              <a:schemeClr val="accent3"/>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Reports'!$Q$30:$Q$38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3-E160-474C-800E-7D820A3C1FEB}"/>
            </c:ext>
          </c:extLst>
        </c:ser>
        <c:ser>
          <c:idx val="3"/>
          <c:order val="3"/>
          <c:tx>
            <c:strRef>
              <c:f>'ECM Reports'!$R$29</c:f>
              <c:strCache>
                <c:ptCount val="1"/>
                <c:pt idx="0">
                  <c:v>Space Cooling</c:v>
                </c:pt>
              </c:strCache>
            </c:strRef>
          </c:tx>
          <c:spPr>
            <a:solidFill>
              <a:schemeClr val="accent4"/>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Reports'!$R$30:$R$38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4-E160-474C-800E-7D820A3C1FEB}"/>
            </c:ext>
          </c:extLst>
        </c:ser>
        <c:ser>
          <c:idx val="4"/>
          <c:order val="4"/>
          <c:tx>
            <c:strRef>
              <c:f>'ECM Reports'!$S$29</c:f>
              <c:strCache>
                <c:ptCount val="1"/>
                <c:pt idx="0">
                  <c:v>Pumps</c:v>
                </c:pt>
              </c:strCache>
            </c:strRef>
          </c:tx>
          <c:spPr>
            <a:solidFill>
              <a:schemeClr val="accent5"/>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Reports'!$S$30:$S$38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5-E160-474C-800E-7D820A3C1FEB}"/>
            </c:ext>
          </c:extLst>
        </c:ser>
        <c:ser>
          <c:idx val="5"/>
          <c:order val="5"/>
          <c:tx>
            <c:strRef>
              <c:f>'ECM Reports'!$T$29</c:f>
              <c:strCache>
                <c:ptCount val="1"/>
                <c:pt idx="0">
                  <c:v>Fans Process</c:v>
                </c:pt>
              </c:strCache>
            </c:strRef>
          </c:tx>
          <c:spPr>
            <a:solidFill>
              <a:schemeClr val="accent6"/>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Reports'!$T$30:$T$38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6-E160-474C-800E-7D820A3C1FEB}"/>
            </c:ext>
          </c:extLst>
        </c:ser>
        <c:ser>
          <c:idx val="6"/>
          <c:order val="6"/>
          <c:tx>
            <c:strRef>
              <c:f>'ECM Reports'!$U$29</c:f>
              <c:strCache>
                <c:ptCount val="1"/>
                <c:pt idx="0">
                  <c:v>Fans Interior</c:v>
                </c:pt>
              </c:strCache>
            </c:strRef>
          </c:tx>
          <c:spPr>
            <a:solidFill>
              <a:schemeClr val="accent1">
                <a:lumMod val="6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Reports'!$U$30:$U$38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7-E160-474C-800E-7D820A3C1FEB}"/>
            </c:ext>
          </c:extLst>
        </c:ser>
        <c:ser>
          <c:idx val="7"/>
          <c:order val="7"/>
          <c:tx>
            <c:strRef>
              <c:f>'ECM Reports'!$V$29</c:f>
              <c:strCache>
                <c:ptCount val="1"/>
                <c:pt idx="0">
                  <c:v>Fans Parking Garage</c:v>
                </c:pt>
              </c:strCache>
            </c:strRef>
          </c:tx>
          <c:spPr>
            <a:solidFill>
              <a:schemeClr val="accent2">
                <a:lumMod val="6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Reports'!$V$30:$V$38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8-E160-474C-800E-7D820A3C1FEB}"/>
            </c:ext>
          </c:extLst>
        </c:ser>
        <c:ser>
          <c:idx val="8"/>
          <c:order val="8"/>
          <c:tx>
            <c:strRef>
              <c:f>'ECM Reports'!$W$29</c:f>
              <c:strCache>
                <c:ptCount val="1"/>
                <c:pt idx="0">
                  <c:v>Service Water Heating</c:v>
                </c:pt>
              </c:strCache>
            </c:strRef>
          </c:tx>
          <c:spPr>
            <a:solidFill>
              <a:schemeClr val="accent3">
                <a:lumMod val="6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Reports'!$W$30:$W$38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9-E160-474C-800E-7D820A3C1FEB}"/>
            </c:ext>
          </c:extLst>
        </c:ser>
        <c:ser>
          <c:idx val="9"/>
          <c:order val="9"/>
          <c:tx>
            <c:strRef>
              <c:f>'ECM Reports'!$X$29</c:f>
              <c:strCache>
                <c:ptCount val="1"/>
                <c:pt idx="0">
                  <c:v>Receptacle Equipment</c:v>
                </c:pt>
              </c:strCache>
            </c:strRef>
          </c:tx>
          <c:spPr>
            <a:solidFill>
              <a:schemeClr val="accent4">
                <a:lumMod val="6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Reports'!$X$30:$X$38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A-E160-474C-800E-7D820A3C1FEB}"/>
            </c:ext>
          </c:extLst>
        </c:ser>
        <c:ser>
          <c:idx val="10"/>
          <c:order val="10"/>
          <c:tx>
            <c:strRef>
              <c:f>'ECM Reports'!$Y$29</c:f>
              <c:strCache>
                <c:ptCount val="1"/>
                <c:pt idx="0">
                  <c:v>Interior Lighting Process</c:v>
                </c:pt>
              </c:strCache>
            </c:strRef>
          </c:tx>
          <c:spPr>
            <a:solidFill>
              <a:schemeClr val="accent5">
                <a:lumMod val="6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Reports'!$Y$30:$Y$38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B-E160-474C-800E-7D820A3C1FEB}"/>
            </c:ext>
          </c:extLst>
        </c:ser>
        <c:ser>
          <c:idx val="11"/>
          <c:order val="11"/>
          <c:tx>
            <c:strRef>
              <c:f>'ECM Reports'!$Z$29</c:f>
              <c:strCache>
                <c:ptCount val="1"/>
                <c:pt idx="0">
                  <c:v>Refrigeration</c:v>
                </c:pt>
              </c:strCache>
            </c:strRef>
          </c:tx>
          <c:spPr>
            <a:solidFill>
              <a:schemeClr val="accent6">
                <a:lumMod val="6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Reports'!$Z$30:$Z$38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C-E160-474C-800E-7D820A3C1FEB}"/>
            </c:ext>
          </c:extLst>
        </c:ser>
        <c:ser>
          <c:idx val="12"/>
          <c:order val="12"/>
          <c:tx>
            <c:strRef>
              <c:f>'ECM Reports'!$AA$29</c:f>
              <c:strCache>
                <c:ptCount val="1"/>
                <c:pt idx="0">
                  <c:v>Data Centre Equipment</c:v>
                </c:pt>
              </c:strCache>
            </c:strRef>
          </c:tx>
          <c:spPr>
            <a:solidFill>
              <a:schemeClr val="accent1">
                <a:lumMod val="80000"/>
                <a:lumOff val="2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Reports'!$AA$30:$AA$38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D-E160-474C-800E-7D820A3C1FEB}"/>
            </c:ext>
          </c:extLst>
        </c:ser>
        <c:ser>
          <c:idx val="13"/>
          <c:order val="13"/>
          <c:tx>
            <c:strRef>
              <c:f>'ECM Reports'!$AB$29</c:f>
              <c:strCache>
                <c:ptCount val="1"/>
                <c:pt idx="0">
                  <c:v>Cooking</c:v>
                </c:pt>
              </c:strCache>
            </c:strRef>
          </c:tx>
          <c:spPr>
            <a:solidFill>
              <a:schemeClr val="accent2">
                <a:lumMod val="80000"/>
                <a:lumOff val="2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Reports'!$AB$30:$AB$38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E-E160-474C-800E-7D820A3C1FEB}"/>
            </c:ext>
          </c:extLst>
        </c:ser>
        <c:ser>
          <c:idx val="14"/>
          <c:order val="14"/>
          <c:tx>
            <c:strRef>
              <c:f>'ECM Reports'!$AC$29</c:f>
              <c:strCache>
                <c:ptCount val="1"/>
                <c:pt idx="0">
                  <c:v>Elevators/ Escalators</c:v>
                </c:pt>
              </c:strCache>
            </c:strRef>
          </c:tx>
          <c:spPr>
            <a:solidFill>
              <a:schemeClr val="accent3">
                <a:lumMod val="80000"/>
                <a:lumOff val="2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Reports'!$AC$30:$AC$38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F-E160-474C-800E-7D820A3C1FEB}"/>
            </c:ext>
          </c:extLst>
        </c:ser>
        <c:ser>
          <c:idx val="15"/>
          <c:order val="15"/>
          <c:tx>
            <c:strRef>
              <c:f>'ECM Reports'!$AD$29</c:f>
              <c:strCache>
                <c:ptCount val="1"/>
                <c:pt idx="0">
                  <c:v>Heat Rejection</c:v>
                </c:pt>
              </c:strCache>
            </c:strRef>
          </c:tx>
          <c:spPr>
            <a:solidFill>
              <a:schemeClr val="accent4">
                <a:lumMod val="80000"/>
                <a:lumOff val="2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Reports'!$AD$30:$AD$38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0-E160-474C-800E-7D820A3C1FEB}"/>
            </c:ext>
          </c:extLst>
        </c:ser>
        <c:ser>
          <c:idx val="16"/>
          <c:order val="16"/>
          <c:tx>
            <c:strRef>
              <c:f>'ECM Reports'!$AE$29</c:f>
              <c:strCache>
                <c:ptCount val="1"/>
                <c:pt idx="0">
                  <c:v>Combined Heat and Power</c:v>
                </c:pt>
              </c:strCache>
            </c:strRef>
          </c:tx>
          <c:spPr>
            <a:solidFill>
              <a:schemeClr val="accent5">
                <a:lumMod val="80000"/>
                <a:lumOff val="2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Reports'!$AE$30:$AE$38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1-E160-474C-800E-7D820A3C1FEB}"/>
            </c:ext>
          </c:extLst>
        </c:ser>
        <c:ser>
          <c:idx val="17"/>
          <c:order val="17"/>
          <c:tx>
            <c:strRef>
              <c:f>'ECM Reports'!$AF$29</c:f>
              <c:strCache>
                <c:ptCount val="1"/>
                <c:pt idx="0">
                  <c:v>Humidification</c:v>
                </c:pt>
              </c:strCache>
            </c:strRef>
          </c:tx>
          <c:spPr>
            <a:solidFill>
              <a:schemeClr val="accent6">
                <a:lumMod val="80000"/>
                <a:lumOff val="2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Reports'!$AF$30:$AF$38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2-E160-474C-800E-7D820A3C1FEB}"/>
            </c:ext>
          </c:extLst>
        </c:ser>
        <c:ser>
          <c:idx val="18"/>
          <c:order val="18"/>
          <c:tx>
            <c:strRef>
              <c:f>'ECM Reports'!$AG$29</c:f>
              <c:strCache>
                <c:ptCount val="1"/>
                <c:pt idx="0">
                  <c:v>Other Processes</c:v>
                </c:pt>
              </c:strCache>
            </c:strRef>
          </c:tx>
          <c:spPr>
            <a:solidFill>
              <a:schemeClr val="accent1">
                <a:lumMod val="8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Reports'!$AG$30:$AG$38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3-E160-474C-800E-7D820A3C1FEB}"/>
            </c:ext>
          </c:extLst>
        </c:ser>
        <c:dLbls>
          <c:showLegendKey val="0"/>
          <c:showVal val="0"/>
          <c:showCatName val="0"/>
          <c:showSerName val="0"/>
          <c:showPercent val="0"/>
          <c:showBubbleSize val="0"/>
        </c:dLbls>
        <c:gapWidth val="150"/>
        <c:overlap val="100"/>
        <c:axId val="382865360"/>
        <c:axId val="382858640"/>
      </c:barChart>
      <c:catAx>
        <c:axId val="382865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858640"/>
        <c:crosses val="autoZero"/>
        <c:auto val="1"/>
        <c:lblAlgn val="ctr"/>
        <c:lblOffset val="100"/>
        <c:noMultiLvlLbl val="0"/>
      </c:catAx>
      <c:valAx>
        <c:axId val="3828586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Energy Use Intensity (EUI) [kBTU/sqft/year]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865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'ECM Reports'!$M$18</c:f>
              <c:strCache>
                <c:ptCount val="1"/>
                <c:pt idx="0">
                  <c:v>Baseline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7E6-41E4-9D21-A84D71BD0F6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7E6-41E4-9D21-A84D71BD0F6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7E6-41E4-9D21-A84D71BD0F6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7E6-41E4-9D21-A84D71BD0F6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7E6-41E4-9D21-A84D71BD0F6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7E6-41E4-9D21-A84D71BD0F6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7E6-41E4-9D21-A84D71BD0F6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7E6-41E4-9D21-A84D71BD0F6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7E6-41E4-9D21-A84D71BD0F6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D7E6-41E4-9D21-A84D71BD0F6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D7E6-41E4-9D21-A84D71BD0F6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D7E6-41E4-9D21-A84D71BD0F6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D7E6-41E4-9D21-A84D71BD0F6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D7E6-41E4-9D21-A84D71BD0F6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D7E6-41E4-9D21-A84D71BD0F6C}"/>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D7E6-41E4-9D21-A84D71BD0F6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D7E6-41E4-9D21-A84D71BD0F6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D7E6-41E4-9D21-A84D71BD0F6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D7E6-41E4-9D21-A84D71BD0F6C}"/>
              </c:ext>
            </c:extLst>
          </c:dPt>
          <c:dLbls>
            <c:spPr>
              <a:noFill/>
              <a:ln>
                <a:noFill/>
              </a:ln>
              <a:effectLst/>
            </c:spPr>
            <c:txPr>
              <a:bodyPr rot="0" spcFirstLastPara="1" vertOverflow="overflow" horzOverflow="overflow" vert="horz" wrap="square" lIns="91440" tIns="0" rIns="9144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'ECM Reports'!$O$17:$AG$17</c:f>
              <c:strCache>
                <c:ptCount val="19"/>
                <c:pt idx="0">
                  <c:v>Internal Lighting</c:v>
                </c:pt>
                <c:pt idx="1">
                  <c:v>External Lighting</c:v>
                </c:pt>
                <c:pt idx="2">
                  <c:v>Space Heating</c:v>
                </c:pt>
                <c:pt idx="3">
                  <c:v>Space Cooling</c:v>
                </c:pt>
                <c:pt idx="4">
                  <c:v>Pumps</c:v>
                </c:pt>
                <c:pt idx="5">
                  <c:v>Fans Process</c:v>
                </c:pt>
                <c:pt idx="6">
                  <c:v>Fans Interior</c:v>
                </c:pt>
                <c:pt idx="7">
                  <c:v>Fans Parking Garage</c:v>
                </c:pt>
                <c:pt idx="8">
                  <c:v>Service Water Heating</c:v>
                </c:pt>
                <c:pt idx="9">
                  <c:v>Receptacle Equipment</c:v>
                </c:pt>
                <c:pt idx="10">
                  <c:v>Interior Lighting Process</c:v>
                </c:pt>
                <c:pt idx="11">
                  <c:v>Refrigeration</c:v>
                </c:pt>
                <c:pt idx="12">
                  <c:v>Data Centre Equipment</c:v>
                </c:pt>
                <c:pt idx="13">
                  <c:v>Cooking</c:v>
                </c:pt>
                <c:pt idx="14">
                  <c:v>Elevators/ Escalators</c:v>
                </c:pt>
                <c:pt idx="15">
                  <c:v>Heat Rejection</c:v>
                </c:pt>
                <c:pt idx="16">
                  <c:v>Combined Heat and Power</c:v>
                </c:pt>
                <c:pt idx="17">
                  <c:v>Humidification</c:v>
                </c:pt>
                <c:pt idx="18">
                  <c:v>Other Processes</c:v>
                </c:pt>
              </c:strCache>
            </c:strRef>
          </c:cat>
          <c:val>
            <c:numRef>
              <c:f>'ECM Reports'!$O$18:$AG$18</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26-D7E6-41E4-9D21-A84D71BD0F6C}"/>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'eQuest Schedules'!$D$9</c:f>
          <c:strCache>
            <c:ptCount val="1"/>
            <c:pt idx="0">
              <c:v> Occupancy Schedule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'eQuest Schedules'!$C$23</c:f>
              <c:strCache>
                <c:ptCount val="1"/>
                <c:pt idx="0">
                  <c:v>Weekday</c:v>
                </c:pt>
              </c:strCache>
            </c:strRef>
          </c:tx>
          <c:spPr>
            <a:ln w="28575" cap="rnd">
              <a:solidFill>
                <a:schemeClr val="accent1"/>
              </a:solidFill>
              <a:round/>
            </a:ln>
            <a:effectLst/>
          </c:spPr>
          <c:marker>
            <c:symbol val="none"/>
          </c:marker>
          <c:val>
            <c:numRef>
              <c:f>'eQuest Schedules'!$D$23:$AA$23</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68AC-4507-BC87-7FBAC88BE01D}"/>
            </c:ext>
          </c:extLst>
        </c:ser>
        <c:ser>
          <c:idx val="1"/>
          <c:order val="1"/>
          <c:tx>
            <c:strRef>
              <c:f>'eQuest Schedules'!$C$24</c:f>
              <c:strCache>
                <c:ptCount val="1"/>
                <c:pt idx="0">
                  <c:v>Weekend</c:v>
                </c:pt>
              </c:strCache>
            </c:strRef>
          </c:tx>
          <c:spPr>
            <a:ln w="28575" cap="rnd">
              <a:solidFill>
                <a:schemeClr val="accent2"/>
              </a:solidFill>
              <a:round/>
            </a:ln>
            <a:effectLst/>
          </c:spPr>
          <c:marker>
            <c:symbol val="none"/>
          </c:marker>
          <c:val>
            <c:numRef>
              <c:f>'eQuest Schedules'!$D$24:$AA$24</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68AC-4507-BC87-7FBAC88BE01D}"/>
            </c:ext>
          </c:extLst>
        </c:ser>
        <c:ser>
          <c:idx val="2"/>
          <c:order val="2"/>
          <c:tx>
            <c:strRef>
              <c:f>'eQuest Schedules'!$C$25</c:f>
              <c:strCache>
                <c:ptCount val="1"/>
                <c:pt idx="0">
                  <c:v>Holiday Check</c:v>
                </c:pt>
              </c:strCache>
            </c:strRef>
          </c:tx>
          <c:spPr>
            <a:ln w="28575" cap="rnd">
              <a:solidFill>
                <a:schemeClr val="accent3"/>
              </a:solidFill>
              <a:round/>
            </a:ln>
            <a:effectLst/>
          </c:spPr>
          <c:marker>
            <c:symbol val="none"/>
          </c:marker>
          <c:val>
            <c:numRef>
              <c:f>'eQuest Schedules'!$D$25:$AA$25</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68AC-4507-BC87-7FBAC88BE01D}"/>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 of Day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Peak</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r"/>
      <c:overlay val="1"/>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'eQuest Schedules'!$C$44</c:f>
              <c:strCache>
                <c:ptCount val="1"/>
                <c:pt idx="0">
                  <c:v>Weekday</c:v>
                </c:pt>
              </c:strCache>
            </c:strRef>
          </c:tx>
          <c:spPr>
            <a:ln w="28575" cap="rnd">
              <a:solidFill>
                <a:schemeClr val="accent1"/>
              </a:solidFill>
              <a:round/>
            </a:ln>
            <a:effectLst/>
          </c:spPr>
          <c:marker>
            <c:symbol val="none"/>
          </c:marker>
          <c:val>
            <c:numRef>
              <c:f>'eQuest Schedules'!$D$44:$AA$44</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506B-4E6C-84D0-B3E59DEF16BE}"/>
            </c:ext>
          </c:extLst>
        </c:ser>
        <c:ser>
          <c:idx val="1"/>
          <c:order val="1"/>
          <c:tx>
            <c:strRef>
              <c:f>'eQuest Schedules'!$C$45</c:f>
              <c:strCache>
                <c:ptCount val="1"/>
                <c:pt idx="0">
                  <c:v>Weekend</c:v>
                </c:pt>
              </c:strCache>
            </c:strRef>
          </c:tx>
          <c:spPr>
            <a:ln w="28575" cap="rnd">
              <a:solidFill>
                <a:schemeClr val="accent2"/>
              </a:solidFill>
              <a:round/>
            </a:ln>
            <a:effectLst/>
          </c:spPr>
          <c:marker>
            <c:symbol val="none"/>
          </c:marker>
          <c:val>
            <c:numRef>
              <c:f>'eQuest Schedules'!$D$45:$AA$45</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506B-4E6C-84D0-B3E59DEF16BE}"/>
            </c:ext>
          </c:extLst>
        </c:ser>
        <c:ser>
          <c:idx val="2"/>
          <c:order val="2"/>
          <c:tx>
            <c:strRef>
              <c:f>'eQuest Schedules'!$C$46</c:f>
              <c:strCache>
                <c:ptCount val="1"/>
                <c:pt idx="0">
                  <c:v>Holiday Check</c:v>
                </c:pt>
              </c:strCache>
            </c:strRef>
          </c:tx>
          <c:spPr>
            <a:ln w="28575" cap="rnd">
              <a:solidFill>
                <a:schemeClr val="accent3"/>
              </a:solidFill>
              <a:round/>
            </a:ln>
            <a:effectLst/>
          </c:spPr>
          <c:marker>
            <c:symbol val="none"/>
          </c:marker>
          <c:val>
            <c:numRef>
              <c:f>'eQuest Schedules'!$D$46:$AA$46</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506B-4E6C-84D0-B3E59DEF16BE}"/>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'eQuest Schedules'!$C$65</c:f>
              <c:strCache>
                <c:ptCount val="1"/>
                <c:pt idx="0">
                  <c:v>Weekday</c:v>
                </c:pt>
              </c:strCache>
            </c:strRef>
          </c:tx>
          <c:spPr>
            <a:ln w="28575" cap="rnd">
              <a:solidFill>
                <a:schemeClr val="accent1"/>
              </a:solidFill>
              <a:round/>
            </a:ln>
            <a:effectLst/>
          </c:spPr>
          <c:marker>
            <c:symbol val="none"/>
          </c:marker>
          <c:val>
            <c:numRef>
              <c:f>'eQuest Schedules'!$D$65:$AA$65</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E574-412E-A265-D371A72A86B2}"/>
            </c:ext>
          </c:extLst>
        </c:ser>
        <c:ser>
          <c:idx val="1"/>
          <c:order val="1"/>
          <c:tx>
            <c:strRef>
              <c:f>'eQuest Schedules'!$C$66</c:f>
              <c:strCache>
                <c:ptCount val="1"/>
                <c:pt idx="0">
                  <c:v>Weekend</c:v>
                </c:pt>
              </c:strCache>
            </c:strRef>
          </c:tx>
          <c:spPr>
            <a:ln w="28575" cap="rnd">
              <a:solidFill>
                <a:schemeClr val="accent2"/>
              </a:solidFill>
              <a:round/>
            </a:ln>
            <a:effectLst/>
          </c:spPr>
          <c:marker>
            <c:symbol val="none"/>
          </c:marker>
          <c:val>
            <c:numRef>
              <c:f>'eQuest Schedules'!$D$66:$AA$66</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E574-412E-A265-D371A72A86B2}"/>
            </c:ext>
          </c:extLst>
        </c:ser>
        <c:ser>
          <c:idx val="2"/>
          <c:order val="2"/>
          <c:tx>
            <c:strRef>
              <c:f>'eQuest Schedules'!$C$67</c:f>
              <c:strCache>
                <c:ptCount val="1"/>
                <c:pt idx="0">
                  <c:v>Holiday Check</c:v>
                </c:pt>
              </c:strCache>
            </c:strRef>
          </c:tx>
          <c:spPr>
            <a:ln w="28575" cap="rnd">
              <a:solidFill>
                <a:schemeClr val="accent3"/>
              </a:solidFill>
              <a:round/>
            </a:ln>
            <a:effectLst/>
          </c:spPr>
          <c:marker>
            <c:symbol val="none"/>
          </c:marker>
          <c:val>
            <c:numRef>
              <c:f>'eQuest Schedules'!$D$67:$AA$67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E574-412E-A265-D371A72A86B2}"/>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'eQuest Schedules'!$C$86</c:f>
              <c:strCache>
                <c:ptCount val="1"/>
                <c:pt idx="0">
                  <c:v>Weekday</c:v>
                </c:pt>
              </c:strCache>
            </c:strRef>
          </c:tx>
          <c:spPr>
            <a:ln w="28575" cap="rnd">
              <a:solidFill>
                <a:schemeClr val="accent1"/>
              </a:solidFill>
              <a:round/>
            </a:ln>
            <a:effectLst/>
          </c:spPr>
          <c:marker>
            <c:symbol val="none"/>
          </c:marker>
          <c:val>
            <c:numRef>
              <c:f>'eQuest Schedules'!$D$86:$AA$86</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2314-4480-8E3D-1DB2746F5CFD}"/>
            </c:ext>
          </c:extLst>
        </c:ser>
        <c:ser>
          <c:idx val="1"/>
          <c:order val="1"/>
          <c:tx>
            <c:strRef>
              <c:f>'eQuest Schedules'!$C$87</c:f>
              <c:strCache>
                <c:ptCount val="1"/>
                <c:pt idx="0">
                  <c:v>Weekend</c:v>
                </c:pt>
              </c:strCache>
            </c:strRef>
          </c:tx>
          <c:spPr>
            <a:ln w="28575" cap="rnd">
              <a:solidFill>
                <a:schemeClr val="accent2"/>
              </a:solidFill>
              <a:round/>
            </a:ln>
            <a:effectLst/>
          </c:spPr>
          <c:marker>
            <c:symbol val="none"/>
          </c:marker>
          <c:val>
            <c:numRef>
              <c:f>'eQuest Schedules'!$D$87:$AA$87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2314-4480-8E3D-1DB2746F5CFD}"/>
            </c:ext>
          </c:extLst>
        </c:ser>
        <c:ser>
          <c:idx val="2"/>
          <c:order val="2"/>
          <c:tx>
            <c:strRef>
              <c:f>'eQuest Schedules'!$C$88</c:f>
              <c:strCache>
                <c:ptCount val="1"/>
                <c:pt idx="0">
                  <c:v>Holiday Check</c:v>
                </c:pt>
              </c:strCache>
            </c:strRef>
          </c:tx>
          <c:spPr>
            <a:ln w="28575" cap="rnd">
              <a:solidFill>
                <a:schemeClr val="accent3"/>
              </a:solidFill>
              <a:round/>
            </a:ln>
            <a:effectLst/>
          </c:spPr>
          <c:marker>
            <c:symbol val="none"/>
          </c:marker>
          <c:val>
            <c:numRef>
              <c:f>'eQuest Schedules'!$D$88:$AA$88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2314-4480-8E3D-1DB2746F5CFD}"/>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'eQuest Schedules'!$C$107</c:f>
              <c:strCache>
                <c:ptCount val="1"/>
                <c:pt idx="0">
                  <c:v>Weekday</c:v>
                </c:pt>
              </c:strCache>
            </c:strRef>
          </c:tx>
          <c:spPr>
            <a:ln w="28575" cap="rnd">
              <a:solidFill>
                <a:schemeClr val="accent1"/>
              </a:solidFill>
              <a:round/>
            </a:ln>
            <a:effectLst/>
          </c:spPr>
          <c:marker>
            <c:symbol val="none"/>
          </c:marker>
          <c:val>
            <c:numRef>
              <c:f>'eQuest Schedules'!$D$107:$AA$107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8BA3-484E-AD28-172B0DD47AC6}"/>
            </c:ext>
          </c:extLst>
        </c:ser>
        <c:ser>
          <c:idx val="1"/>
          <c:order val="1"/>
          <c:tx>
            <c:strRef>
              <c:f>'eQuest Schedules'!$C$108</c:f>
              <c:strCache>
                <c:ptCount val="1"/>
                <c:pt idx="0">
                  <c:v>Weekend</c:v>
                </c:pt>
              </c:strCache>
            </c:strRef>
          </c:tx>
          <c:spPr>
            <a:ln w="28575" cap="rnd">
              <a:solidFill>
                <a:schemeClr val="accent2"/>
              </a:solidFill>
              <a:round/>
            </a:ln>
            <a:effectLst/>
          </c:spPr>
          <c:marker>
            <c:symbol val="none"/>
          </c:marker>
          <c:val>
            <c:numRef>
              <c:f>'eQuest Schedules'!$D$108:$AA$108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8BA3-484E-AD28-172B0DD47AC6}"/>
            </c:ext>
          </c:extLst>
        </c:ser>
        <c:ser>
          <c:idx val="2"/>
          <c:order val="2"/>
          <c:tx>
            <c:strRef>
              <c:f>'eQuest Schedules'!$C$109</c:f>
              <c:strCache>
                <c:ptCount val="1"/>
                <c:pt idx="0">
                  <c:v>Holiday Check</c:v>
                </c:pt>
              </c:strCache>
            </c:strRef>
          </c:tx>
          <c:spPr>
            <a:ln w="28575" cap="rnd">
              <a:solidFill>
                <a:schemeClr val="accent3"/>
              </a:solidFill>
              <a:round/>
            </a:ln>
            <a:effectLst/>
          </c:spPr>
          <c:marker>
            <c:symbol val="none"/>
          </c:marker>
          <c:val>
            <c:numRef>
              <c:f>'eQuest Schedules'!$D$109:$AA$109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8BA3-484E-AD28-172B0DD47AC6}"/>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'eQuest Schedules'!$C$128</c:f>
              <c:strCache>
                <c:ptCount val="1"/>
                <c:pt idx="0">
                  <c:v>Weekday</c:v>
                </c:pt>
              </c:strCache>
            </c:strRef>
          </c:tx>
          <c:spPr>
            <a:ln w="28575" cap="rnd">
              <a:solidFill>
                <a:schemeClr val="accent1"/>
              </a:solidFill>
              <a:round/>
            </a:ln>
            <a:effectLst/>
          </c:spPr>
          <c:marker>
            <c:symbol val="none"/>
          </c:marker>
          <c:val>
            <c:numRef>
              <c:f>'eQuest Schedules'!$D$128:$AA$128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CBED-4AD3-A3BF-1246849B72E4}"/>
            </c:ext>
          </c:extLst>
        </c:ser>
        <c:ser>
          <c:idx val="1"/>
          <c:order val="1"/>
          <c:tx>
            <c:strRef>
              <c:f>'eQuest Schedules'!$C$129</c:f>
              <c:strCache>
                <c:ptCount val="1"/>
                <c:pt idx="0">
                  <c:v>Weekend</c:v>
                </c:pt>
              </c:strCache>
            </c:strRef>
          </c:tx>
          <c:spPr>
            <a:ln w="28575" cap="rnd">
              <a:solidFill>
                <a:schemeClr val="accent2"/>
              </a:solidFill>
              <a:round/>
            </a:ln>
            <a:effectLst/>
          </c:spPr>
          <c:marker>
            <c:symbol val="none"/>
          </c:marker>
          <c:val>
            <c:numRef>
              <c:f>'eQuest Schedules'!$D$129:$AA$129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CBED-4AD3-A3BF-1246849B72E4}"/>
            </c:ext>
          </c:extLst>
        </c:ser>
        <c:ser>
          <c:idx val="2"/>
          <c:order val="2"/>
          <c:tx>
            <c:strRef>
              <c:f>'eQuest Schedules'!$C$130</c:f>
              <c:strCache>
                <c:ptCount val="1"/>
                <c:pt idx="0">
                  <c:v>Holiday Check</c:v>
                </c:pt>
              </c:strCache>
            </c:strRef>
          </c:tx>
          <c:spPr>
            <a:ln w="28575" cap="rnd">
              <a:solidFill>
                <a:schemeClr val="accent3"/>
              </a:solidFill>
              <a:round/>
            </a:ln>
            <a:effectLst/>
          </c:spPr>
          <c:marker>
            <c:symbol val="none"/>
          </c:marker>
          <c:val>
            <c:numRef>
              <c:f>'eQuest Schedules'!$D$130:$AA$130</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CBED-4AD3-A3BF-1246849B72E4}"/>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'IES Schedules'!$D$9</c:f>
          <c:strCache>
            <c:ptCount val="1"/>
            <c:pt idx="0">
              <c:v>SFVA Circulation Occupancy Schedule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'IES Schedules'!$C$23</c:f>
              <c:strCache>
                <c:ptCount val="1"/>
                <c:pt idx="0">
                  <c:v>Weekday</c:v>
                </c:pt>
              </c:strCache>
            </c:strRef>
          </c:tx>
          <c:spPr>
            <a:ln w="28575" cap="rnd">
              <a:solidFill>
                <a:schemeClr val="accent1"/>
              </a:solidFill>
              <a:round/>
            </a:ln>
            <a:effectLst/>
          </c:spPr>
          <c:marker>
            <c:symbol val="none"/>
          </c:marker>
          <c:val>
            <c:numRef>
              <c:f>'IES Schedules'!$D$23:$AA$23</c:f>
              <c:numCache>
                <c:formatCode>0%</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0.1</c:v>
                </c:pt>
                <c:pt idx="19">
                  <c:v>0.1</c:v>
                </c:pt>
                <c:pt idx="20">
                  <c:v>0.1</c:v>
                </c:pt>
                <c:pt idx="21">
                  <c:v>0.1</c:v>
                </c:pt>
                <c:pt idx="22">
                  <c:v>0.05</c:v>
                </c:pt>
                <c:pt idx="23">
                  <c:v>0.05</c:v>
                </c:pt>
              </c:numCache>
            </c:numRef>
          </c:val>
          <c:smooth val="0"/>
          <c:extLst>
            <c:ext xmlns:c16="http://schemas.microsoft.com/office/drawing/2014/chart" uri="{C3380CC4-5D6E-409C-BE32-E72D297353CC}">
              <c16:uniqueId val="{00000000-C6B9-451B-A620-324B697661A1}"/>
            </c:ext>
          </c:extLst>
        </c:ser>
        <c:ser>
          <c:idx val="1"/>
          <c:order val="1"/>
          <c:tx>
            <c:strRef>
              <c:f>'IES Schedules'!$C$24</c:f>
              <c:strCache>
                <c:ptCount val="1"/>
                <c:pt idx="0">
                  <c:v>Weekend</c:v>
                </c:pt>
              </c:strCache>
            </c:strRef>
          </c:tx>
          <c:spPr>
            <a:ln w="28575" cap="rnd">
              <a:solidFill>
                <a:schemeClr val="accent2"/>
              </a:solidFill>
              <a:round/>
            </a:ln>
            <a:effectLst/>
          </c:spPr>
          <c:marker>
            <c:symbol val="none"/>
          </c:marker>
          <c:val>
            <c:numRef>
              <c:f>'IES Schedules'!$D$24:$AA$24</c:f>
              <c:numCache>
                <c:formatCode>0%</c:formatCode>
                <c:ptCount val="24"/>
                <c:pt idx="0">
                  <c:v>0</c:v>
                </c:pt>
                <c:pt idx="1">
                  <c:v>0</c:v>
                </c:pt>
                <c:pt idx="2">
                  <c:v>0</c:v>
                </c:pt>
                <c:pt idx="3">
                  <c:v>0</c:v>
                </c:pt>
                <c:pt idx="4">
                  <c:v>0</c:v>
                </c:pt>
                <c:pt idx="5">
                  <c:v>0</c:v>
                </c:pt>
                <c:pt idx="6">
                  <c:v>0.1</c:v>
                </c:pt>
                <c:pt idx="7">
                  <c:v>0.1</c:v>
                </c:pt>
                <c:pt idx="8">
                  <c:v>0.3</c:v>
                </c:pt>
                <c:pt idx="9">
                  <c:v>0.3</c:v>
                </c:pt>
                <c:pt idx="10">
                  <c:v>0.3</c:v>
                </c:pt>
                <c:pt idx="11">
                  <c:v>0.3</c:v>
                </c:pt>
                <c:pt idx="12">
                  <c:v>0.3</c:v>
                </c:pt>
                <c:pt idx="13">
                  <c:v>0.1</c:v>
                </c:pt>
                <c:pt idx="14">
                  <c:v>0.1</c:v>
                </c:pt>
                <c:pt idx="15">
                  <c:v>0.1</c:v>
                </c:pt>
                <c:pt idx="16">
                  <c:v>0.1</c:v>
                </c:pt>
                <c:pt idx="17">
                  <c:v>0.05</c:v>
                </c:pt>
                <c:pt idx="18">
                  <c:v>0.05</c:v>
                </c:pt>
                <c:pt idx="19">
                  <c:v>0</c:v>
                </c:pt>
                <c:pt idx="20">
                  <c:v>0</c:v>
                </c:pt>
                <c:pt idx="21">
                  <c:v>0</c:v>
                </c:pt>
                <c:pt idx="22">
                  <c:v>0</c:v>
                </c:pt>
                <c:pt idx="23">
                  <c:v>0</c:v>
                </c:pt>
              </c:numCache>
            </c:numRef>
          </c:val>
          <c:smooth val="0"/>
          <c:extLst>
            <c:ext xmlns:c16="http://schemas.microsoft.com/office/drawing/2014/chart" uri="{C3380CC4-5D6E-409C-BE32-E72D297353CC}">
              <c16:uniqueId val="{00000001-C6B9-451B-A620-324B697661A1}"/>
            </c:ext>
          </c:extLst>
        </c:ser>
        <c:ser>
          <c:idx val="2"/>
          <c:order val="2"/>
          <c:tx>
            <c:strRef>
              <c:f>'IES Schedules'!$C$25</c:f>
              <c:strCache>
                <c:ptCount val="1"/>
                <c:pt idx="0">
                  <c:v>Holiday</c:v>
                </c:pt>
              </c:strCache>
            </c:strRef>
          </c:tx>
          <c:spPr>
            <a:ln w="28575" cap="rnd">
              <a:solidFill>
                <a:schemeClr val="accent3"/>
              </a:solidFill>
              <a:round/>
            </a:ln>
            <a:effectLst/>
          </c:spPr>
          <c:marker>
            <c:symbol val="none"/>
          </c:marker>
          <c:val>
            <c:numRef>
              <c:f>'IES Schedules'!$D$25:$AA$25</c:f>
              <c:numCache>
                <c:formatCode>0%</c:formatCode>
                <c:ptCount val="24"/>
                <c:pt idx="0">
                  <c:v>0</c:v>
                </c:pt>
                <c:pt idx="1">
                  <c:v>0</c:v>
                </c:pt>
                <c:pt idx="2">
                  <c:v>0</c:v>
                </c:pt>
                <c:pt idx="3">
                  <c:v>0</c:v>
                </c:pt>
                <c:pt idx="4">
                  <c:v>0</c:v>
                </c:pt>
                <c:pt idx="5">
                  <c:v>0</c:v>
                </c:pt>
                <c:pt idx="6">
                  <c:v>0.05</c:v>
                </c:pt>
                <c:pt idx="7">
                  <c:v>0.05</c:v>
                </c:pt>
                <c:pt idx="8">
                  <c:v>0.05</c:v>
                </c:pt>
                <c:pt idx="9">
                  <c:v>0.05</c:v>
                </c:pt>
                <c:pt idx="10">
                  <c:v>0.05</c:v>
                </c:pt>
                <c:pt idx="11">
                  <c:v>0.05</c:v>
                </c:pt>
                <c:pt idx="12">
                  <c:v>0.05</c:v>
                </c:pt>
                <c:pt idx="13">
                  <c:v>0.05</c:v>
                </c:pt>
                <c:pt idx="14">
                  <c:v>0.05</c:v>
                </c:pt>
                <c:pt idx="15">
                  <c:v>0.05</c:v>
                </c:pt>
                <c:pt idx="16">
                  <c:v>0.05</c:v>
                </c:pt>
                <c:pt idx="17">
                  <c:v>0.05</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2-C6B9-451B-A620-324B697661A1}"/>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 of Day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Peak</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r"/>
      <c:overlay val="1"/>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'IES Schedules'!$AG$9</c:f>
          <c:strCache>
            <c:ptCount val="1"/>
            <c:pt idx="0">
              <c:v>SFVA Circulation Lighting and Euipment Schedule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'IES Schedules'!$AF$23</c:f>
              <c:strCache>
                <c:ptCount val="1"/>
                <c:pt idx="0">
                  <c:v>Weekday</c:v>
                </c:pt>
              </c:strCache>
            </c:strRef>
          </c:tx>
          <c:spPr>
            <a:ln w="28575" cap="rnd">
              <a:solidFill>
                <a:schemeClr val="accent1"/>
              </a:solidFill>
              <a:round/>
            </a:ln>
            <a:effectLst/>
          </c:spPr>
          <c:marker>
            <c:symbol val="none"/>
          </c:marker>
          <c:val>
            <c:numRef>
              <c:f>'IES Schedules'!$AG$23:$BD$23</c:f>
              <c:numCache>
                <c:formatCode>0%</c:formatCode>
                <c:ptCount val="24"/>
                <c:pt idx="0">
                  <c:v>0.05</c:v>
                </c:pt>
                <c:pt idx="1">
                  <c:v>0.05</c:v>
                </c:pt>
                <c:pt idx="2">
                  <c:v>0.05</c:v>
                </c:pt>
                <c:pt idx="3">
                  <c:v>0.05</c:v>
                </c:pt>
                <c:pt idx="4">
                  <c:v>0.05</c:v>
                </c:pt>
                <c:pt idx="5">
                  <c:v>0.1</c:v>
                </c:pt>
                <c:pt idx="6">
                  <c:v>0.1</c:v>
                </c:pt>
                <c:pt idx="7">
                  <c:v>0.3</c:v>
                </c:pt>
                <c:pt idx="8">
                  <c:v>0.9</c:v>
                </c:pt>
                <c:pt idx="9">
                  <c:v>0.9</c:v>
                </c:pt>
                <c:pt idx="10">
                  <c:v>0.9</c:v>
                </c:pt>
                <c:pt idx="11">
                  <c:v>0.9</c:v>
                </c:pt>
                <c:pt idx="12">
                  <c:v>0.8</c:v>
                </c:pt>
                <c:pt idx="13">
                  <c:v>0.9</c:v>
                </c:pt>
                <c:pt idx="14">
                  <c:v>0.9</c:v>
                </c:pt>
                <c:pt idx="15">
                  <c:v>0.9</c:v>
                </c:pt>
                <c:pt idx="16">
                  <c:v>0.9</c:v>
                </c:pt>
                <c:pt idx="17">
                  <c:v>0.5</c:v>
                </c:pt>
                <c:pt idx="18">
                  <c:v>0.3</c:v>
                </c:pt>
                <c:pt idx="19">
                  <c:v>0.3</c:v>
                </c:pt>
                <c:pt idx="20">
                  <c:v>0.2</c:v>
                </c:pt>
                <c:pt idx="21">
                  <c:v>0.2</c:v>
                </c:pt>
                <c:pt idx="22">
                  <c:v>0.1</c:v>
                </c:pt>
                <c:pt idx="23">
                  <c:v>0.05</c:v>
                </c:pt>
              </c:numCache>
            </c:numRef>
          </c:val>
          <c:smooth val="0"/>
          <c:extLst>
            <c:ext xmlns:c16="http://schemas.microsoft.com/office/drawing/2014/chart" uri="{C3380CC4-5D6E-409C-BE32-E72D297353CC}">
              <c16:uniqueId val="{00000000-72D7-4567-AB67-86683A5BE9A6}"/>
            </c:ext>
          </c:extLst>
        </c:ser>
        <c:ser>
          <c:idx val="1"/>
          <c:order val="1"/>
          <c:tx>
            <c:strRef>
              <c:f>'IES Schedules'!$AF$24</c:f>
              <c:strCache>
                <c:ptCount val="1"/>
                <c:pt idx="0">
                  <c:v>Weekend</c:v>
                </c:pt>
              </c:strCache>
            </c:strRef>
          </c:tx>
          <c:spPr>
            <a:ln w="28575" cap="rnd">
              <a:solidFill>
                <a:schemeClr val="accent2"/>
              </a:solidFill>
              <a:round/>
            </a:ln>
            <a:effectLst/>
          </c:spPr>
          <c:marker>
            <c:symbol val="none"/>
          </c:marker>
          <c:val>
            <c:numRef>
              <c:f>'IES Schedules'!$AG$24:$BD$24</c:f>
              <c:numCache>
                <c:formatCode>0%</c:formatCode>
                <c:ptCount val="24"/>
                <c:pt idx="0">
                  <c:v>0.05</c:v>
                </c:pt>
                <c:pt idx="1">
                  <c:v>0.05</c:v>
                </c:pt>
                <c:pt idx="2">
                  <c:v>0.05</c:v>
                </c:pt>
                <c:pt idx="3">
                  <c:v>0.05</c:v>
                </c:pt>
                <c:pt idx="4">
                  <c:v>0.05</c:v>
                </c:pt>
                <c:pt idx="5">
                  <c:v>0.05</c:v>
                </c:pt>
                <c:pt idx="6">
                  <c:v>0.1</c:v>
                </c:pt>
                <c:pt idx="7">
                  <c:v>0.1</c:v>
                </c:pt>
                <c:pt idx="8">
                  <c:v>0.3</c:v>
                </c:pt>
                <c:pt idx="9">
                  <c:v>0.3</c:v>
                </c:pt>
                <c:pt idx="10">
                  <c:v>0.3</c:v>
                </c:pt>
                <c:pt idx="11">
                  <c:v>0.3</c:v>
                </c:pt>
                <c:pt idx="12">
                  <c:v>0.15</c:v>
                </c:pt>
                <c:pt idx="13">
                  <c:v>0.15</c:v>
                </c:pt>
                <c:pt idx="14">
                  <c:v>0.15</c:v>
                </c:pt>
                <c:pt idx="15">
                  <c:v>0.15</c:v>
                </c:pt>
                <c:pt idx="16">
                  <c:v>0.15</c:v>
                </c:pt>
                <c:pt idx="17">
                  <c:v>0.05</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1-72D7-4567-AB67-86683A5BE9A6}"/>
            </c:ext>
          </c:extLst>
        </c:ser>
        <c:ser>
          <c:idx val="2"/>
          <c:order val="2"/>
          <c:tx>
            <c:strRef>
              <c:f>'IES Schedules'!$AF$25</c:f>
              <c:strCache>
                <c:ptCount val="1"/>
                <c:pt idx="0">
                  <c:v>Holiday</c:v>
                </c:pt>
              </c:strCache>
            </c:strRef>
          </c:tx>
          <c:spPr>
            <a:ln w="28575" cap="rnd">
              <a:solidFill>
                <a:schemeClr val="accent3"/>
              </a:solidFill>
              <a:round/>
            </a:ln>
            <a:effectLst/>
          </c:spPr>
          <c:marker>
            <c:symbol val="none"/>
          </c:marker>
          <c:val>
            <c:numRef>
              <c:f>'IES Schedules'!$AG$25:$BD$25</c:f>
              <c:numCache>
                <c:formatCode>0%</c:formatCode>
                <c:ptCount val="24"/>
                <c:pt idx="0">
                  <c:v>0.05</c:v>
                </c:pt>
                <c:pt idx="1">
                  <c:v>0.05</c:v>
                </c:pt>
                <c:pt idx="2">
                  <c:v>0.05</c:v>
                </c:pt>
                <c:pt idx="3">
                  <c:v>0.05</c:v>
                </c:pt>
                <c:pt idx="4">
                  <c:v>0.05</c:v>
                </c:pt>
                <c:pt idx="5">
                  <c:v>0.05</c:v>
                </c:pt>
                <c:pt idx="6">
                  <c:v>0.05</c:v>
                </c:pt>
                <c:pt idx="7">
                  <c:v>0.05</c:v>
                </c:pt>
                <c:pt idx="8">
                  <c:v>0.05</c:v>
                </c:pt>
                <c:pt idx="9">
                  <c:v>0.05</c:v>
                </c:pt>
                <c:pt idx="10">
                  <c:v>0.05</c:v>
                </c:pt>
                <c:pt idx="11">
                  <c:v>0.05</c:v>
                </c:pt>
                <c:pt idx="12">
                  <c:v>0.05</c:v>
                </c:pt>
                <c:pt idx="13">
                  <c:v>0.05</c:v>
                </c:pt>
                <c:pt idx="14">
                  <c:v>0.05</c:v>
                </c:pt>
                <c:pt idx="15">
                  <c:v>0.05</c:v>
                </c:pt>
                <c:pt idx="16">
                  <c:v>0.05</c:v>
                </c:pt>
                <c:pt idx="17">
                  <c:v>0.05</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2-72D7-4567-AB67-86683A5BE9A6}"/>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 of Day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Peak</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r"/>
      <c:overlay val="1"/>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Schedules'!$C$44</c:f>
              <c:strCache>
                <c:ptCount val="1"/>
                <c:pt idx="0">
                  <c:v>Weekday</c:v>
                </c:pt>
              </c:strCache>
            </c:strRef>
          </c:tx>
          <c:spPr>
            <a:ln w="28575" cap="rnd">
              <a:solidFill>
                <a:schemeClr val="accent1"/>
              </a:solidFill>
              <a:round/>
            </a:ln>
            <a:effectLst/>
          </c:spPr>
          <c:marker>
            <c:symbol val="none"/>
          </c:marker>
          <c:val>
            <c:numRef>
              <c:f>'IES Schedules'!$D$44:$AA$44</c:f>
              <c:numCache>
                <c:formatCode>0%</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0.1</c:v>
                </c:pt>
                <c:pt idx="19">
                  <c:v>0.1</c:v>
                </c:pt>
                <c:pt idx="20">
                  <c:v>0.1</c:v>
                </c:pt>
                <c:pt idx="21">
                  <c:v>0.1</c:v>
                </c:pt>
                <c:pt idx="22">
                  <c:v>0.05</c:v>
                </c:pt>
                <c:pt idx="23">
                  <c:v>0.05</c:v>
                </c:pt>
              </c:numCache>
            </c:numRef>
          </c:val>
          <c:smooth val="0"/>
          <c:extLst>
            <c:ext xmlns:c16="http://schemas.microsoft.com/office/drawing/2014/chart" uri="{C3380CC4-5D6E-409C-BE32-E72D297353CC}">
              <c16:uniqueId val="{00000000-1865-4D06-94CE-B06E163750A0}"/>
            </c:ext>
          </c:extLst>
        </c:ser>
        <c:ser>
          <c:idx val="1"/>
          <c:order val="1"/>
          <c:tx>
            <c:strRef>
              <c:f>'IES Schedules'!$C$45</c:f>
              <c:strCache>
                <c:ptCount val="1"/>
                <c:pt idx="0">
                  <c:v>Weekend</c:v>
                </c:pt>
              </c:strCache>
            </c:strRef>
          </c:tx>
          <c:spPr>
            <a:ln w="28575" cap="rnd">
              <a:solidFill>
                <a:schemeClr val="accent2"/>
              </a:solidFill>
              <a:round/>
            </a:ln>
            <a:effectLst/>
          </c:spPr>
          <c:marker>
            <c:symbol val="none"/>
          </c:marker>
          <c:val>
            <c:numRef>
              <c:f>'IES Schedules'!$D$45:$AA$45</c:f>
              <c:numCache>
                <c:formatCode>0%</c:formatCode>
                <c:ptCount val="24"/>
                <c:pt idx="0">
                  <c:v>0</c:v>
                </c:pt>
                <c:pt idx="1">
                  <c:v>0</c:v>
                </c:pt>
                <c:pt idx="2">
                  <c:v>0</c:v>
                </c:pt>
                <c:pt idx="3">
                  <c:v>0</c:v>
                </c:pt>
                <c:pt idx="4">
                  <c:v>0</c:v>
                </c:pt>
                <c:pt idx="5">
                  <c:v>0</c:v>
                </c:pt>
                <c:pt idx="6">
                  <c:v>0.1</c:v>
                </c:pt>
                <c:pt idx="7">
                  <c:v>0.1</c:v>
                </c:pt>
                <c:pt idx="8">
                  <c:v>0.3</c:v>
                </c:pt>
                <c:pt idx="9">
                  <c:v>0.3</c:v>
                </c:pt>
                <c:pt idx="10">
                  <c:v>0.3</c:v>
                </c:pt>
                <c:pt idx="11">
                  <c:v>0.3</c:v>
                </c:pt>
                <c:pt idx="12">
                  <c:v>0.1</c:v>
                </c:pt>
                <c:pt idx="13">
                  <c:v>0.1</c:v>
                </c:pt>
                <c:pt idx="14">
                  <c:v>0.1</c:v>
                </c:pt>
                <c:pt idx="15">
                  <c:v>0.1</c:v>
                </c:pt>
                <c:pt idx="16">
                  <c:v>0.1</c:v>
                </c:pt>
                <c:pt idx="17">
                  <c:v>0.05</c:v>
                </c:pt>
                <c:pt idx="18">
                  <c:v>0.05</c:v>
                </c:pt>
                <c:pt idx="19">
                  <c:v>0</c:v>
                </c:pt>
                <c:pt idx="20">
                  <c:v>0</c:v>
                </c:pt>
                <c:pt idx="21">
                  <c:v>0</c:v>
                </c:pt>
                <c:pt idx="22">
                  <c:v>0</c:v>
                </c:pt>
                <c:pt idx="23">
                  <c:v>0</c:v>
                </c:pt>
              </c:numCache>
            </c:numRef>
          </c:val>
          <c:smooth val="0"/>
          <c:extLst>
            <c:ext xmlns:c16="http://schemas.microsoft.com/office/drawing/2014/chart" uri="{C3380CC4-5D6E-409C-BE32-E72D297353CC}">
              <c16:uniqueId val="{00000001-1865-4D06-94CE-B06E163750A0}"/>
            </c:ext>
          </c:extLst>
        </c:ser>
        <c:ser>
          <c:idx val="2"/>
          <c:order val="2"/>
          <c:tx>
            <c:strRef>
              <c:f>'IES Schedules'!$C$46</c:f>
              <c:strCache>
                <c:ptCount val="1"/>
                <c:pt idx="0">
                  <c:v>Holiday</c:v>
                </c:pt>
              </c:strCache>
            </c:strRef>
          </c:tx>
          <c:spPr>
            <a:ln w="28575" cap="rnd">
              <a:solidFill>
                <a:schemeClr val="accent3"/>
              </a:solidFill>
              <a:round/>
            </a:ln>
            <a:effectLst/>
          </c:spPr>
          <c:marker>
            <c:symbol val="none"/>
          </c:marker>
          <c:val>
            <c:numRef>
              <c:f>'IES Schedules'!$D$46:$AA$46</c:f>
              <c:numCache>
                <c:formatCode>0%</c:formatCode>
                <c:ptCount val="24"/>
                <c:pt idx="0">
                  <c:v>0</c:v>
                </c:pt>
                <c:pt idx="1">
                  <c:v>0</c:v>
                </c:pt>
                <c:pt idx="2">
                  <c:v>0</c:v>
                </c:pt>
                <c:pt idx="3">
                  <c:v>0</c:v>
                </c:pt>
                <c:pt idx="4">
                  <c:v>0</c:v>
                </c:pt>
                <c:pt idx="5">
                  <c:v>0</c:v>
                </c:pt>
                <c:pt idx="6">
                  <c:v>0.05</c:v>
                </c:pt>
                <c:pt idx="7">
                  <c:v>0.05</c:v>
                </c:pt>
                <c:pt idx="8">
                  <c:v>0.05</c:v>
                </c:pt>
                <c:pt idx="9">
                  <c:v>0.05</c:v>
                </c:pt>
                <c:pt idx="10">
                  <c:v>0.05</c:v>
                </c:pt>
                <c:pt idx="11">
                  <c:v>0.05</c:v>
                </c:pt>
                <c:pt idx="12">
                  <c:v>0.05</c:v>
                </c:pt>
                <c:pt idx="13">
                  <c:v>0.05</c:v>
                </c:pt>
                <c:pt idx="14">
                  <c:v>0.05</c:v>
                </c:pt>
                <c:pt idx="15">
                  <c:v>0.05</c:v>
                </c:pt>
                <c:pt idx="16">
                  <c:v>0.05</c:v>
                </c:pt>
                <c:pt idx="17">
                  <c:v>0.05</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2-1865-4D06-94CE-B06E163750A0}"/>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Schedules'!$AF$44</c:f>
              <c:strCache>
                <c:ptCount val="1"/>
                <c:pt idx="0">
                  <c:v>Weekday</c:v>
                </c:pt>
              </c:strCache>
            </c:strRef>
          </c:tx>
          <c:spPr>
            <a:ln w="28575" cap="rnd">
              <a:solidFill>
                <a:schemeClr val="accent1"/>
              </a:solidFill>
              <a:round/>
            </a:ln>
            <a:effectLst/>
          </c:spPr>
          <c:marker>
            <c:symbol val="none"/>
          </c:marker>
          <c:val>
            <c:numRef>
              <c:f>'IES Schedules'!$AG$44:$BD$44</c:f>
              <c:numCache>
                <c:formatCode>0%</c:formatCode>
                <c:ptCount val="24"/>
                <c:pt idx="0">
                  <c:v>0.05</c:v>
                </c:pt>
                <c:pt idx="1">
                  <c:v>0.05</c:v>
                </c:pt>
                <c:pt idx="2">
                  <c:v>0.05</c:v>
                </c:pt>
                <c:pt idx="3">
                  <c:v>0.05</c:v>
                </c:pt>
                <c:pt idx="4">
                  <c:v>0.05</c:v>
                </c:pt>
                <c:pt idx="5">
                  <c:v>0.1</c:v>
                </c:pt>
                <c:pt idx="6">
                  <c:v>0.1</c:v>
                </c:pt>
                <c:pt idx="7">
                  <c:v>0.3</c:v>
                </c:pt>
                <c:pt idx="8">
                  <c:v>0.9</c:v>
                </c:pt>
                <c:pt idx="9">
                  <c:v>0.9</c:v>
                </c:pt>
                <c:pt idx="10">
                  <c:v>0.9</c:v>
                </c:pt>
                <c:pt idx="11">
                  <c:v>0.9</c:v>
                </c:pt>
                <c:pt idx="12">
                  <c:v>0.8</c:v>
                </c:pt>
                <c:pt idx="13">
                  <c:v>0.9</c:v>
                </c:pt>
                <c:pt idx="14">
                  <c:v>0.9</c:v>
                </c:pt>
                <c:pt idx="15">
                  <c:v>0.9</c:v>
                </c:pt>
                <c:pt idx="16">
                  <c:v>0.9</c:v>
                </c:pt>
                <c:pt idx="17">
                  <c:v>0.4</c:v>
                </c:pt>
                <c:pt idx="18">
                  <c:v>0.3</c:v>
                </c:pt>
                <c:pt idx="19">
                  <c:v>0.3</c:v>
                </c:pt>
                <c:pt idx="20">
                  <c:v>0.2</c:v>
                </c:pt>
                <c:pt idx="21">
                  <c:v>0.2</c:v>
                </c:pt>
                <c:pt idx="22">
                  <c:v>0.1</c:v>
                </c:pt>
                <c:pt idx="23">
                  <c:v>0.05</c:v>
                </c:pt>
              </c:numCache>
            </c:numRef>
          </c:val>
          <c:smooth val="0"/>
          <c:extLst>
            <c:ext xmlns:c16="http://schemas.microsoft.com/office/drawing/2014/chart" uri="{C3380CC4-5D6E-409C-BE32-E72D297353CC}">
              <c16:uniqueId val="{00000000-5D1E-4942-9A1B-975850527D3F}"/>
            </c:ext>
          </c:extLst>
        </c:ser>
        <c:ser>
          <c:idx val="1"/>
          <c:order val="1"/>
          <c:tx>
            <c:strRef>
              <c:f>'IES Schedules'!$AF$45</c:f>
              <c:strCache>
                <c:ptCount val="1"/>
                <c:pt idx="0">
                  <c:v>Weekend</c:v>
                </c:pt>
              </c:strCache>
            </c:strRef>
          </c:tx>
          <c:spPr>
            <a:ln w="28575" cap="rnd">
              <a:solidFill>
                <a:schemeClr val="accent2"/>
              </a:solidFill>
              <a:round/>
            </a:ln>
            <a:effectLst/>
          </c:spPr>
          <c:marker>
            <c:symbol val="none"/>
          </c:marker>
          <c:val>
            <c:numRef>
              <c:f>'IES Schedules'!$AG$45:$BD$45</c:f>
              <c:numCache>
                <c:formatCode>0%</c:formatCode>
                <c:ptCount val="24"/>
                <c:pt idx="0">
                  <c:v>0.05</c:v>
                </c:pt>
                <c:pt idx="1">
                  <c:v>0.05</c:v>
                </c:pt>
                <c:pt idx="2">
                  <c:v>0.05</c:v>
                </c:pt>
                <c:pt idx="3">
                  <c:v>0.05</c:v>
                </c:pt>
                <c:pt idx="4">
                  <c:v>0.05</c:v>
                </c:pt>
                <c:pt idx="5">
                  <c:v>0.05</c:v>
                </c:pt>
                <c:pt idx="6">
                  <c:v>0.1</c:v>
                </c:pt>
                <c:pt idx="7">
                  <c:v>0.1</c:v>
                </c:pt>
                <c:pt idx="8">
                  <c:v>0.3</c:v>
                </c:pt>
                <c:pt idx="9">
                  <c:v>0.3</c:v>
                </c:pt>
                <c:pt idx="10">
                  <c:v>0.3</c:v>
                </c:pt>
                <c:pt idx="11">
                  <c:v>0.3</c:v>
                </c:pt>
                <c:pt idx="12">
                  <c:v>0.15</c:v>
                </c:pt>
                <c:pt idx="13">
                  <c:v>0.15</c:v>
                </c:pt>
                <c:pt idx="14">
                  <c:v>0.15</c:v>
                </c:pt>
                <c:pt idx="15">
                  <c:v>0.15</c:v>
                </c:pt>
                <c:pt idx="16">
                  <c:v>0.15</c:v>
                </c:pt>
                <c:pt idx="17">
                  <c:v>0.05</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1-5D1E-4942-9A1B-975850527D3F}"/>
            </c:ext>
          </c:extLst>
        </c:ser>
        <c:ser>
          <c:idx val="2"/>
          <c:order val="2"/>
          <c:tx>
            <c:strRef>
              <c:f>'IES Schedules'!$AF$46</c:f>
              <c:strCache>
                <c:ptCount val="1"/>
                <c:pt idx="0">
                  <c:v>Holiday</c:v>
                </c:pt>
              </c:strCache>
            </c:strRef>
          </c:tx>
          <c:spPr>
            <a:ln w="28575" cap="rnd">
              <a:solidFill>
                <a:schemeClr val="accent3"/>
              </a:solidFill>
              <a:round/>
            </a:ln>
            <a:effectLst/>
          </c:spPr>
          <c:marker>
            <c:symbol val="none"/>
          </c:marker>
          <c:val>
            <c:numRef>
              <c:f>'IES Schedules'!$AG$46:$BD$46</c:f>
              <c:numCache>
                <c:formatCode>0%</c:formatCode>
                <c:ptCount val="24"/>
                <c:pt idx="0">
                  <c:v>0.05</c:v>
                </c:pt>
                <c:pt idx="1">
                  <c:v>0.05</c:v>
                </c:pt>
                <c:pt idx="2">
                  <c:v>0.05</c:v>
                </c:pt>
                <c:pt idx="3">
                  <c:v>0.05</c:v>
                </c:pt>
                <c:pt idx="4">
                  <c:v>0.05</c:v>
                </c:pt>
                <c:pt idx="5">
                  <c:v>0.05</c:v>
                </c:pt>
                <c:pt idx="6">
                  <c:v>0.05</c:v>
                </c:pt>
                <c:pt idx="7">
                  <c:v>0.05</c:v>
                </c:pt>
                <c:pt idx="8">
                  <c:v>0.05</c:v>
                </c:pt>
                <c:pt idx="9">
                  <c:v>0.05</c:v>
                </c:pt>
                <c:pt idx="10">
                  <c:v>0.05</c:v>
                </c:pt>
                <c:pt idx="11">
                  <c:v>0.05</c:v>
                </c:pt>
                <c:pt idx="12">
                  <c:v>0.05</c:v>
                </c:pt>
                <c:pt idx="13">
                  <c:v>0.05</c:v>
                </c:pt>
                <c:pt idx="14">
                  <c:v>0.05</c:v>
                </c:pt>
                <c:pt idx="15">
                  <c:v>0.05</c:v>
                </c:pt>
                <c:pt idx="16">
                  <c:v>0.05</c:v>
                </c:pt>
                <c:pt idx="17">
                  <c:v>0.05</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2-5D1E-4942-9A1B-975850527D3F}"/>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Schedules'!$C$65</c:f>
              <c:strCache>
                <c:ptCount val="1"/>
                <c:pt idx="0">
                  <c:v>Weekday</c:v>
                </c:pt>
              </c:strCache>
            </c:strRef>
          </c:tx>
          <c:spPr>
            <a:ln w="28575" cap="rnd">
              <a:solidFill>
                <a:schemeClr val="accent1"/>
              </a:solidFill>
              <a:round/>
            </a:ln>
            <a:effectLst/>
          </c:spPr>
          <c:marker>
            <c:symbol val="none"/>
          </c:marker>
          <c:val>
            <c:numRef>
              <c:f>'IES Schedules'!$D$65:$AA$65</c:f>
              <c:numCache>
                <c:formatCode>0%</c:formatCode>
                <c:ptCount val="24"/>
                <c:pt idx="0">
                  <c:v>0.05</c:v>
                </c:pt>
                <c:pt idx="1">
                  <c:v>0.05</c:v>
                </c:pt>
                <c:pt idx="2">
                  <c:v>0.05</c:v>
                </c:pt>
                <c:pt idx="3">
                  <c:v>0.05</c:v>
                </c:pt>
                <c:pt idx="4">
                  <c:v>0.05</c:v>
                </c:pt>
                <c:pt idx="5">
                  <c:v>0.05</c:v>
                </c:pt>
                <c:pt idx="6">
                  <c:v>0.05</c:v>
                </c:pt>
                <c:pt idx="7">
                  <c:v>0.1</c:v>
                </c:pt>
                <c:pt idx="8">
                  <c:v>0.2</c:v>
                </c:pt>
                <c:pt idx="9">
                  <c:v>0.9</c:v>
                </c:pt>
                <c:pt idx="10">
                  <c:v>0.9</c:v>
                </c:pt>
                <c:pt idx="11">
                  <c:v>0.45</c:v>
                </c:pt>
                <c:pt idx="12">
                  <c:v>0.45</c:v>
                </c:pt>
                <c:pt idx="13">
                  <c:v>0.9</c:v>
                </c:pt>
                <c:pt idx="14">
                  <c:v>0.9</c:v>
                </c:pt>
                <c:pt idx="15">
                  <c:v>0.9</c:v>
                </c:pt>
                <c:pt idx="16">
                  <c:v>0.9</c:v>
                </c:pt>
                <c:pt idx="17">
                  <c:v>0.9</c:v>
                </c:pt>
                <c:pt idx="18">
                  <c:v>0.3</c:v>
                </c:pt>
                <c:pt idx="19">
                  <c:v>0.1</c:v>
                </c:pt>
                <c:pt idx="20">
                  <c:v>0.1</c:v>
                </c:pt>
                <c:pt idx="21">
                  <c:v>0.1</c:v>
                </c:pt>
                <c:pt idx="22">
                  <c:v>0.05</c:v>
                </c:pt>
                <c:pt idx="23">
                  <c:v>0.05</c:v>
                </c:pt>
              </c:numCache>
            </c:numRef>
          </c:val>
          <c:smooth val="0"/>
          <c:extLst>
            <c:ext xmlns:c16="http://schemas.microsoft.com/office/drawing/2014/chart" uri="{C3380CC4-5D6E-409C-BE32-E72D297353CC}">
              <c16:uniqueId val="{00000000-11E0-4DA4-ABEB-4429F1272CA0}"/>
            </c:ext>
          </c:extLst>
        </c:ser>
        <c:ser>
          <c:idx val="1"/>
          <c:order val="1"/>
          <c:tx>
            <c:strRef>
              <c:f>'IES Schedules'!$C$66</c:f>
              <c:strCache>
                <c:ptCount val="1"/>
                <c:pt idx="0">
                  <c:v>Weekend</c:v>
                </c:pt>
              </c:strCache>
            </c:strRef>
          </c:tx>
          <c:spPr>
            <a:ln w="28575" cap="rnd">
              <a:solidFill>
                <a:schemeClr val="accent2"/>
              </a:solidFill>
              <a:round/>
            </a:ln>
            <a:effectLst/>
          </c:spPr>
          <c:marker>
            <c:symbol val="none"/>
          </c:marker>
          <c:val>
            <c:numRef>
              <c:f>'IES Schedules'!$D$66:$AA$66</c:f>
              <c:numCache>
                <c:formatCode>0%</c:formatCode>
                <c:ptCount val="24"/>
                <c:pt idx="0">
                  <c:v>0.05</c:v>
                </c:pt>
                <c:pt idx="1">
                  <c:v>0.05</c:v>
                </c:pt>
                <c:pt idx="2">
                  <c:v>0.05</c:v>
                </c:pt>
                <c:pt idx="3">
                  <c:v>0.05</c:v>
                </c:pt>
                <c:pt idx="4">
                  <c:v>0.05</c:v>
                </c:pt>
                <c:pt idx="5">
                  <c:v>0.05</c:v>
                </c:pt>
                <c:pt idx="6">
                  <c:v>0.05</c:v>
                </c:pt>
                <c:pt idx="7">
                  <c:v>0.1</c:v>
                </c:pt>
                <c:pt idx="8">
                  <c:v>0.1</c:v>
                </c:pt>
                <c:pt idx="9">
                  <c:v>0.3</c:v>
                </c:pt>
                <c:pt idx="10">
                  <c:v>0.3</c:v>
                </c:pt>
                <c:pt idx="11">
                  <c:v>0.3</c:v>
                </c:pt>
                <c:pt idx="12">
                  <c:v>0.3</c:v>
                </c:pt>
                <c:pt idx="13">
                  <c:v>0.1</c:v>
                </c:pt>
                <c:pt idx="14">
                  <c:v>0.1</c:v>
                </c:pt>
                <c:pt idx="15">
                  <c:v>0.1</c:v>
                </c:pt>
                <c:pt idx="16">
                  <c:v>0.1</c:v>
                </c:pt>
                <c:pt idx="17">
                  <c:v>0.1</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1-11E0-4DA4-ABEB-4429F1272CA0}"/>
            </c:ext>
          </c:extLst>
        </c:ser>
        <c:ser>
          <c:idx val="2"/>
          <c:order val="2"/>
          <c:tx>
            <c:strRef>
              <c:f>'IES Schedules'!$C$67</c:f>
              <c:strCache>
                <c:ptCount val="1"/>
                <c:pt idx="0">
                  <c:v>Holiday</c:v>
                </c:pt>
              </c:strCache>
            </c:strRef>
          </c:tx>
          <c:spPr>
            <a:ln w="28575" cap="rnd">
              <a:solidFill>
                <a:schemeClr val="accent3"/>
              </a:solidFill>
              <a:round/>
            </a:ln>
            <a:effectLst/>
          </c:spPr>
          <c:marker>
            <c:symbol val="none"/>
          </c:marker>
          <c:val>
            <c:numRef>
              <c:f>'IES Schedules'!$D$67:$AA$67</c:f>
              <c:numCache>
                <c:formatCode>0%</c:formatCode>
                <c:ptCount val="24"/>
                <c:pt idx="0">
                  <c:v>0.05</c:v>
                </c:pt>
                <c:pt idx="1">
                  <c:v>0.05</c:v>
                </c:pt>
                <c:pt idx="2">
                  <c:v>0.05</c:v>
                </c:pt>
                <c:pt idx="3">
                  <c:v>0.05</c:v>
                </c:pt>
                <c:pt idx="4">
                  <c:v>0.05</c:v>
                </c:pt>
                <c:pt idx="5">
                  <c:v>0.05</c:v>
                </c:pt>
                <c:pt idx="6">
                  <c:v>0.05</c:v>
                </c:pt>
                <c:pt idx="7">
                  <c:v>0.1</c:v>
                </c:pt>
                <c:pt idx="8">
                  <c:v>0.1</c:v>
                </c:pt>
                <c:pt idx="9">
                  <c:v>0.3</c:v>
                </c:pt>
                <c:pt idx="10">
                  <c:v>0.3</c:v>
                </c:pt>
                <c:pt idx="11">
                  <c:v>0.3</c:v>
                </c:pt>
                <c:pt idx="12">
                  <c:v>0.3</c:v>
                </c:pt>
                <c:pt idx="13">
                  <c:v>0.1</c:v>
                </c:pt>
                <c:pt idx="14">
                  <c:v>0.1</c:v>
                </c:pt>
                <c:pt idx="15">
                  <c:v>0.1</c:v>
                </c:pt>
                <c:pt idx="16">
                  <c:v>0.1</c:v>
                </c:pt>
                <c:pt idx="17">
                  <c:v>0.1</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2-11E0-4DA4-ABEB-4429F1272CA0}"/>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Schedules'!$AF$65</c:f>
              <c:strCache>
                <c:ptCount val="1"/>
                <c:pt idx="0">
                  <c:v>Weekday</c:v>
                </c:pt>
              </c:strCache>
            </c:strRef>
          </c:tx>
          <c:spPr>
            <a:ln w="28575" cap="rnd">
              <a:solidFill>
                <a:schemeClr val="accent1"/>
              </a:solidFill>
              <a:round/>
            </a:ln>
            <a:effectLst/>
          </c:spPr>
          <c:marker>
            <c:symbol val="none"/>
          </c:marker>
          <c:val>
            <c:numRef>
              <c:f>'IES Schedules'!$AG$65:$BD$65</c:f>
              <c:numCache>
                <c:formatCode>0%</c:formatCode>
                <c:ptCount val="24"/>
                <c:pt idx="0">
                  <c:v>0.2</c:v>
                </c:pt>
                <c:pt idx="1">
                  <c:v>0.2</c:v>
                </c:pt>
                <c:pt idx="2">
                  <c:v>0.2</c:v>
                </c:pt>
                <c:pt idx="3">
                  <c:v>0.2</c:v>
                </c:pt>
                <c:pt idx="4">
                  <c:v>0.2</c:v>
                </c:pt>
                <c:pt idx="5">
                  <c:v>0.2</c:v>
                </c:pt>
                <c:pt idx="6">
                  <c:v>0.2</c:v>
                </c:pt>
                <c:pt idx="7">
                  <c:v>0.3</c:v>
                </c:pt>
                <c:pt idx="8">
                  <c:v>0.4</c:v>
                </c:pt>
                <c:pt idx="9">
                  <c:v>0.5</c:v>
                </c:pt>
                <c:pt idx="10">
                  <c:v>0.5</c:v>
                </c:pt>
                <c:pt idx="11">
                  <c:v>0.5</c:v>
                </c:pt>
                <c:pt idx="12">
                  <c:v>0.4</c:v>
                </c:pt>
                <c:pt idx="13">
                  <c:v>0.5</c:v>
                </c:pt>
                <c:pt idx="14">
                  <c:v>0.5</c:v>
                </c:pt>
                <c:pt idx="15">
                  <c:v>0.5</c:v>
                </c:pt>
                <c:pt idx="16">
                  <c:v>0.5</c:v>
                </c:pt>
                <c:pt idx="17">
                  <c:v>0.4</c:v>
                </c:pt>
                <c:pt idx="18">
                  <c:v>0.3</c:v>
                </c:pt>
                <c:pt idx="19">
                  <c:v>0.3</c:v>
                </c:pt>
                <c:pt idx="20">
                  <c:v>0.2</c:v>
                </c:pt>
                <c:pt idx="21">
                  <c:v>0.2</c:v>
                </c:pt>
                <c:pt idx="22">
                  <c:v>0.2</c:v>
                </c:pt>
                <c:pt idx="23">
                  <c:v>0.2</c:v>
                </c:pt>
              </c:numCache>
            </c:numRef>
          </c:val>
          <c:smooth val="0"/>
          <c:extLst>
            <c:ext xmlns:c16="http://schemas.microsoft.com/office/drawing/2014/chart" uri="{C3380CC4-5D6E-409C-BE32-E72D297353CC}">
              <c16:uniqueId val="{00000000-A798-44A7-9823-8BE22B61CFDF}"/>
            </c:ext>
          </c:extLst>
        </c:ser>
        <c:ser>
          <c:idx val="1"/>
          <c:order val="1"/>
          <c:tx>
            <c:strRef>
              <c:f>'IES Schedules'!$AF$66</c:f>
              <c:strCache>
                <c:ptCount val="1"/>
                <c:pt idx="0">
                  <c:v>Weekend</c:v>
                </c:pt>
              </c:strCache>
            </c:strRef>
          </c:tx>
          <c:spPr>
            <a:ln w="28575" cap="rnd">
              <a:solidFill>
                <a:schemeClr val="accent2"/>
              </a:solidFill>
              <a:round/>
            </a:ln>
            <a:effectLst/>
          </c:spPr>
          <c:marker>
            <c:symbol val="none"/>
          </c:marker>
          <c:val>
            <c:numRef>
              <c:f>'IES Schedules'!$AG$66:$BD$66</c:f>
              <c:numCache>
                <c:formatCode>0%</c:formatCode>
                <c:ptCount val="24"/>
                <c:pt idx="0">
                  <c:v>0.2</c:v>
                </c:pt>
                <c:pt idx="1">
                  <c:v>0.2</c:v>
                </c:pt>
                <c:pt idx="2">
                  <c:v>0.2</c:v>
                </c:pt>
                <c:pt idx="3">
                  <c:v>0.2</c:v>
                </c:pt>
                <c:pt idx="4">
                  <c:v>0.2</c:v>
                </c:pt>
                <c:pt idx="5">
                  <c:v>0.2</c:v>
                </c:pt>
                <c:pt idx="6">
                  <c:v>0.3</c:v>
                </c:pt>
                <c:pt idx="7">
                  <c:v>0.3</c:v>
                </c:pt>
                <c:pt idx="8">
                  <c:v>0.4</c:v>
                </c:pt>
                <c:pt idx="9">
                  <c:v>0.4</c:v>
                </c:pt>
                <c:pt idx="10">
                  <c:v>0.4</c:v>
                </c:pt>
                <c:pt idx="11">
                  <c:v>0.4</c:v>
                </c:pt>
                <c:pt idx="12">
                  <c:v>0.3</c:v>
                </c:pt>
                <c:pt idx="13">
                  <c:v>0.3</c:v>
                </c:pt>
                <c:pt idx="14">
                  <c:v>0.3</c:v>
                </c:pt>
                <c:pt idx="15">
                  <c:v>0.3</c:v>
                </c:pt>
                <c:pt idx="16">
                  <c:v>0.3</c:v>
                </c:pt>
                <c:pt idx="17">
                  <c:v>0.2</c:v>
                </c:pt>
                <c:pt idx="18">
                  <c:v>0.2</c:v>
                </c:pt>
                <c:pt idx="19">
                  <c:v>0.2</c:v>
                </c:pt>
                <c:pt idx="20">
                  <c:v>0.2</c:v>
                </c:pt>
                <c:pt idx="21">
                  <c:v>0.2</c:v>
                </c:pt>
                <c:pt idx="22">
                  <c:v>0.2</c:v>
                </c:pt>
                <c:pt idx="23">
                  <c:v>0.2</c:v>
                </c:pt>
              </c:numCache>
            </c:numRef>
          </c:val>
          <c:smooth val="0"/>
          <c:extLst>
            <c:ext xmlns:c16="http://schemas.microsoft.com/office/drawing/2014/chart" uri="{C3380CC4-5D6E-409C-BE32-E72D297353CC}">
              <c16:uniqueId val="{00000001-A798-44A7-9823-8BE22B61CFDF}"/>
            </c:ext>
          </c:extLst>
        </c:ser>
        <c:ser>
          <c:idx val="2"/>
          <c:order val="2"/>
          <c:tx>
            <c:strRef>
              <c:f>'IES Schedules'!$AF$67</c:f>
              <c:strCache>
                <c:ptCount val="1"/>
                <c:pt idx="0">
                  <c:v>Holiday</c:v>
                </c:pt>
              </c:strCache>
            </c:strRef>
          </c:tx>
          <c:spPr>
            <a:ln w="28575" cap="rnd">
              <a:solidFill>
                <a:schemeClr val="accent3"/>
              </a:solidFill>
              <a:round/>
            </a:ln>
            <a:effectLst/>
          </c:spPr>
          <c:marker>
            <c:symbol val="none"/>
          </c:marker>
          <c:val>
            <c:numRef>
              <c:f>'IES Schedules'!$AG$67:$BD$67</c:f>
              <c:numCache>
                <c:formatCode>0%</c:formatCode>
                <c:ptCount val="24"/>
                <c:pt idx="0">
                  <c:v>0.2</c:v>
                </c:pt>
                <c:pt idx="1">
                  <c:v>0.2</c:v>
                </c:pt>
                <c:pt idx="2">
                  <c:v>0.2</c:v>
                </c:pt>
                <c:pt idx="3">
                  <c:v>0.2</c:v>
                </c:pt>
                <c:pt idx="4">
                  <c:v>0.2</c:v>
                </c:pt>
                <c:pt idx="5">
                  <c:v>0.2</c:v>
                </c:pt>
                <c:pt idx="6">
                  <c:v>0.3</c:v>
                </c:pt>
                <c:pt idx="7">
                  <c:v>0.3</c:v>
                </c:pt>
                <c:pt idx="8">
                  <c:v>0.4</c:v>
                </c:pt>
                <c:pt idx="9">
                  <c:v>0.4</c:v>
                </c:pt>
                <c:pt idx="10">
                  <c:v>0.4</c:v>
                </c:pt>
                <c:pt idx="11">
                  <c:v>0.4</c:v>
                </c:pt>
                <c:pt idx="12">
                  <c:v>0.3</c:v>
                </c:pt>
                <c:pt idx="13">
                  <c:v>0.3</c:v>
                </c:pt>
                <c:pt idx="14">
                  <c:v>0.3</c:v>
                </c:pt>
                <c:pt idx="15">
                  <c:v>0.3</c:v>
                </c:pt>
                <c:pt idx="16">
                  <c:v>0.3</c:v>
                </c:pt>
                <c:pt idx="17">
                  <c:v>0.2</c:v>
                </c:pt>
                <c:pt idx="18">
                  <c:v>0.2</c:v>
                </c:pt>
                <c:pt idx="19">
                  <c:v>0.2</c:v>
                </c:pt>
                <c:pt idx="20">
                  <c:v>0.2</c:v>
                </c:pt>
                <c:pt idx="21">
                  <c:v>0.2</c:v>
                </c:pt>
                <c:pt idx="22">
                  <c:v>0.2</c:v>
                </c:pt>
                <c:pt idx="23">
                  <c:v>0.2</c:v>
                </c:pt>
              </c:numCache>
            </c:numRef>
          </c:val>
          <c:smooth val="0"/>
          <c:extLst>
            <c:ext xmlns:c16="http://schemas.microsoft.com/office/drawing/2014/chart" uri="{C3380CC4-5D6E-409C-BE32-E72D297353CC}">
              <c16:uniqueId val="{00000002-A798-44A7-9823-8BE22B61CFDF}"/>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Schedules'!$C$86</c:f>
              <c:strCache>
                <c:ptCount val="1"/>
                <c:pt idx="0">
                  <c:v>Weekday</c:v>
                </c:pt>
              </c:strCache>
            </c:strRef>
          </c:tx>
          <c:spPr>
            <a:ln w="28575" cap="rnd">
              <a:solidFill>
                <a:schemeClr val="accent1"/>
              </a:solidFill>
              <a:round/>
            </a:ln>
            <a:effectLst/>
          </c:spPr>
          <c:marker>
            <c:symbol val="none"/>
          </c:marker>
          <c:val>
            <c:numRef>
              <c:f>'IES Schedules'!$D$86:$AA$86</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1033-4B65-B86F-B81992BFE7E0}"/>
            </c:ext>
          </c:extLst>
        </c:ser>
        <c:ser>
          <c:idx val="1"/>
          <c:order val="1"/>
          <c:tx>
            <c:strRef>
              <c:f>'IES Schedules'!$C$87</c:f>
              <c:strCache>
                <c:ptCount val="1"/>
                <c:pt idx="0">
                  <c:v>Weekend</c:v>
                </c:pt>
              </c:strCache>
            </c:strRef>
          </c:tx>
          <c:spPr>
            <a:ln w="28575" cap="rnd">
              <a:solidFill>
                <a:schemeClr val="accent2"/>
              </a:solidFill>
              <a:round/>
            </a:ln>
            <a:effectLst/>
          </c:spPr>
          <c:marker>
            <c:symbol val="none"/>
          </c:marker>
          <c:val>
            <c:numRef>
              <c:f>'IES Schedules'!$D$87:$AA$87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1033-4B65-B86F-B81992BFE7E0}"/>
            </c:ext>
          </c:extLst>
        </c:ser>
        <c:ser>
          <c:idx val="2"/>
          <c:order val="2"/>
          <c:tx>
            <c:strRef>
              <c:f>'IES Schedules'!$C$88</c:f>
              <c:strCache>
                <c:ptCount val="1"/>
                <c:pt idx="0">
                  <c:v>Holiday</c:v>
                </c:pt>
              </c:strCache>
            </c:strRef>
          </c:tx>
          <c:spPr>
            <a:ln w="28575" cap="rnd">
              <a:solidFill>
                <a:schemeClr val="accent3"/>
              </a:solidFill>
              <a:round/>
            </a:ln>
            <a:effectLst/>
          </c:spPr>
          <c:marker>
            <c:symbol val="none"/>
          </c:marker>
          <c:val>
            <c:numRef>
              <c:f>'IES Schedules'!$D$88:$AA$88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1033-4B65-B86F-B81992BFE7E0}"/>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Schedules'!$AF$86</c:f>
              <c:strCache>
                <c:ptCount val="1"/>
                <c:pt idx="0">
                  <c:v>Weekday</c:v>
                </c:pt>
              </c:strCache>
            </c:strRef>
          </c:tx>
          <c:spPr>
            <a:ln w="28575" cap="rnd">
              <a:solidFill>
                <a:schemeClr val="accent1"/>
              </a:solidFill>
              <a:round/>
            </a:ln>
            <a:effectLst/>
          </c:spPr>
          <c:marker>
            <c:symbol val="none"/>
          </c:marker>
          <c:val>
            <c:numRef>
              <c:f>'IES Schedules'!$AG$86:$BD$86</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F9EF-4754-8C7A-BB7DD3048C58}"/>
            </c:ext>
          </c:extLst>
        </c:ser>
        <c:ser>
          <c:idx val="1"/>
          <c:order val="1"/>
          <c:tx>
            <c:strRef>
              <c:f>'IES Schedules'!$AF$87</c:f>
              <c:strCache>
                <c:ptCount val="1"/>
                <c:pt idx="0">
                  <c:v>Weekend</c:v>
                </c:pt>
              </c:strCache>
            </c:strRef>
          </c:tx>
          <c:spPr>
            <a:ln w="28575" cap="rnd">
              <a:solidFill>
                <a:schemeClr val="accent2"/>
              </a:solidFill>
              <a:round/>
            </a:ln>
            <a:effectLst/>
          </c:spPr>
          <c:marker>
            <c:symbol val="none"/>
          </c:marker>
          <c:val>
            <c:numRef>
              <c:f>'IES Schedules'!$AG$87:$BD$87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F9EF-4754-8C7A-BB7DD3048C58}"/>
            </c:ext>
          </c:extLst>
        </c:ser>
        <c:ser>
          <c:idx val="2"/>
          <c:order val="2"/>
          <c:tx>
            <c:strRef>
              <c:f>'IES Schedules'!$AF$88</c:f>
              <c:strCache>
                <c:ptCount val="1"/>
                <c:pt idx="0">
                  <c:v>Holiday</c:v>
                </c:pt>
              </c:strCache>
            </c:strRef>
          </c:tx>
          <c:spPr>
            <a:ln w="28575" cap="rnd">
              <a:solidFill>
                <a:schemeClr val="accent3"/>
              </a:solidFill>
              <a:round/>
            </a:ln>
            <a:effectLst/>
          </c:spPr>
          <c:marker>
            <c:symbol val="none"/>
          </c:marker>
          <c:val>
            <c:numRef>
              <c:f>'IES Schedules'!$AG$88:$BD$88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F9EF-4754-8C7A-BB7DD3048C58}"/>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Schedules'!$C$107</c:f>
              <c:strCache>
                <c:ptCount val="1"/>
                <c:pt idx="0">
                  <c:v>Weekday</c:v>
                </c:pt>
              </c:strCache>
            </c:strRef>
          </c:tx>
          <c:spPr>
            <a:ln w="28575" cap="rnd">
              <a:solidFill>
                <a:schemeClr val="accent1"/>
              </a:solidFill>
              <a:round/>
            </a:ln>
            <a:effectLst/>
          </c:spPr>
          <c:marker>
            <c:symbol val="none"/>
          </c:marker>
          <c:val>
            <c:numRef>
              <c:f>'IES Schedules'!$D$107:$AA$107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8133-4523-BC6C-46748E21AF03}"/>
            </c:ext>
          </c:extLst>
        </c:ser>
        <c:ser>
          <c:idx val="1"/>
          <c:order val="1"/>
          <c:tx>
            <c:strRef>
              <c:f>'IES Schedules'!$C$108</c:f>
              <c:strCache>
                <c:ptCount val="1"/>
                <c:pt idx="0">
                  <c:v>Weekend</c:v>
                </c:pt>
              </c:strCache>
            </c:strRef>
          </c:tx>
          <c:spPr>
            <a:ln w="28575" cap="rnd">
              <a:solidFill>
                <a:schemeClr val="accent2"/>
              </a:solidFill>
              <a:round/>
            </a:ln>
            <a:effectLst/>
          </c:spPr>
          <c:marker>
            <c:symbol val="none"/>
          </c:marker>
          <c:val>
            <c:numRef>
              <c:f>'IES Schedules'!$D$108:$AA$108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8133-4523-BC6C-46748E21AF03}"/>
            </c:ext>
          </c:extLst>
        </c:ser>
        <c:ser>
          <c:idx val="2"/>
          <c:order val="2"/>
          <c:tx>
            <c:strRef>
              <c:f>'IES Schedules'!$C$109</c:f>
              <c:strCache>
                <c:ptCount val="1"/>
                <c:pt idx="0">
                  <c:v>Holiday</c:v>
                </c:pt>
              </c:strCache>
            </c:strRef>
          </c:tx>
          <c:spPr>
            <a:ln w="28575" cap="rnd">
              <a:solidFill>
                <a:schemeClr val="accent3"/>
              </a:solidFill>
              <a:round/>
            </a:ln>
            <a:effectLst/>
          </c:spPr>
          <c:marker>
            <c:symbol val="none"/>
          </c:marker>
          <c:val>
            <c:numRef>
              <c:f>'IES Schedules'!$D$109:$AA$109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8133-4523-BC6C-46748E21AF03}"/>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Schedules'!$AF$107</c:f>
              <c:strCache>
                <c:ptCount val="1"/>
                <c:pt idx="0">
                  <c:v>Weekday</c:v>
                </c:pt>
              </c:strCache>
            </c:strRef>
          </c:tx>
          <c:spPr>
            <a:ln w="28575" cap="rnd">
              <a:solidFill>
                <a:schemeClr val="accent1"/>
              </a:solidFill>
              <a:round/>
            </a:ln>
            <a:effectLst/>
          </c:spPr>
          <c:marker>
            <c:symbol val="none"/>
          </c:marker>
          <c:val>
            <c:numRef>
              <c:f>'IES Schedules'!$AG$107:$BD$107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2F79-497B-98F2-64F0D3706BB5}"/>
            </c:ext>
          </c:extLst>
        </c:ser>
        <c:ser>
          <c:idx val="1"/>
          <c:order val="1"/>
          <c:tx>
            <c:strRef>
              <c:f>'IES Schedules'!$AF$108</c:f>
              <c:strCache>
                <c:ptCount val="1"/>
                <c:pt idx="0">
                  <c:v>Weekend</c:v>
                </c:pt>
              </c:strCache>
            </c:strRef>
          </c:tx>
          <c:spPr>
            <a:ln w="28575" cap="rnd">
              <a:solidFill>
                <a:schemeClr val="accent2"/>
              </a:solidFill>
              <a:round/>
            </a:ln>
            <a:effectLst/>
          </c:spPr>
          <c:marker>
            <c:symbol val="none"/>
          </c:marker>
          <c:val>
            <c:numRef>
              <c:f>'IES Schedules'!$AG$108:$BD$108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2F79-497B-98F2-64F0D3706BB5}"/>
            </c:ext>
          </c:extLst>
        </c:ser>
        <c:ser>
          <c:idx val="2"/>
          <c:order val="2"/>
          <c:tx>
            <c:strRef>
              <c:f>'IES Schedules'!$AF$109</c:f>
              <c:strCache>
                <c:ptCount val="1"/>
                <c:pt idx="0">
                  <c:v>Holiday</c:v>
                </c:pt>
              </c:strCache>
            </c:strRef>
          </c:tx>
          <c:spPr>
            <a:ln w="28575" cap="rnd">
              <a:solidFill>
                <a:schemeClr val="accent3"/>
              </a:solidFill>
              <a:round/>
            </a:ln>
            <a:effectLst/>
          </c:spPr>
          <c:marker>
            <c:symbol val="none"/>
          </c:marker>
          <c:val>
            <c:numRef>
              <c:f>'IES Schedules'!$AG$109:$BD$109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2F79-497B-98F2-64F0D3706BB5}"/>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Schedules'!$C$128</c:f>
              <c:strCache>
                <c:ptCount val="1"/>
                <c:pt idx="0">
                  <c:v>Weekday</c:v>
                </c:pt>
              </c:strCache>
            </c:strRef>
          </c:tx>
          <c:spPr>
            <a:ln w="28575" cap="rnd">
              <a:solidFill>
                <a:schemeClr val="accent1"/>
              </a:solidFill>
              <a:round/>
            </a:ln>
            <a:effectLst/>
          </c:spPr>
          <c:marker>
            <c:symbol val="none"/>
          </c:marker>
          <c:val>
            <c:numRef>
              <c:f>'IES Schedules'!$D$128:$AA$128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67BC-4476-A756-49207854F7F1}"/>
            </c:ext>
          </c:extLst>
        </c:ser>
        <c:ser>
          <c:idx val="1"/>
          <c:order val="1"/>
          <c:tx>
            <c:strRef>
              <c:f>'IES Schedules'!$C$129</c:f>
              <c:strCache>
                <c:ptCount val="1"/>
                <c:pt idx="0">
                  <c:v>Weekend</c:v>
                </c:pt>
              </c:strCache>
            </c:strRef>
          </c:tx>
          <c:spPr>
            <a:ln w="28575" cap="rnd">
              <a:solidFill>
                <a:schemeClr val="accent2"/>
              </a:solidFill>
              <a:round/>
            </a:ln>
            <a:effectLst/>
          </c:spPr>
          <c:marker>
            <c:symbol val="none"/>
          </c:marker>
          <c:val>
            <c:numRef>
              <c:f>'IES Schedules'!$D$129:$AA$129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67BC-4476-A756-49207854F7F1}"/>
            </c:ext>
          </c:extLst>
        </c:ser>
        <c:ser>
          <c:idx val="2"/>
          <c:order val="2"/>
          <c:tx>
            <c:strRef>
              <c:f>'IES Schedules'!$C$130</c:f>
              <c:strCache>
                <c:ptCount val="1"/>
                <c:pt idx="0">
                  <c:v>Holiday</c:v>
                </c:pt>
              </c:strCache>
            </c:strRef>
          </c:tx>
          <c:spPr>
            <a:ln w="28575" cap="rnd">
              <a:solidFill>
                <a:schemeClr val="accent3"/>
              </a:solidFill>
              <a:round/>
            </a:ln>
            <a:effectLst/>
          </c:spPr>
          <c:marker>
            <c:symbol val="none"/>
          </c:marker>
          <c:val>
            <c:numRef>
              <c:f>'IES Schedules'!$D$130:$AA$130</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67BC-4476-A756-49207854F7F1}"/>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Schedules'!$AF$128</c:f>
              <c:strCache>
                <c:ptCount val="1"/>
                <c:pt idx="0">
                  <c:v>Weekday</c:v>
                </c:pt>
              </c:strCache>
            </c:strRef>
          </c:tx>
          <c:spPr>
            <a:ln w="28575" cap="rnd">
              <a:solidFill>
                <a:schemeClr val="accent1"/>
              </a:solidFill>
              <a:round/>
            </a:ln>
            <a:effectLst/>
          </c:spPr>
          <c:marker>
            <c:symbol val="none"/>
          </c:marker>
          <c:val>
            <c:numRef>
              <c:f>'IES Schedules'!$AG$128:$BD$128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731F-48BB-9A19-CBEBED5A681D}"/>
            </c:ext>
          </c:extLst>
        </c:ser>
        <c:ser>
          <c:idx val="1"/>
          <c:order val="1"/>
          <c:tx>
            <c:strRef>
              <c:f>'IES Schedules'!$AF$129</c:f>
              <c:strCache>
                <c:ptCount val="1"/>
                <c:pt idx="0">
                  <c:v>Weekend</c:v>
                </c:pt>
              </c:strCache>
            </c:strRef>
          </c:tx>
          <c:spPr>
            <a:ln w="28575" cap="rnd">
              <a:solidFill>
                <a:schemeClr val="accent2"/>
              </a:solidFill>
              <a:round/>
            </a:ln>
            <a:effectLst/>
          </c:spPr>
          <c:marker>
            <c:symbol val="none"/>
          </c:marker>
          <c:val>
            <c:numRef>
              <c:f>'IES Schedules'!$AG$129:$BD$129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731F-48BB-9A19-CBEBED5A681D}"/>
            </c:ext>
          </c:extLst>
        </c:ser>
        <c:ser>
          <c:idx val="2"/>
          <c:order val="2"/>
          <c:tx>
            <c:strRef>
              <c:f>'IES Schedules'!$AF$130</c:f>
              <c:strCache>
                <c:ptCount val="1"/>
                <c:pt idx="0">
                  <c:v>Holiday</c:v>
                </c:pt>
              </c:strCache>
            </c:strRef>
          </c:tx>
          <c:spPr>
            <a:ln w="28575" cap="rnd">
              <a:solidFill>
                <a:schemeClr val="accent3"/>
              </a:solidFill>
              <a:round/>
            </a:ln>
            <a:effectLst/>
          </c:spPr>
          <c:marker>
            <c:symbol val="none"/>
          </c:marker>
          <c:val>
            <c:numRef>
              <c:f>'IES Schedules'!$AG$130:$BD$130</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731F-48BB-9A19-CBEBED5A681D}"/>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7.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17.xml"/><Relationship Id="rId3" Type="http://schemas.openxmlformats.org/officeDocument/2006/relationships/chart" Target="../charts/chart12.xml"/><Relationship Id="rId7" Type="http://schemas.openxmlformats.org/officeDocument/2006/relationships/chart" Target="../charts/chart16.xml"/><Relationship Id="rId12" Type="http://schemas.openxmlformats.org/officeDocument/2006/relationships/chart" Target="../charts/chart21.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11" Type="http://schemas.openxmlformats.org/officeDocument/2006/relationships/chart" Target="../charts/chart20.xml"/><Relationship Id="rId5" Type="http://schemas.openxmlformats.org/officeDocument/2006/relationships/chart" Target="../charts/chart14.xml"/><Relationship Id="rId10" Type="http://schemas.openxmlformats.org/officeDocument/2006/relationships/chart" Target="../charts/chart19.xml"/><Relationship Id="rId4" Type="http://schemas.openxmlformats.org/officeDocument/2006/relationships/chart" Target="../charts/chart13.xml"/><Relationship Id="rId9" Type="http://schemas.openxmlformats.org/officeDocument/2006/relationships/chart" Target="../charts/chart18.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3.emf"/><Relationship Id="rId5" Type="http://schemas.openxmlformats.org/officeDocument/2006/relationships/image" Target="../media/image12.emf"/><Relationship Id="rId4"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5" Type="http://schemas.openxmlformats.org/officeDocument/2006/relationships/image" Target="../media/image21.emf"/><Relationship Id="rId4"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257175</xdr:colOff>
          <xdr:row>15</xdr:row>
          <xdr:rowOff>171450</xdr:rowOff>
        </xdr:from>
        <xdr:to>
          <xdr:col>13</xdr:col>
          <xdr:colOff>1714500</xdr:colOff>
          <xdr:row>17</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Transfer Space Types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3</xdr:row>
          <xdr:rowOff>171450</xdr:rowOff>
        </xdr:from>
        <xdr:to>
          <xdr:col>3</xdr:col>
          <xdr:colOff>9525</xdr:colOff>
          <xdr:row>5</xdr:row>
          <xdr:rowOff>180975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Highlight 99.6%/0.4%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180975</xdr:rowOff>
        </xdr:from>
        <xdr:to>
          <xdr:col>7</xdr:col>
          <xdr:colOff>295275</xdr:colOff>
          <xdr:row>6</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Highlight 99%/1%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1028700</xdr:colOff>
          <xdr:row>0</xdr:row>
          <xdr:rowOff>171450</xdr:rowOff>
        </xdr:from>
        <xdr:to>
          <xdr:col>3</xdr:col>
          <xdr:colOff>9525</xdr:colOff>
          <xdr:row>2</xdr:row>
          <xdr:rowOff>180975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Paste Weather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11</xdr:col>
      <xdr:colOff>0</xdr:colOff>
      <xdr:row>4</xdr:row>
      <xdr:rowOff>0</xdr:rowOff>
    </xdr:from>
    <xdr:to>
      <xdr:col>23</xdr:col>
      <xdr:colOff>153442</xdr:colOff>
      <xdr:row>40</xdr:row>
      <xdr:rowOff>143879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9058275" y="771525"/>
          <a:ext cx="7468642" cy="71923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6</xdr:row>
          <xdr:rowOff>0</xdr:rowOff>
        </xdr:from>
        <xdr:to>
          <xdr:col>1</xdr:col>
          <xdr:colOff>0</xdr:colOff>
          <xdr:row>6</xdr:row>
          <xdr:rowOff>190500</xdr:rowOff>
        </xdr:to>
        <xdr:sp macro="" textlink="">
          <xdr:nvSpPr>
            <xdr:cNvPr id="5122" name="ASHRAE2007"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xdr:row>
          <xdr:rowOff>0</xdr:rowOff>
        </xdr:from>
        <xdr:to>
          <xdr:col>1</xdr:col>
          <xdr:colOff>0</xdr:colOff>
          <xdr:row>7</xdr:row>
          <xdr:rowOff>190500</xdr:rowOff>
        </xdr:to>
        <xdr:sp macro="" textlink="">
          <xdr:nvSpPr>
            <xdr:cNvPr id="5123" name="ASHRAE2010"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9</xdr:row>
          <xdr:rowOff>0</xdr:rowOff>
        </xdr:from>
        <xdr:to>
          <xdr:col>1</xdr:col>
          <xdr:colOff>0</xdr:colOff>
          <xdr:row>9</xdr:row>
          <xdr:rowOff>190500</xdr:rowOff>
        </xdr:to>
        <xdr:sp macro="" textlink="">
          <xdr:nvSpPr>
            <xdr:cNvPr id="5124" name="ASHRAE2016"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xdr:row>
          <xdr:rowOff>9525</xdr:rowOff>
        </xdr:from>
        <xdr:to>
          <xdr:col>1</xdr:col>
          <xdr:colOff>0</xdr:colOff>
          <xdr:row>11</xdr:row>
          <xdr:rowOff>0</xdr:rowOff>
        </xdr:to>
        <xdr:sp macro="" textlink="">
          <xdr:nvSpPr>
            <xdr:cNvPr id="5125" name="ASHRAE2019"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11</xdr:row>
          <xdr:rowOff>9525</xdr:rowOff>
        </xdr:from>
        <xdr:to>
          <xdr:col>1</xdr:col>
          <xdr:colOff>0</xdr:colOff>
          <xdr:row>12</xdr:row>
          <xdr:rowOff>0</xdr:rowOff>
        </xdr:to>
        <xdr:sp macro="" textlink="">
          <xdr:nvSpPr>
            <xdr:cNvPr id="5126" name="Title242019"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9525</xdr:rowOff>
        </xdr:from>
        <xdr:to>
          <xdr:col>1</xdr:col>
          <xdr:colOff>0</xdr:colOff>
          <xdr:row>9</xdr:row>
          <xdr:rowOff>0</xdr:rowOff>
        </xdr:to>
        <xdr:sp macro="" textlink="">
          <xdr:nvSpPr>
            <xdr:cNvPr id="5127" name="ASHRAE2013"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50</xdr:col>
      <xdr:colOff>0</xdr:colOff>
      <xdr:row>16</xdr:row>
      <xdr:rowOff>0</xdr:rowOff>
    </xdr:from>
    <xdr:to>
      <xdr:col>60</xdr:col>
      <xdr:colOff>340189</xdr:colOff>
      <xdr:row>63</xdr:row>
      <xdr:rowOff>36928</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3461325" y="2895600"/>
          <a:ext cx="6436189" cy="9752428"/>
        </a:xfrm>
        <a:prstGeom prst="rect">
          <a:avLst/>
        </a:prstGeom>
      </xdr:spPr>
    </xdr:pic>
    <xdr:clientData/>
  </xdr:twoCellAnchor>
  <xdr:twoCellAnchor editAs="oneCell">
    <xdr:from>
      <xdr:col>60</xdr:col>
      <xdr:colOff>247650</xdr:colOff>
      <xdr:row>16</xdr:row>
      <xdr:rowOff>0</xdr:rowOff>
    </xdr:from>
    <xdr:to>
      <xdr:col>70</xdr:col>
      <xdr:colOff>345935</xdr:colOff>
      <xdr:row>63</xdr:row>
      <xdr:rowOff>1057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39804975" y="2895600"/>
          <a:ext cx="6194285" cy="9716557"/>
        </a:xfrm>
        <a:prstGeom prst="rect">
          <a:avLst/>
        </a:prstGeom>
      </xdr:spPr>
    </xdr:pic>
    <xdr:clientData/>
  </xdr:twoCellAnchor>
  <xdr:twoCellAnchor editAs="oneCell">
    <xdr:from>
      <xdr:col>70</xdr:col>
      <xdr:colOff>295275</xdr:colOff>
      <xdr:row>16</xdr:row>
      <xdr:rowOff>0</xdr:rowOff>
    </xdr:from>
    <xdr:to>
      <xdr:col>80</xdr:col>
      <xdr:colOff>384672</xdr:colOff>
      <xdr:row>43</xdr:row>
      <xdr:rowOff>79308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45948600" y="2895600"/>
          <a:ext cx="6185397" cy="598480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57150</xdr:colOff>
          <xdr:row>7</xdr:row>
          <xdr:rowOff>19050</xdr:rowOff>
        </xdr:from>
        <xdr:to>
          <xdr:col>2</xdr:col>
          <xdr:colOff>2609850</xdr:colOff>
          <xdr:row>7</xdr:row>
          <xdr:rowOff>238125</xdr:rowOff>
        </xdr:to>
        <xdr:sp macro="" textlink="">
          <xdr:nvSpPr>
            <xdr:cNvPr id="6164" name="Title242019OCC" hidden="1">
              <a:extLst>
                <a:ext uri="{63B3BB69-23CF-44E3-9099-C40C66FF867C}">
                  <a14:compatExt spid="_x0000_s6164"/>
                </a:ext>
                <a:ext uri="{FF2B5EF4-FFF2-40B4-BE49-F238E27FC236}">
                  <a16:creationId xmlns:a16="http://schemas.microsoft.com/office/drawing/2014/main" id="{00000000-0008-0000-04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8</xdr:row>
          <xdr:rowOff>19050</xdr:rowOff>
        </xdr:from>
        <xdr:to>
          <xdr:col>2</xdr:col>
          <xdr:colOff>2609850</xdr:colOff>
          <xdr:row>8</xdr:row>
          <xdr:rowOff>238125</xdr:rowOff>
        </xdr:to>
        <xdr:sp macro="" textlink="">
          <xdr:nvSpPr>
            <xdr:cNvPr id="6165" name="ASHRAE2007OCC" hidden="1">
              <a:extLst>
                <a:ext uri="{63B3BB69-23CF-44E3-9099-C40C66FF867C}">
                  <a14:compatExt spid="_x0000_s6165"/>
                </a:ext>
                <a:ext uri="{FF2B5EF4-FFF2-40B4-BE49-F238E27FC236}">
                  <a16:creationId xmlns:a16="http://schemas.microsoft.com/office/drawing/2014/main" id="{00000000-0008-0000-0400-00001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2609850</xdr:colOff>
          <xdr:row>9</xdr:row>
          <xdr:rowOff>238125</xdr:rowOff>
        </xdr:to>
        <xdr:sp macro="" textlink="">
          <xdr:nvSpPr>
            <xdr:cNvPr id="6166" name="ASHRAE2010OCC" hidden="1">
              <a:extLst>
                <a:ext uri="{63B3BB69-23CF-44E3-9099-C40C66FF867C}">
                  <a14:compatExt spid="_x0000_s6166"/>
                </a:ext>
                <a:ext uri="{FF2B5EF4-FFF2-40B4-BE49-F238E27FC236}">
                  <a16:creationId xmlns:a16="http://schemas.microsoft.com/office/drawing/2014/main" id="{00000000-0008-0000-04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19050</xdr:rowOff>
        </xdr:from>
        <xdr:to>
          <xdr:col>2</xdr:col>
          <xdr:colOff>2609850</xdr:colOff>
          <xdr:row>10</xdr:row>
          <xdr:rowOff>238125</xdr:rowOff>
        </xdr:to>
        <xdr:sp macro="" textlink="">
          <xdr:nvSpPr>
            <xdr:cNvPr id="6167" name="ASHRAE2013OCC" hidden="1">
              <a:extLst>
                <a:ext uri="{63B3BB69-23CF-44E3-9099-C40C66FF867C}">
                  <a14:compatExt spid="_x0000_s6167"/>
                </a:ext>
                <a:ext uri="{FF2B5EF4-FFF2-40B4-BE49-F238E27FC236}">
                  <a16:creationId xmlns:a16="http://schemas.microsoft.com/office/drawing/2014/main" id="{00000000-0008-0000-04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19050</xdr:rowOff>
        </xdr:from>
        <xdr:to>
          <xdr:col>2</xdr:col>
          <xdr:colOff>2609850</xdr:colOff>
          <xdr:row>11</xdr:row>
          <xdr:rowOff>238125</xdr:rowOff>
        </xdr:to>
        <xdr:sp macro="" textlink="">
          <xdr:nvSpPr>
            <xdr:cNvPr id="6168" name="ASHRAE2016OCC" hidden="1">
              <a:extLst>
                <a:ext uri="{63B3BB69-23CF-44E3-9099-C40C66FF867C}">
                  <a14:compatExt spid="_x0000_s6168"/>
                </a:ext>
                <a:ext uri="{FF2B5EF4-FFF2-40B4-BE49-F238E27FC236}">
                  <a16:creationId xmlns:a16="http://schemas.microsoft.com/office/drawing/2014/main" id="{00000000-0008-0000-04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12</xdr:row>
          <xdr:rowOff>19050</xdr:rowOff>
        </xdr:from>
        <xdr:to>
          <xdr:col>2</xdr:col>
          <xdr:colOff>2609850</xdr:colOff>
          <xdr:row>12</xdr:row>
          <xdr:rowOff>238125</xdr:rowOff>
        </xdr:to>
        <xdr:sp macro="" textlink="">
          <xdr:nvSpPr>
            <xdr:cNvPr id="6169" name="ASHRAE2019OCC" hidden="1">
              <a:extLst>
                <a:ext uri="{63B3BB69-23CF-44E3-9099-C40C66FF867C}">
                  <a14:compatExt spid="_x0000_s6169"/>
                </a:ext>
                <a:ext uri="{FF2B5EF4-FFF2-40B4-BE49-F238E27FC236}">
                  <a16:creationId xmlns:a16="http://schemas.microsoft.com/office/drawing/2014/main" id="{00000000-0008-0000-0400-00001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34</xdr:col>
      <xdr:colOff>0</xdr:colOff>
      <xdr:row>18</xdr:row>
      <xdr:rowOff>0</xdr:rowOff>
    </xdr:from>
    <xdr:to>
      <xdr:col>44</xdr:col>
      <xdr:colOff>340188</xdr:colOff>
      <xdr:row>65</xdr:row>
      <xdr:rowOff>36928</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8080950" y="2895600"/>
          <a:ext cx="6436189" cy="9371428"/>
        </a:xfrm>
        <a:prstGeom prst="rect">
          <a:avLst/>
        </a:prstGeom>
      </xdr:spPr>
    </xdr:pic>
    <xdr:clientData/>
  </xdr:twoCellAnchor>
  <xdr:twoCellAnchor editAs="oneCell">
    <xdr:from>
      <xdr:col>44</xdr:col>
      <xdr:colOff>247650</xdr:colOff>
      <xdr:row>18</xdr:row>
      <xdr:rowOff>0</xdr:rowOff>
    </xdr:from>
    <xdr:to>
      <xdr:col>54</xdr:col>
      <xdr:colOff>345936</xdr:colOff>
      <xdr:row>65</xdr:row>
      <xdr:rowOff>1057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44424600" y="2895600"/>
          <a:ext cx="6194285" cy="9335557"/>
        </a:xfrm>
        <a:prstGeom prst="rect">
          <a:avLst/>
        </a:prstGeom>
      </xdr:spPr>
    </xdr:pic>
    <xdr:clientData/>
  </xdr:twoCellAnchor>
  <xdr:twoCellAnchor editAs="oneCell">
    <xdr:from>
      <xdr:col>54</xdr:col>
      <xdr:colOff>295275</xdr:colOff>
      <xdr:row>18</xdr:row>
      <xdr:rowOff>0</xdr:rowOff>
    </xdr:from>
    <xdr:to>
      <xdr:col>64</xdr:col>
      <xdr:colOff>384672</xdr:colOff>
      <xdr:row>45</xdr:row>
      <xdr:rowOff>79308</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50568225" y="2895600"/>
          <a:ext cx="6185397" cy="560380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38100</xdr:colOff>
          <xdr:row>10</xdr:row>
          <xdr:rowOff>28575</xdr:rowOff>
        </xdr:from>
        <xdr:to>
          <xdr:col>2</xdr:col>
          <xdr:colOff>1695450</xdr:colOff>
          <xdr:row>10</xdr:row>
          <xdr:rowOff>238125</xdr:rowOff>
        </xdr:to>
        <xdr:sp macro="" textlink="">
          <xdr:nvSpPr>
            <xdr:cNvPr id="7169" name="ASRHAE2010CheckBox"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1695450</xdr:colOff>
          <xdr:row>8</xdr:row>
          <xdr:rowOff>209550</xdr:rowOff>
        </xdr:to>
        <xdr:sp macro="" textlink="">
          <xdr:nvSpPr>
            <xdr:cNvPr id="7170" name="Title24_2019"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9525</xdr:rowOff>
        </xdr:from>
        <xdr:to>
          <xdr:col>2</xdr:col>
          <xdr:colOff>1990725</xdr:colOff>
          <xdr:row>13</xdr:row>
          <xdr:rowOff>9525</xdr:rowOff>
        </xdr:to>
        <xdr:sp macro="" textlink="">
          <xdr:nvSpPr>
            <xdr:cNvPr id="7171" name="ASHRAE2016CheckBox"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2</xdr:col>
          <xdr:colOff>1990725</xdr:colOff>
          <xdr:row>14</xdr:row>
          <xdr:rowOff>9525</xdr:rowOff>
        </xdr:to>
        <xdr:sp macro="" textlink="">
          <xdr:nvSpPr>
            <xdr:cNvPr id="7172" name="ASHRAE2019CheckBox"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xdr:row>
          <xdr:rowOff>28575</xdr:rowOff>
        </xdr:from>
        <xdr:to>
          <xdr:col>2</xdr:col>
          <xdr:colOff>1676400</xdr:colOff>
          <xdr:row>9</xdr:row>
          <xdr:rowOff>238125</xdr:rowOff>
        </xdr:to>
        <xdr:sp macro="" textlink="">
          <xdr:nvSpPr>
            <xdr:cNvPr id="7178" name="ASHRAE2007Lighting" hidden="1">
              <a:extLst>
                <a:ext uri="{63B3BB69-23CF-44E3-9099-C40C66FF867C}">
                  <a14:compatExt spid="_x0000_s7178"/>
                </a:ext>
                <a:ext uri="{FF2B5EF4-FFF2-40B4-BE49-F238E27FC236}">
                  <a16:creationId xmlns:a16="http://schemas.microsoft.com/office/drawing/2014/main" id="{00000000-0008-0000-05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28575</xdr:rowOff>
        </xdr:from>
        <xdr:to>
          <xdr:col>2</xdr:col>
          <xdr:colOff>1695450</xdr:colOff>
          <xdr:row>11</xdr:row>
          <xdr:rowOff>238125</xdr:rowOff>
        </xdr:to>
        <xdr:sp macro="" textlink="">
          <xdr:nvSpPr>
            <xdr:cNvPr id="7179" name="ASHRAE2013Lighting"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3</xdr:col>
      <xdr:colOff>352425</xdr:colOff>
      <xdr:row>7</xdr:row>
      <xdr:rowOff>9525</xdr:rowOff>
    </xdr:from>
    <xdr:to>
      <xdr:col>3</xdr:col>
      <xdr:colOff>3067685</xdr:colOff>
      <xdr:row>7</xdr:row>
      <xdr:rowOff>1838325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a:clrChange>
            <a:clrFrom>
              <a:srgbClr val="000000"/>
            </a:clrFrom>
            <a:clrTo>
              <a:srgbClr val="000000">
                <a:alpha val="0"/>
              </a:srgbClr>
            </a:clrTo>
          </a:clrChange>
        </a:blip>
        <a:stretch>
          <a:fillRect/>
        </a:stretch>
      </xdr:blipFill>
      <xdr:spPr>
        <a:xfrm>
          <a:off x="2430780" y="3162300"/>
          <a:ext cx="2720975" cy="1828800"/>
        </a:xfrm>
        <a:prstGeom prst="rect">
          <a:avLst/>
        </a:prstGeom>
      </xdr:spPr>
    </xdr:pic>
    <xdr:clientData/>
  </xdr:twoCellAnchor>
  <xdr:twoCellAnchor>
    <xdr:from>
      <xdr:col>4</xdr:col>
      <xdr:colOff>409574</xdr:colOff>
      <xdr:row>7</xdr:row>
      <xdr:rowOff>9525</xdr:rowOff>
    </xdr:from>
    <xdr:to>
      <xdr:col>4</xdr:col>
      <xdr:colOff>3162474</xdr:colOff>
      <xdr:row>7</xdr:row>
      <xdr:rowOff>1838325</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clrChange>
            <a:clrFrom>
              <a:srgbClr val="000000"/>
            </a:clrFrom>
            <a:clrTo>
              <a:srgbClr val="000000">
                <a:alpha val="0"/>
              </a:srgbClr>
            </a:clrTo>
          </a:clrChange>
        </a:blip>
        <a:stretch>
          <a:fillRect/>
        </a:stretch>
      </xdr:blipFill>
      <xdr:spPr>
        <a:xfrm>
          <a:off x="6103619" y="3162300"/>
          <a:ext cx="2750995" cy="1828800"/>
        </a:xfrm>
        <a:prstGeom prst="rect">
          <a:avLst/>
        </a:prstGeom>
      </xdr:spPr>
    </xdr:pic>
    <xdr:clientData/>
  </xdr:twoCellAnchor>
  <xdr:twoCellAnchor>
    <xdr:from>
      <xdr:col>5</xdr:col>
      <xdr:colOff>518169</xdr:colOff>
      <xdr:row>7</xdr:row>
      <xdr:rowOff>23401</xdr:rowOff>
    </xdr:from>
    <xdr:to>
      <xdr:col>5</xdr:col>
      <xdr:colOff>3220609</xdr:colOff>
      <xdr:row>7</xdr:row>
      <xdr:rowOff>1805399</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2606945" y="3196907"/>
          <a:ext cx="2702440" cy="178199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161924</xdr:colOff>
      <xdr:row>39</xdr:row>
      <xdr:rowOff>152943</xdr:rowOff>
    </xdr:from>
    <xdr:to>
      <xdr:col>4</xdr:col>
      <xdr:colOff>938892</xdr:colOff>
      <xdr:row>71</xdr:row>
      <xdr:rowOff>176892</xdr:rowOff>
    </xdr:to>
    <xdr:graphicFrame macro="">
      <xdr:nvGraphicFramePr>
        <xdr:cNvPr id="2" name="Chart 1">
          <a:extLst>
            <a:ext uri="{FF2B5EF4-FFF2-40B4-BE49-F238E27FC236}">
              <a16:creationId xmlns:a16="http://schemas.microsoft.com/office/drawing/2014/main" id="{00000000-0008-0000-0800-000002000000}"/>
            </a:ext>
            <a:ext uri="{147F2762-F138-4A5C-976F-8EAC2B608ADB}">
              <a16:predDERef xmlns:a16="http://schemas.microsoft.com/office/drawing/2014/main" pre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904874</xdr:colOff>
      <xdr:row>40</xdr:row>
      <xdr:rowOff>2720</xdr:rowOff>
    </xdr:from>
    <xdr:to>
      <xdr:col>14</xdr:col>
      <xdr:colOff>911678</xdr:colOff>
      <xdr:row>72</xdr:row>
      <xdr:rowOff>54428</xdr:rowOff>
    </xdr:to>
    <xdr:graphicFrame macro="">
      <xdr:nvGraphicFramePr>
        <xdr:cNvPr id="4" name="Chart 3">
          <a:extLst>
            <a:ext uri="{FF2B5EF4-FFF2-40B4-BE49-F238E27FC236}">
              <a16:creationId xmlns:a16="http://schemas.microsoft.com/office/drawing/2014/main" id="{D92E1711-16EC-5DF7-F16B-0DD16C0DDD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176891</xdr:colOff>
      <xdr:row>74</xdr:row>
      <xdr:rowOff>0</xdr:rowOff>
    </xdr:from>
    <xdr:to>
      <xdr:col>5</xdr:col>
      <xdr:colOff>14966</xdr:colOff>
      <xdr:row>106</xdr:row>
      <xdr:rowOff>23949</xdr:rowOff>
    </xdr:to>
    <xdr:graphicFrame macro="">
      <xdr:nvGraphicFramePr>
        <xdr:cNvPr id="6" name="Chart 5">
          <a:extLst>
            <a:ext uri="{FF2B5EF4-FFF2-40B4-BE49-F238E27FC236}">
              <a16:creationId xmlns:a16="http://schemas.microsoft.com/office/drawing/2014/main" id="{40091985-5646-437A-8BE0-1CCB4EB29D4A}"/>
            </a:ext>
            <a:ext uri="{147F2762-F138-4A5C-976F-8EAC2B608ADB}">
              <a16:predDERef xmlns:a16="http://schemas.microsoft.com/office/drawing/2014/main" pre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275165</xdr:colOff>
      <xdr:row>6</xdr:row>
      <xdr:rowOff>195263</xdr:rowOff>
    </xdr:from>
    <xdr:to>
      <xdr:col>27</xdr:col>
      <xdr:colOff>171238</xdr:colOff>
      <xdr:row>21</xdr:row>
      <xdr:rowOff>187537</xdr:rowOff>
    </xdr:to>
    <xdr:graphicFrame macro="">
      <xdr:nvGraphicFramePr>
        <xdr:cNvPr id="2" name="Chart 1">
          <a:extLst>
            <a:ext uri="{FF2B5EF4-FFF2-40B4-BE49-F238E27FC236}">
              <a16:creationId xmlns:a16="http://schemas.microsoft.com/office/drawing/2014/main" id="{B760BB50-68CB-4995-9B21-D1495833B8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243410</xdr:colOff>
      <xdr:row>28</xdr:row>
      <xdr:rowOff>4762</xdr:rowOff>
    </xdr:from>
    <xdr:to>
      <xdr:col>27</xdr:col>
      <xdr:colOff>179917</xdr:colOff>
      <xdr:row>43</xdr:row>
      <xdr:rowOff>9525</xdr:rowOff>
    </xdr:to>
    <xdr:graphicFrame macro="">
      <xdr:nvGraphicFramePr>
        <xdr:cNvPr id="4" name="Chart 3">
          <a:extLst>
            <a:ext uri="{FF2B5EF4-FFF2-40B4-BE49-F238E27FC236}">
              <a16:creationId xmlns:a16="http://schemas.microsoft.com/office/drawing/2014/main" id="{550CB0CD-3F55-447F-8E9B-79BB98212AD0}"/>
            </a:ext>
            <a:ext uri="{147F2762-F138-4A5C-976F-8EAC2B608ADB}">
              <a16:predDERef xmlns:a16="http://schemas.microsoft.com/office/drawing/2014/main" pre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243410</xdr:colOff>
      <xdr:row>49</xdr:row>
      <xdr:rowOff>4762</xdr:rowOff>
    </xdr:from>
    <xdr:to>
      <xdr:col>27</xdr:col>
      <xdr:colOff>179917</xdr:colOff>
      <xdr:row>64</xdr:row>
      <xdr:rowOff>9525</xdr:rowOff>
    </xdr:to>
    <xdr:graphicFrame macro="">
      <xdr:nvGraphicFramePr>
        <xdr:cNvPr id="6" name="Chart 5">
          <a:extLst>
            <a:ext uri="{FF2B5EF4-FFF2-40B4-BE49-F238E27FC236}">
              <a16:creationId xmlns:a16="http://schemas.microsoft.com/office/drawing/2014/main" id="{934A1D1A-7916-4483-B1AE-89C1D119FB1F}"/>
            </a:ext>
            <a:ext uri="{147F2762-F138-4A5C-976F-8EAC2B608ADB}">
              <a16:predDERef xmlns:a16="http://schemas.microsoft.com/office/drawing/2014/main" pre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70</xdr:row>
      <xdr:rowOff>4762</xdr:rowOff>
    </xdr:from>
    <xdr:to>
      <xdr:col>26</xdr:col>
      <xdr:colOff>276225</xdr:colOff>
      <xdr:row>85</xdr:row>
      <xdr:rowOff>9525</xdr:rowOff>
    </xdr:to>
    <xdr:graphicFrame macro="">
      <xdr:nvGraphicFramePr>
        <xdr:cNvPr id="8" name="Chart 7">
          <a:extLst>
            <a:ext uri="{FF2B5EF4-FFF2-40B4-BE49-F238E27FC236}">
              <a16:creationId xmlns:a16="http://schemas.microsoft.com/office/drawing/2014/main" id="{DE0602E2-9631-4D47-8FE7-4E7CC5678DC5}"/>
            </a:ext>
            <a:ext uri="{147F2762-F138-4A5C-976F-8EAC2B608ADB}">
              <a16:predDERef xmlns:a16="http://schemas.microsoft.com/office/drawing/2014/main" pre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91</xdr:row>
      <xdr:rowOff>4762</xdr:rowOff>
    </xdr:from>
    <xdr:to>
      <xdr:col>26</xdr:col>
      <xdr:colOff>276225</xdr:colOff>
      <xdr:row>106</xdr:row>
      <xdr:rowOff>9525</xdr:rowOff>
    </xdr:to>
    <xdr:graphicFrame macro="">
      <xdr:nvGraphicFramePr>
        <xdr:cNvPr id="10" name="Chart 9">
          <a:extLst>
            <a:ext uri="{FF2B5EF4-FFF2-40B4-BE49-F238E27FC236}">
              <a16:creationId xmlns:a16="http://schemas.microsoft.com/office/drawing/2014/main" id="{B7DDB7EC-1461-4D87-896D-E5BDDC23C24F}"/>
            </a:ext>
            <a:ext uri="{147F2762-F138-4A5C-976F-8EAC2B608ADB}">
              <a16:predDERef xmlns:a16="http://schemas.microsoft.com/office/drawing/2014/main" pre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112</xdr:row>
      <xdr:rowOff>4762</xdr:rowOff>
    </xdr:from>
    <xdr:to>
      <xdr:col>26</xdr:col>
      <xdr:colOff>276225</xdr:colOff>
      <xdr:row>127</xdr:row>
      <xdr:rowOff>9525</xdr:rowOff>
    </xdr:to>
    <xdr:graphicFrame macro="">
      <xdr:nvGraphicFramePr>
        <xdr:cNvPr id="12" name="Chart 11">
          <a:extLst>
            <a:ext uri="{FF2B5EF4-FFF2-40B4-BE49-F238E27FC236}">
              <a16:creationId xmlns:a16="http://schemas.microsoft.com/office/drawing/2014/main" id="{9544E294-0BCA-4DD8-AFD8-05F9A5DC05CA}"/>
            </a:ext>
            <a:ext uri="{147F2762-F138-4A5C-976F-8EAC2B608ADB}">
              <a16:predDERef xmlns:a16="http://schemas.microsoft.com/office/drawing/2014/main" pre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7</xdr:row>
      <xdr:rowOff>4762</xdr:rowOff>
    </xdr:from>
    <xdr:to>
      <xdr:col>27</xdr:col>
      <xdr:colOff>181823</xdr:colOff>
      <xdr:row>22</xdr:row>
      <xdr:rowOff>7620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275168</xdr:colOff>
      <xdr:row>7</xdr:row>
      <xdr:rowOff>4762</xdr:rowOff>
    </xdr:from>
    <xdr:to>
      <xdr:col>56</xdr:col>
      <xdr:colOff>179918</xdr:colOff>
      <xdr:row>22</xdr:row>
      <xdr:rowOff>9525</xdr:rowOff>
    </xdr:to>
    <xdr:graphicFrame macro="">
      <xdr:nvGraphicFramePr>
        <xdr:cNvPr id="3" name="Chart 2">
          <a:extLst>
            <a:ext uri="{FF2B5EF4-FFF2-40B4-BE49-F238E27FC236}">
              <a16:creationId xmlns:a16="http://schemas.microsoft.com/office/drawing/2014/main" id="{00000000-0008-0000-0D00-000003000000}"/>
            </a:ext>
            <a:ext uri="{147F2762-F138-4A5C-976F-8EAC2B608ADB}">
              <a16:predDERef xmlns:a16="http://schemas.microsoft.com/office/drawing/2014/main" pre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243410</xdr:colOff>
      <xdr:row>28</xdr:row>
      <xdr:rowOff>4762</xdr:rowOff>
    </xdr:from>
    <xdr:to>
      <xdr:col>27</xdr:col>
      <xdr:colOff>179917</xdr:colOff>
      <xdr:row>43</xdr:row>
      <xdr:rowOff>9525</xdr:rowOff>
    </xdr:to>
    <xdr:graphicFrame macro="">
      <xdr:nvGraphicFramePr>
        <xdr:cNvPr id="4" name="Chart 3">
          <a:extLst>
            <a:ext uri="{FF2B5EF4-FFF2-40B4-BE49-F238E27FC236}">
              <a16:creationId xmlns:a16="http://schemas.microsoft.com/office/drawing/2014/main" id="{00000000-0008-0000-0D00-000004000000}"/>
            </a:ext>
            <a:ext uri="{147F2762-F138-4A5C-976F-8EAC2B608ADB}">
              <a16:predDERef xmlns:a16="http://schemas.microsoft.com/office/drawing/2014/main" pre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243410</xdr:colOff>
      <xdr:row>28</xdr:row>
      <xdr:rowOff>0</xdr:rowOff>
    </xdr:from>
    <xdr:to>
      <xdr:col>56</xdr:col>
      <xdr:colOff>179917</xdr:colOff>
      <xdr:row>43</xdr:row>
      <xdr:rowOff>4763</xdr:rowOff>
    </xdr:to>
    <xdr:graphicFrame macro="">
      <xdr:nvGraphicFramePr>
        <xdr:cNvPr id="5" name="Chart 4">
          <a:extLst>
            <a:ext uri="{FF2B5EF4-FFF2-40B4-BE49-F238E27FC236}">
              <a16:creationId xmlns:a16="http://schemas.microsoft.com/office/drawing/2014/main" id="{00000000-0008-0000-0D00-000005000000}"/>
            </a:ext>
            <a:ext uri="{147F2762-F138-4A5C-976F-8EAC2B608ADB}">
              <a16:predDERef xmlns:a16="http://schemas.microsoft.com/office/drawing/2014/main" pre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243410</xdr:colOff>
      <xdr:row>49</xdr:row>
      <xdr:rowOff>4762</xdr:rowOff>
    </xdr:from>
    <xdr:to>
      <xdr:col>27</xdr:col>
      <xdr:colOff>179917</xdr:colOff>
      <xdr:row>64</xdr:row>
      <xdr:rowOff>9525</xdr:rowOff>
    </xdr:to>
    <xdr:graphicFrame macro="">
      <xdr:nvGraphicFramePr>
        <xdr:cNvPr id="6" name="Chart 5">
          <a:extLst>
            <a:ext uri="{FF2B5EF4-FFF2-40B4-BE49-F238E27FC236}">
              <a16:creationId xmlns:a16="http://schemas.microsoft.com/office/drawing/2014/main" id="{00000000-0008-0000-0D00-000006000000}"/>
            </a:ext>
            <a:ext uri="{147F2762-F138-4A5C-976F-8EAC2B608ADB}">
              <a16:predDERef xmlns:a16="http://schemas.microsoft.com/office/drawing/2014/main" pre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243410</xdr:colOff>
      <xdr:row>49</xdr:row>
      <xdr:rowOff>0</xdr:rowOff>
    </xdr:from>
    <xdr:to>
      <xdr:col>56</xdr:col>
      <xdr:colOff>179917</xdr:colOff>
      <xdr:row>64</xdr:row>
      <xdr:rowOff>4763</xdr:rowOff>
    </xdr:to>
    <xdr:graphicFrame macro="">
      <xdr:nvGraphicFramePr>
        <xdr:cNvPr id="7" name="Chart 6">
          <a:extLst>
            <a:ext uri="{FF2B5EF4-FFF2-40B4-BE49-F238E27FC236}">
              <a16:creationId xmlns:a16="http://schemas.microsoft.com/office/drawing/2014/main" id="{00000000-0008-0000-0D00-000007000000}"/>
            </a:ext>
            <a:ext uri="{147F2762-F138-4A5C-976F-8EAC2B608ADB}">
              <a16:predDERef xmlns:a16="http://schemas.microsoft.com/office/drawing/2014/main" pre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70</xdr:row>
      <xdr:rowOff>4762</xdr:rowOff>
    </xdr:from>
    <xdr:to>
      <xdr:col>26</xdr:col>
      <xdr:colOff>276225</xdr:colOff>
      <xdr:row>85</xdr:row>
      <xdr:rowOff>9525</xdr:rowOff>
    </xdr:to>
    <xdr:graphicFrame macro="">
      <xdr:nvGraphicFramePr>
        <xdr:cNvPr id="8" name="Chart 7">
          <a:extLst>
            <a:ext uri="{FF2B5EF4-FFF2-40B4-BE49-F238E27FC236}">
              <a16:creationId xmlns:a16="http://schemas.microsoft.com/office/drawing/2014/main" id="{00000000-0008-0000-0D00-000008000000}"/>
            </a:ext>
            <a:ext uri="{147F2762-F138-4A5C-976F-8EAC2B608ADB}">
              <a16:predDERef xmlns:a16="http://schemas.microsoft.com/office/drawing/2014/main" pre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31</xdr:col>
      <xdr:colOff>0</xdr:colOff>
      <xdr:row>70</xdr:row>
      <xdr:rowOff>0</xdr:rowOff>
    </xdr:from>
    <xdr:to>
      <xdr:col>55</xdr:col>
      <xdr:colOff>276225</xdr:colOff>
      <xdr:row>85</xdr:row>
      <xdr:rowOff>4763</xdr:rowOff>
    </xdr:to>
    <xdr:graphicFrame macro="">
      <xdr:nvGraphicFramePr>
        <xdr:cNvPr id="9" name="Chart 8">
          <a:extLst>
            <a:ext uri="{FF2B5EF4-FFF2-40B4-BE49-F238E27FC236}">
              <a16:creationId xmlns:a16="http://schemas.microsoft.com/office/drawing/2014/main" id="{00000000-0008-0000-0D00-000009000000}"/>
            </a:ext>
            <a:ext uri="{147F2762-F138-4A5C-976F-8EAC2B608ADB}">
              <a16:predDERef xmlns:a16="http://schemas.microsoft.com/office/drawing/2014/main" pre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91</xdr:row>
      <xdr:rowOff>4762</xdr:rowOff>
    </xdr:from>
    <xdr:to>
      <xdr:col>26</xdr:col>
      <xdr:colOff>276225</xdr:colOff>
      <xdr:row>106</xdr:row>
      <xdr:rowOff>9525</xdr:rowOff>
    </xdr:to>
    <xdr:graphicFrame macro="">
      <xdr:nvGraphicFramePr>
        <xdr:cNvPr id="10" name="Chart 9">
          <a:extLst>
            <a:ext uri="{FF2B5EF4-FFF2-40B4-BE49-F238E27FC236}">
              <a16:creationId xmlns:a16="http://schemas.microsoft.com/office/drawing/2014/main" id="{00000000-0008-0000-0D00-00000A000000}"/>
            </a:ext>
            <a:ext uri="{147F2762-F138-4A5C-976F-8EAC2B608ADB}">
              <a16:predDERef xmlns:a16="http://schemas.microsoft.com/office/drawing/2014/main" pre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31</xdr:col>
      <xdr:colOff>0</xdr:colOff>
      <xdr:row>91</xdr:row>
      <xdr:rowOff>0</xdr:rowOff>
    </xdr:from>
    <xdr:to>
      <xdr:col>55</xdr:col>
      <xdr:colOff>276225</xdr:colOff>
      <xdr:row>106</xdr:row>
      <xdr:rowOff>4763</xdr:rowOff>
    </xdr:to>
    <xdr:graphicFrame macro="">
      <xdr:nvGraphicFramePr>
        <xdr:cNvPr id="11" name="Chart 10">
          <a:extLst>
            <a:ext uri="{FF2B5EF4-FFF2-40B4-BE49-F238E27FC236}">
              <a16:creationId xmlns:a16="http://schemas.microsoft.com/office/drawing/2014/main" id="{00000000-0008-0000-0D00-00000B000000}"/>
            </a:ext>
            <a:ext uri="{147F2762-F138-4A5C-976F-8EAC2B608ADB}">
              <a16:predDERef xmlns:a16="http://schemas.microsoft.com/office/drawing/2014/main" pre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112</xdr:row>
      <xdr:rowOff>4762</xdr:rowOff>
    </xdr:from>
    <xdr:to>
      <xdr:col>26</xdr:col>
      <xdr:colOff>276225</xdr:colOff>
      <xdr:row>127</xdr:row>
      <xdr:rowOff>9525</xdr:rowOff>
    </xdr:to>
    <xdr:graphicFrame macro="">
      <xdr:nvGraphicFramePr>
        <xdr:cNvPr id="12" name="Chart 11">
          <a:extLst>
            <a:ext uri="{FF2B5EF4-FFF2-40B4-BE49-F238E27FC236}">
              <a16:creationId xmlns:a16="http://schemas.microsoft.com/office/drawing/2014/main" id="{00000000-0008-0000-0D00-00000C000000}"/>
            </a:ext>
            <a:ext uri="{147F2762-F138-4A5C-976F-8EAC2B608ADB}">
              <a16:predDERef xmlns:a16="http://schemas.microsoft.com/office/drawing/2014/main" pre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31</xdr:col>
      <xdr:colOff>0</xdr:colOff>
      <xdr:row>112</xdr:row>
      <xdr:rowOff>0</xdr:rowOff>
    </xdr:from>
    <xdr:to>
      <xdr:col>55</xdr:col>
      <xdr:colOff>276225</xdr:colOff>
      <xdr:row>127</xdr:row>
      <xdr:rowOff>4763</xdr:rowOff>
    </xdr:to>
    <xdr:graphicFrame macro="">
      <xdr:nvGraphicFramePr>
        <xdr:cNvPr id="13" name="Chart 12">
          <a:extLst>
            <a:ext uri="{FF2B5EF4-FFF2-40B4-BE49-F238E27FC236}">
              <a16:creationId xmlns:a16="http://schemas.microsoft.com/office/drawing/2014/main" id="{00000000-0008-0000-0D00-00000D000000}"/>
            </a:ext>
            <a:ext uri="{147F2762-F138-4A5C-976F-8EAC2B608ADB}">
              <a16:predDERef xmlns:a16="http://schemas.microsoft.com/office/drawing/2014/main" pre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19050</xdr:colOff>
          <xdr:row>0</xdr:row>
          <xdr:rowOff>0</xdr:rowOff>
        </xdr:from>
        <xdr:to>
          <xdr:col>22</xdr:col>
          <xdr:colOff>990600</xdr:colOff>
          <xdr:row>1</xdr:row>
          <xdr:rowOff>190500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1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6600"/>
                  </a:solidFill>
                  <a:latin typeface="Calibri"/>
                  <a:ea typeface="Calibri"/>
                  <a:cs typeface="Calibri"/>
                </a:rPr>
                <a:t>Copy IES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2</xdr:col>
          <xdr:colOff>990600</xdr:colOff>
          <xdr:row>1</xdr:row>
          <xdr:rowOff>190500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11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6600"/>
                  </a:solidFill>
                  <a:latin typeface="Calibri"/>
                  <a:ea typeface="Calibri"/>
                  <a:cs typeface="Calibri"/>
                </a:rPr>
                <a:t>Create New Table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314325</xdr:colOff>
          <xdr:row>0</xdr:row>
          <xdr:rowOff>0</xdr:rowOff>
        </xdr:from>
        <xdr:to>
          <xdr:col>2</xdr:col>
          <xdr:colOff>0</xdr:colOff>
          <xdr:row>1</xdr:row>
          <xdr:rowOff>9525</xdr:rowOff>
        </xdr:to>
        <xdr:sp macro="" textlink="">
          <xdr:nvSpPr>
            <xdr:cNvPr id="17410" name="Check Box 2" hidden="1">
              <a:extLst>
                <a:ext uri="{63B3BB69-23CF-44E3-9099-C40C66FF867C}">
                  <a14:compatExt spid="_x0000_s17410"/>
                </a:ext>
                <a:ext uri="{FF2B5EF4-FFF2-40B4-BE49-F238E27FC236}">
                  <a16:creationId xmlns:a16="http://schemas.microsoft.com/office/drawing/2014/main" id="{00000000-0008-0000-1400-00000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garske\Desktop\v4v4%201_Indoor%20Water%20Use%20Reduction%20Calculator_v04_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Group 1"/>
      <sheetName val="Base Calc"/>
      <sheetName val="Lowrise Indoor Water Use"/>
      <sheetName val="Lowrise Wastewater Use"/>
      <sheetName val="Summary D+C"/>
      <sheetName val="Summary O+M"/>
      <sheetName val="Summary ND"/>
    </sheetNames>
    <sheetDataSet>
      <sheetData sheetId="0"/>
      <sheetData sheetId="1"/>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Kyle Garske" id="{ED8EA72E-BAB2-459C-922A-FF3D5D870467}" userId="S::kgarske@aeieng.com::b1f81de7-f2a1-4739-bb8d-dcabb466c84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70A6E9-4CEC-410E-88E2-49FD7FC4EB29}" name="MasterRoomList_SpaceTypeSummary" displayName="MasterRoomList_SpaceTypeSummary" ref="Q15:Z66" totalsRowCount="1" headerRowDxfId="583" dataDxfId="581" headerRowBorderDxfId="582" tableBorderDxfId="580">
  <autoFilter ref="Q15:Z65" xr:uid="{172E5068-5950-4CC2-A492-98CBA3DBEA26}"/>
  <tableColumns count="10">
    <tableColumn id="1" xr3:uid="{5378A5C9-2F1D-4C47-AE44-CC2AEBCF921B}" name="Row" totalsRowLabel="Total" dataDxfId="579" totalsRowDxfId="10"/>
    <tableColumn id="5" xr3:uid="{2427F61B-9996-40D8-9A88-0D3D6B325208}" name="SpaceType" dataDxfId="578" totalsRowDxfId="9"/>
    <tableColumn id="2" xr3:uid="{65BB9E7E-4697-4F08-A63D-E7636DA0A11B}" name="Number of Spaces" dataDxfId="577" totalsRowDxfId="8">
      <calculatedColumnFormula>IFERROR(IF(COUNTIF(MasterRoomList_SpaceTypeTable[Space Type],MasterRoomList_SpaceTypeSummary[[#This Row],[SpaceType]])=0,"",COUNTIF(MasterRoomList_SpaceTypeTable[Space Type],MasterRoomList_SpaceTypeSummary[[#This Row],[SpaceType]])),"")</calculatedColumnFormula>
    </tableColumn>
    <tableColumn id="3" xr3:uid="{6FBDB0CA-EBB0-4FBE-A1FE-17DF423ABE16}" name="Area (sqft)" totalsRowFunction="sum" dataDxfId="576" totalsRowDxfId="7">
      <calculatedColumnFormula>IF(SUMIF(MasterRoomList_SpaceTypeTable[Space Type],MasterRoomList_SpaceTypeSummary[[#This Row],[SpaceType]],MasterRoomList_SpaceTypeTable[Area (sf)])=0,"",SUMIF(MasterRoomList_SpaceTypeTable[Space Type],MasterRoomList_SpaceTypeSummary[[#This Row],[SpaceType]],MasterRoomList_SpaceTypeTable[Area (sf)]))</calculatedColumnFormula>
    </tableColumn>
    <tableColumn id="4" xr3:uid="{794A9C17-0F7E-47BB-9582-1245B2437FE0}" name="% of Total Area" dataDxfId="575" totalsRowDxfId="6">
      <calculatedColumnFormula>IFERROR(MasterRoomList_SpaceTypeSummary[[#This Row],[Area (sqft)]]/$T$67,"")</calculatedColumnFormula>
    </tableColumn>
    <tableColumn id="6" xr3:uid="{0133BD61-5C4A-407C-BDAE-9DBDBB470673}" name="Lighting Power Density (W/sqft)" totalsRowFunction="average" dataDxfId="574" totalsRowDxfId="5">
      <calculatedColumnFormula>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calculatedColumnFormula>
    </tableColumn>
    <tableColumn id="7" xr3:uid="{73B3EEDA-8D6E-4492-B9E8-F5D34DB30404}" name="Equipment Power Density (W/sqft)" totalsRowFunction="average" dataDxfId="573" totalsRowDxfId="4">
      <calculatedColumnFormula>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calculatedColumnFormula>
    </tableColumn>
    <tableColumn id="8" xr3:uid="{D625BCFA-3955-4357-948C-AA3D5469FE42}" name="Occupants (# of People)" totalsRowFunction="count" dataDxfId="572" totalsRowDxfId="3">
      <calculatedColumnFormula>IF(SUMIF(MasterRoomList_SpaceTypeTable[Space Type],MasterRoomList_SpaceTypeSummary[[#This Row],[SpaceType]],MasterRoomList_SpaceTypeTable[Area (sf)])=0,"",AVERAGEIF(MasterRoomList_SpaceTypeTable[Space Type],MasterRoomList_SpaceTypeSummary[[#This Row],[SpaceType]],MasterRoomList_SpaceTypeTable[Occupants ('# of People)]))</calculatedColumnFormula>
    </tableColumn>
    <tableColumn id="9" xr3:uid="{82F55295-B8C9-45B2-9932-1573C3117AB7}" name="Typical Setpoint (F)" dataDxfId="0" totalsRowDxfId="2">
      <calculatedColumnFormula>IFERROR(AVERAGEIF(MasterRoomList_SpaceTypeTable[Space Name],MasterRoomList_SpaceTypeSummary[[#This Row],[SpaceType]],MasterRoomList_SpaceTypeTable[Temperature Setpoint F]),"")</calculatedColumnFormula>
    </tableColumn>
    <tableColumn id="10" xr3:uid="{58F562DB-DE4F-404B-B17C-171495AD2141}" name="Typical Setback (F)" dataDxfId="11" totalsRowDxfId="1">
      <calculatedColumnFormula>IFERROR(AVERAGEIF(MasterRoomList_SpaceTypeTable[Space Name],MasterRoomList_SpaceTypeSummary[[#This Row],[SpaceType]],MasterRoomList_SpaceTypeTable[Temperature Setback F]),"")</calculatedColumnFormula>
    </tableColumn>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230586-3BAF-439F-BC82-4CD59EAB0D42}" name="MasterRoomList_SpaceTypeTable" displayName="MasterRoomList_SpaceTypeTable" ref="B15:L313" totalsRowShown="0" headerRowDxfId="571" headerRowBorderDxfId="570" tableBorderDxfId="569">
  <autoFilter ref="B15:L313" xr:uid="{85AF1910-625E-4F50-81DD-559FF85C13CE}"/>
  <tableColumns count="11">
    <tableColumn id="1" xr3:uid="{81671328-5C6F-47A4-AD6F-FD01CE967F0F}" name="Row"/>
    <tableColumn id="6" xr3:uid="{BD70B44F-B5BD-4101-9485-28E39FF4D406}" name="Space Number" dataDxfId="568"/>
    <tableColumn id="2" xr3:uid="{09B9BDF0-8D99-47D8-85C6-21DCEA43DE6B}" name="Space Name" dataDxfId="567"/>
    <tableColumn id="3" xr3:uid="{529ED390-458C-43AC-B2A9-FB6E2BC82E51}" name="Achitectural Space Name" dataDxfId="566"/>
    <tableColumn id="4" xr3:uid="{4EA3DF56-23BB-4276-A8F3-4F8F467CB618}" name="Space Type" dataDxfId="565"/>
    <tableColumn id="5" xr3:uid="{7DBB7E93-9412-4B46-BE94-E4972D5B4114}" name="Area (sf)" dataDxfId="564"/>
    <tableColumn id="7" xr3:uid="{F67C6374-F023-4F14-ABB7-A311904EA04B}" name="Lighting Power Density (W/sqft)" dataDxfId="563"/>
    <tableColumn id="9" xr3:uid="{6463C6ED-5CCF-4378-8A67-CA97CEB47A4A}" name="Equipment Power Density (W/sqft)" dataDxfId="562"/>
    <tableColumn id="8" xr3:uid="{BC7B850D-0D86-46B5-93D5-E8C7DFC0EB75}" name="Occupants (# of People)" dataDxfId="561"/>
    <tableColumn id="11" xr3:uid="{24E0BC4D-8A9E-4D18-A499-D0DB7F0E5A88}" name="Temperature Setpoint F" dataDxfId="12"/>
    <tableColumn id="10" xr3:uid="{8DC30480-4D00-4EB5-BBFF-14B926451A73}" name="Temperature Setback F" dataDxfId="560"/>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1DA5763-0885-471F-80FF-DB66830B970C}" name="Space_Type_QAQC" displayName="Space_Type_QAQC" ref="T3:U12" totalsRowShown="0" headerRowDxfId="559">
  <autoFilter ref="T3:U12" xr:uid="{31DA5763-0885-471F-80FF-DB66830B970C}"/>
  <tableColumns count="2">
    <tableColumn id="1" xr3:uid="{234A53FF-EF25-4A88-882E-CDACDF7BE4C5}" name="Model Run"/>
    <tableColumn id="2" xr3:uid="{6FF9496D-0A8B-4E0D-8B14-4EBE56BA140E}" name="Space Import Status"/>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685D838-7595-4123-B5C5-10D4024230AB}" name="WeatherLegend" displayName="WeatherLegend" ref="S11:T40" totalsRowShown="0" headerRowDxfId="558" dataDxfId="557">
  <autoFilter ref="S11:T40" xr:uid="{7A281D30-E9EE-4A10-BBDD-D874A121B9DD}"/>
  <sortState xmlns:xlrd2="http://schemas.microsoft.com/office/spreadsheetml/2017/richdata2" ref="S12:T40">
    <sortCondition ref="S11:S40"/>
  </sortState>
  <tableColumns count="2">
    <tableColumn id="1" xr3:uid="{149FBFCB-8E5A-4991-8709-B60A26DEF2BB}" name="Symbol" dataDxfId="556"/>
    <tableColumn id="2" xr3:uid="{225DEAA6-B834-4B17-9050-7FA986C3AC84}" name="Meaning" dataDxfId="55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9FB4A85-63EB-4144-9191-EC6C9E447B4D}" name="OccupancyAssumptions" displayName="OccupancyAssumptions" ref="B17:AV67" totalsRowShown="0" headerRowDxfId="554" dataDxfId="552" headerRowBorderDxfId="553" tableBorderDxfId="551">
  <autoFilter ref="B17:AV67" xr:uid="{92D5CC40-2CA6-48E7-8875-CE0FA81F1B68}"/>
  <tableColumns count="47">
    <tableColumn id="1" xr3:uid="{847733A0-1348-4CA0-A08C-B9515355E2B9}" name="Row" dataDxfId="550"/>
    <tableColumn id="5" xr3:uid="{D9EEE966-69A5-46BB-98AD-891B3BE6B047}" name="Space Type" dataDxfId="549">
      <calculatedColumnFormula>IF('Master Room List'!R16="","",'Master Room List'!R16)</calculatedColumnFormula>
    </tableColumn>
    <tableColumn id="6" xr3:uid="{89452A43-9792-497D-BED4-4DADDD75A5B7}" name="Area (sqft)" dataDxfId="548">
      <calculatedColumnFormula>IF(OccupancyAssumptions[[#This Row],[Space Type]]="","-",VLOOKUP(OccupancyAssumptions[[#This Row],[Space Type]],MasterRoomList_SpaceTypeSummary[[#All],[SpaceType]:[% of Total Area]],3,FALSE))</calculatedColumnFormula>
    </tableColumn>
    <tableColumn id="7" xr3:uid="{5ACCB40D-C81A-4AEB-A00E-B719D7A2536B}" name="Primary Function Area" dataDxfId="547"/>
    <tableColumn id="8" xr3:uid="{7F9A305F-873A-4EAE-9587-26CA271B99F3}" name="T24 Area Outdoor Air Rate_x000a_[CFM/SF]" dataDxfId="546">
      <calculatedColumnFormula>IF(OccupancyAssumptions[[#This Row],[Space Type]]="","",INDEX('Raw Data - Occupancy'!$V$6:$Z$92,MATCH(OccupancyAssumptions[[#This Row],[Primary Function Area]],'Raw Data - Occupancy'!$V$6:$V$92,0),MATCH('Raw Data - Occupancy'!$W$6,'Raw Data - Occupancy'!$V$6:$Z$6,0)))</calculatedColumnFormula>
    </tableColumn>
    <tableColumn id="2" xr3:uid="{3720DFF7-F756-4299-8BB7-6DDF3AAA3198}" name="T24 Min Air Rate  for DCV_x000a_[CFM/SF]" dataDxfId="545">
      <calculatedColumnFormula>IF(OccupancyAssumptions[[#This Row],[Space Type]]="","",INDEX('Raw Data - Occupancy'!$V$6:$Z$92,MATCH(OccupancyAssumptions[[#This Row],[Primary Function Area]],'Raw Data - Occupancy'!$V$6:$V$92,0),MATCH('Raw Data - Occupancy'!$X$6,'Raw Data - Occupancy'!$V$6:$Z$6,0)))</calculatedColumnFormula>
    </tableColumn>
    <tableColumn id="3" xr3:uid="{A6C16591-80D8-4D04-A170-AC039777E2C7}" name="T24 Min Air for People [CFM/Person]" dataDxfId="544">
      <calculatedColumnFormula>IF(OccupancyAssumptions[[#This Row],[Space Type]]="","",15)</calculatedColumnFormula>
    </tableColumn>
    <tableColumn id="9" xr3:uid="{047C220E-466E-4C85-AD3B-9C60EFA66990}" name="Occupant Density_x000a_[People/1000SF]" dataDxfId="543">
      <calculatedColumnFormula>IFERROR(INDEX('Raw Data - Occupancy'!$AW$7:$BB$85,MATCH(OccupancyAssumptions[[#This Row],[ASHRAE 2019 Space Type]],'Raw Data - Occupancy'!$AW$7:$AW$85,0),MATCH("#/1000 ft2 (#/100 m2)",'Raw Data - Occupancy'!$AW$7:$BB$7,0)),"")</calculatedColumnFormula>
    </tableColumn>
    <tableColumn id="12" xr3:uid="{B9873A13-5077-48E0-B34C-0F5E5E052E7D}" name="Occupants_x000a_[# of People]" dataDxfId="542">
      <calculatedColumnFormula>IFERROR(OccupancyAssumptions[[#This Row],[Occupant Density
'[People/1000SF']]]*OccupancyAssumptions[[#This Row],[Area (sqft)]]/1000,"")</calculatedColumnFormula>
    </tableColumn>
    <tableColumn id="4" xr3:uid="{AAF0F51C-1238-4FA2-970A-DF405D0CC1BA}" name="T24 DCV Required?" dataDxfId="541">
      <calculatedColumnFormula>IF(OccupancyAssumptions[[#This Row],[Occupant Density
'[People/1000SF']]]="","",IF(OccupancyAssumptions[[#This Row],[Occupant Density
'[People/1000SF']]]&gt;=50,"YES","NO"))</calculatedColumnFormula>
    </tableColumn>
    <tableColumn id="23" xr3:uid="{52AB9631-F2CE-4E42-BB20-FDEB6E7BF74A}" name="ASHRAE 2007 Space Type" dataDxfId="540"/>
    <tableColumn id="24" xr3:uid="{70903AAD-E4BB-43F0-9E20-9AEEC6935EDC}" name="ASHRAE 2007 Min Airflow per Person _x000a_[CFM/Person]" dataDxfId="539">
      <calculatedColumnFormula>IFERROR(INDEX('Raw Data - Occupancy'!$AB$7:$AG$85,MATCH(OccupancyAssumptions[[#This Row],[ASHRAE 2007 Space Type]],'Raw Data - Occupancy'!$AB$7:$AB$85,0),MATCH("Rp (CFM/per)",'Raw Data - Occupancy'!$AB$7:$AG$7,0)),"")</calculatedColumnFormula>
    </tableColumn>
    <tableColumn id="25" xr3:uid="{DA38308E-AC3C-4FED-8F97-9919CD5469B9}" name="ASHRAE 2007 Min Airflow Per Area_x000a_[CFM/SF]" dataDxfId="538">
      <calculatedColumnFormula>IFERROR(INDEX('Raw Data - Occupancy'!$AB$7:$AG$85,MATCH(OccupancyAssumptions[[#This Row],[ASHRAE 2007 Space Type]],'Raw Data - Occupancy'!$AB$7:$AB$85,0),MATCH("Ra (cfm/ft2)",'Raw Data - Occupancy'!$AB$7:$AG$7,0)),"")</calculatedColumnFormula>
    </tableColumn>
    <tableColumn id="26" xr3:uid="{894AD2B4-0E1B-4E48-A37B-40A342AFFA76}" name="ASHRAE 2007 Occupant Density_x000a_[People/1000SF]" dataDxfId="537">
      <calculatedColumnFormula>IFERROR(INDEX('Raw Data - Occupancy'!$AB$7:$AG$85,MATCH(OccupancyAssumptions[[#This Row],[ASHRAE 2007 Space Type]],'Raw Data - Occupancy'!$AB$7:$AB$85,0),MATCH("#/1000 ft2 (#/100 m2)",'Raw Data - Occupancy'!$AB$7:$AG$7,0)),"")</calculatedColumnFormula>
    </tableColumn>
    <tableColumn id="27" xr3:uid="{D5301FDA-01A6-431B-9399-3F71CCCFEFA7}" name="ASHRAE 2007 Occupants_x000a_[# of People]" dataDxfId="536">
      <calculatedColumnFormula>IFERROR(OccupancyAssumptions[[#This Row],[ASHRAE 2007 Occupant Density
'[People/1000SF']]]*OccupancyAssumptions[[#This Row],[Area (sqft)]]/1000,"")</calculatedColumnFormula>
    </tableColumn>
    <tableColumn id="29" xr3:uid="{85DD039E-EC42-4561-A407-16C915A26EEE}" name="ASHRAE 2007 DCV Required?" dataDxfId="535">
      <calculatedColumnFormula>IF(OccupancyAssumptions[[#This Row],[ASHRAE 2007 Occupant Density
'[People/1000SF']]]="","",IF(OccupancyAssumptions[[#This Row],[ASHRAE 2007 Occupant Density
'[People/1000SF']]]&gt;=50,"YES","NO"))</calculatedColumnFormula>
    </tableColumn>
    <tableColumn id="36" xr3:uid="{34311DE6-A0A0-4B96-9AE8-D7894CE6B03E}" name="ASHRAE 2010 Space Type" dataDxfId="534"/>
    <tableColumn id="37" xr3:uid="{481BE143-508A-4636-B152-9330F9771D2B}" name="ASHRAE 2010 Min Airflow per Person _x000a_[CFM/Person]" dataDxfId="533">
      <calculatedColumnFormula>IFERROR(INDEX('Raw Data - Occupancy'!$AI$7:$AN$85,MATCH(OccupancyAssumptions[[#This Row],[ASHRAE 2010 Space Type]],'Raw Data - Occupancy'!$AI$7:$AI$85,0),MATCH("Rp (CFM/per)",'Raw Data - Occupancy'!$AI$7:$AN$7,0)),"")</calculatedColumnFormula>
    </tableColumn>
    <tableColumn id="38" xr3:uid="{AF187E1A-DB20-49C8-B605-2E14495B50DF}" name="ASHRAE 2010 Min Airflow Per Area_x000a_[CFM/SF]" dataDxfId="532">
      <calculatedColumnFormula>IFERROR(INDEX('Raw Data - Occupancy'!$AI$7:$AN$85,MATCH(OccupancyAssumptions[[#This Row],[ASHRAE 2010 Space Type]],'Raw Data - Occupancy'!$AI$7:$AI$85,0),MATCH("Ra (cfm/ft2)",'Raw Data - Occupancy'!$AI$7:$AN$7,0)),"")</calculatedColumnFormula>
    </tableColumn>
    <tableColumn id="39" xr3:uid="{4DA3073B-D3B9-4F96-A90A-A2ED4A5E2BEB}" name="ASHRAE 2010 Occupant Density_x000a_[People/1000SF]" dataDxfId="531">
      <calculatedColumnFormula>IFERROR(INDEX('Raw Data - Occupancy'!$AI$7:$AN$85,MATCH(OccupancyAssumptions[[#This Row],[ASHRAE 2010 Space Type]],'Raw Data - Occupancy'!$AI$7:$AI$85,0),MATCH("#/1000 ft2 (#/100 m2)",'Raw Data - Occupancy'!$AI$7:$AN$7,0)),"")</calculatedColumnFormula>
    </tableColumn>
    <tableColumn id="40" xr3:uid="{ED65BF3D-3BC1-4973-AA21-B5F15DC0E6ED}" name="ASHRAE 2010 Occupants_x000a_[# of People]" dataDxfId="530">
      <calculatedColumnFormula>IFERROR(OccupancyAssumptions[[#This Row],[ASHRAE 2010 Occupant Density
'[People/1000SF']]]*OccupancyAssumptions[[#This Row],[Area (sqft)]]/1000,"")</calculatedColumnFormula>
    </tableColumn>
    <tableColumn id="41" xr3:uid="{4833954C-FBFC-499A-BCBE-F33DD16AEF5E}" name="ASHRAE 2010 DCV Required?" dataDxfId="529">
      <calculatedColumnFormula>IF(OccupancyAssumptions[[#This Row],[ASHRAE 2010 Occupant Density
'[People/1000SF']]]="","",IF(OccupancyAssumptions[[#This Row],[ASHRAE 2010 Occupant Density
'[People/1000SF']]]&gt;=50,"YES","NO"))</calculatedColumnFormula>
    </tableColumn>
    <tableColumn id="30" xr3:uid="{DD8A49DE-EC27-477F-B0CB-B865CCAD1589}" name="ASHRAE 2013 Space Type" dataDxfId="528"/>
    <tableColumn id="31" xr3:uid="{865E1660-CEF5-4B49-AF68-E2E42086359E}" name="ASHRAE 2013 Min Airflow per Person _x000a_[CFM/Person]" dataDxfId="527">
      <calculatedColumnFormula>IFERROR(INDEX('Raw Data - Occupancy'!$AP$7:$AU$85,MATCH(OccupancyAssumptions[[#This Row],[ASHRAE 2013 Space Type]],'Raw Data - Occupancy'!$AP$7:$AP$85,0),MATCH("Rp (CFM/per)",'Raw Data - Occupancy'!$AP$7:$AU$7,0)),"")</calculatedColumnFormula>
    </tableColumn>
    <tableColumn id="32" xr3:uid="{641446A3-1428-404E-8061-5D9A9C820B51}" name="ASHRAE 2013 Min Airflow Per Area_x000a_[CFM/SF]" dataDxfId="526">
      <calculatedColumnFormula>IFERROR(INDEX('Raw Data - Occupancy'!$AP$7:$AU$85,MATCH(OccupancyAssumptions[[#This Row],[ASHRAE 2013 Space Type]],'Raw Data - Occupancy'!$AP$7:$AP$85,0),MATCH("Ra (cfm/ft2)",'Raw Data - Occupancy'!$AP$7:$AU$7,0)),"")</calculatedColumnFormula>
    </tableColumn>
    <tableColumn id="33" xr3:uid="{3303AB9F-5711-421E-9548-E3BD228FD451}" name="ASHRAE 2013 Occupant Density_x000a_[People/1000SF]" dataDxfId="525">
      <calculatedColumnFormula>IFERROR(INDEX('Raw Data - Occupancy'!$AP$7:$AU$85,MATCH(OccupancyAssumptions[[#This Row],[ASHRAE 2013 Space Type]],'Raw Data - Occupancy'!$AP$7:$AP$85,0),MATCH("#/1000 ft2 (#/100 m2)",'Raw Data - Occupancy'!$AP$7:$AU$7,0)),"")</calculatedColumnFormula>
    </tableColumn>
    <tableColumn id="34" xr3:uid="{BE686FBF-C676-4078-9BE6-F183D0578086}" name="ASHRAE 2013 Occupants_x000a_[# of People]" dataDxfId="524">
      <calculatedColumnFormula>IFERROR(OccupancyAssumptions[[#This Row],[ASHRAE 2013 Occupant Density
'[People/1000SF']]]*OccupancyAssumptions[[#This Row],[Area (sqft)]]/1000,"")</calculatedColumnFormula>
    </tableColumn>
    <tableColumn id="35" xr3:uid="{557E77BA-0E63-4183-B540-930DFE178139}" name="ASHRAE 2013 DCV Required?" dataDxfId="523">
      <calculatedColumnFormula>IF(OccupancyAssumptions[[#This Row],[ASHRAE 2013 Occupant Density
'[People/1000SF']]]="","",IF(OccupancyAssumptions[[#This Row],[ASHRAE 2013 Occupant Density
'[People/1000SF']]]&gt;=50,"YES","NO"))</calculatedColumnFormula>
    </tableColumn>
    <tableColumn id="42" xr3:uid="{B7C131F9-6FE0-45B2-BDC1-3D9864947DE8}" name="ASHRAE 2016 Space Type" dataDxfId="522"/>
    <tableColumn id="43" xr3:uid="{89A67AA5-3D5A-4FEB-B15F-E0D28F9814AF}" name="ASHRAE 2016 Min Airflow per Person _x000a_[CFM/Person]" dataDxfId="521">
      <calculatedColumnFormula>IFERROR(INDEX('Raw Data - Occupancy'!$AW$7:$BB$85,MATCH(OccupancyAssumptions[[#This Row],[ASHRAE 2016 Space Type]],'Raw Data - Occupancy'!$AW$7:$AW$85,0),MATCH("Rp (CFM/per)",'Raw Data - Occupancy'!$AW$7:$BB$7,0)),"")</calculatedColumnFormula>
    </tableColumn>
    <tableColumn id="44" xr3:uid="{E2A5A938-5F46-474E-AFB4-81AFF699BCEF}" name="ASHRAE 2016 Min Airflow Per Area_x000a_[CFM/SF]" dataDxfId="520">
      <calculatedColumnFormula>IFERROR(INDEX('Raw Data - Occupancy'!$AW$7:$BB$85,MATCH(OccupancyAssumptions[[#This Row],[ASHRAE 2016 Space Type]],'Raw Data - Occupancy'!$AW$7:$AW$85,0),MATCH("Ra (cfm/ft2)",'Raw Data - Occupancy'!$AW$7:$BB$7,0)),"")</calculatedColumnFormula>
    </tableColumn>
    <tableColumn id="45" xr3:uid="{BF310F55-629D-450C-963F-A4486C89D9A0}" name="ASHRAE 2016 Occupant Density_x000a_[People/1000SF]" dataDxfId="519">
      <calculatedColumnFormula>IFERROR(INDEX('Raw Data - Occupancy'!$AW$7:$BB$85,MATCH(OccupancyAssumptions[[#This Row],[ASHRAE 2016 Space Type]],'Raw Data - Occupancy'!$AW$7:$AW$85,0),MATCH("#/1000 ft2 (#/100 m2)",'Raw Data - Occupancy'!$AW$7:$BB$7,0)),"")</calculatedColumnFormula>
    </tableColumn>
    <tableColumn id="46" xr3:uid="{E4C01992-FAB0-43E7-A8EF-084FAFCEB089}" name="ASHRAE 2016 Occupants_x000a_[# of People]" dataDxfId="518">
      <calculatedColumnFormula>IFERROR(OccupancyAssumptions[[#This Row],[ASHRAE 2016 Occupant Density
'[People/1000SF']]]*OccupancyAssumptions[[#This Row],[Area (sqft)]]/1000,"")</calculatedColumnFormula>
    </tableColumn>
    <tableColumn id="47" xr3:uid="{AEBD2CED-E456-47EA-BD4C-EF669ED00C5C}" name="ASHRAE 2016 DCV Required?" dataDxfId="517">
      <calculatedColumnFormula>IF(OccupancyAssumptions[[#This Row],[ASHRAE 2016 Occupant Density
'[People/1000SF']]]="","",IF(OccupancyAssumptions[[#This Row],[ASHRAE 2016 Occupant Density
'[People/1000SF']]]&gt;=50,"YES","NO"))</calculatedColumnFormula>
    </tableColumn>
    <tableColumn id="28" xr3:uid="{F032FB44-3AEB-4055-9A1D-E273EC79F59F}" name="ASHRAE 2019 Space Type" dataDxfId="516"/>
    <tableColumn id="19" xr3:uid="{C301549D-1D00-4DF5-89D2-4F12B55DA88D}" name="ASHRAE 2019 Min Airflow per Person _x000a_[CFM/Person]" dataDxfId="515">
      <calculatedColumnFormula>IFERROR(INDEX('Raw Data - Occupancy'!$AW$7:$BB$85,MATCH(OccupancyAssumptions[[#This Row],[ASHRAE 2019 Space Type]],'Raw Data - Occupancy'!$AW$7:$AW$85,0),MATCH("Rp (CFM/per)",'Raw Data - Occupancy'!$AW$7:$BB$7,0)),"")</calculatedColumnFormula>
    </tableColumn>
    <tableColumn id="20" xr3:uid="{D67509E9-D536-4F44-931B-249EE25F6444}" name="ASHRAE 2019 Min Airflow Per Area_x000a_[CFM/SF]" dataDxfId="514">
      <calculatedColumnFormula>IFERROR(INDEX('Raw Data - Occupancy'!$AW$7:$BB$85,MATCH(OccupancyAssumptions[[#This Row],[ASHRAE 2019 Space Type]],'Raw Data - Occupancy'!$AW$7:$AW$85,0),MATCH("Ra (cfm/ft2)",'Raw Data - Occupancy'!$AW$7:$BB$7,0)),"")</calculatedColumnFormula>
    </tableColumn>
    <tableColumn id="10" xr3:uid="{256E5C5C-AA21-4A0B-B8D3-E1B7387DA8A2}" name="ASHRAE 2019 Occupant Density_x000a_[People/1000SF]" dataDxfId="513">
      <calculatedColumnFormula>IFERROR(INDEX('Raw Data - Occupancy'!$AW$7:$BB$85,MATCH(OccupancyAssumptions[[#This Row],[ASHRAE 2019 Space Type]],'Raw Data - Occupancy'!$AW$7:$AW$85,0),MATCH("#/1000 ft2 (#/100 m2)",'Raw Data - Occupancy'!$AW$7:$BB$7,0)),"")</calculatedColumnFormula>
    </tableColumn>
    <tableColumn id="21" xr3:uid="{14EAF2F5-6A3E-4AFC-868E-F1A43B413093}" name="ASHRAE 2019 Occupants_x000a_[# of People]" dataDxfId="512">
      <calculatedColumnFormula>IFERROR(OccupancyAssumptions[[#This Row],[ASHRAE 2019 Occupant Density
'[People/1000SF']]]*OccupancyAssumptions[[#This Row],[Area (sqft)]]/1000,"")</calculatedColumnFormula>
    </tableColumn>
    <tableColumn id="11" xr3:uid="{02C26817-AE5C-4CA2-9E8F-47174E219807}" name="ASHRAE 2019 DCV Required?" dataDxfId="511">
      <calculatedColumnFormula>IF(OccupancyAssumptions[[#This Row],[ASHRAE 2019 Occupant Density
'[People/1000SF']]]="","",IF(OccupancyAssumptions[[#This Row],[ASHRAE 2019 Occupant Density
'[People/1000SF']]]&gt;=50,"YES","NO"))</calculatedColumnFormula>
    </tableColumn>
    <tableColumn id="16" xr3:uid="{6BED8C77-6113-48E7-815A-C2D5C4FAA4A1}" name="Design Min Airflow_x000a_[CFM/sqft]" dataDxfId="510"/>
    <tableColumn id="14" xr3:uid="{860BFBF5-A75E-4D20-AF25-DD79D2B02EF0}" name="Design Min Total ACH" dataDxfId="509"/>
    <tableColumn id="15" xr3:uid="{D06B9C43-D90B-4365-AB74-6FC869C5E64B}" name="Design Min OA ACH" dataDxfId="508"/>
    <tableColumn id="13" xr3:uid="{43E51B7C-9E85-4FAF-96EB-B31142ED61C1}" name="Design Occupant Density [SF/Person]" dataDxfId="507"/>
    <tableColumn id="18" xr3:uid="{3BFC9ED5-51BA-4465-AAAF-CDE12B3C87AD}" name="Design Occupant Density_x000a_[People/1000SF]" dataDxfId="506">
      <calculatedColumnFormula>IFERROR(1000/OccupancyAssumptions[[#This Row],[Design Occupant Density '[SF/Person']]],"-")</calculatedColumnFormula>
    </tableColumn>
    <tableColumn id="22" xr3:uid="{76B6F38E-C62B-4AAF-839C-C7BA4A2A5C81}" name="Design DCV Required?" dataDxfId="505">
      <calculatedColumnFormula>IF(OccupancyAssumptions[[#This Row],[Design Occupant Density
'[People/1000SF']]]="-","",IF(OccupancyAssumptions[[#This Row],[Design Occupant Density
'[People/1000SF']]]&gt;=50,"YES","NO"))</calculatedColumnFormula>
    </tableColumn>
    <tableColumn id="17" xr3:uid="{CCFB3D6C-F2A2-4433-8F93-E4F9FCF46B97}" name="Notes" dataDxfId="504"/>
  </tableColumns>
  <tableStyleInfo name="TableStyleLight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13DF16E-6CA5-4D9B-8F7B-3623D8A9A6F1}" name="LightingAssumptions" displayName="LightingAssumptions" ref="B19:AF69" totalsRowShown="0" headerRowDxfId="503" dataDxfId="501" headerRowBorderDxfId="502" tableBorderDxfId="500">
  <autoFilter ref="B19:AF69" xr:uid="{2CB1E1C2-A90D-4A04-9585-A4267C9E8B52}"/>
  <tableColumns count="31">
    <tableColumn id="1" xr3:uid="{91423AFD-EEC5-444D-988D-D295A751E7C4}" name="Row" dataDxfId="499"/>
    <tableColumn id="5" xr3:uid="{8755BD55-CBDC-4473-9C4E-472F4E5C9336}" name="SpaceType" dataDxfId="498">
      <calculatedColumnFormula>IF('Master Room List'!R16="","",'Master Room List'!R16)</calculatedColumnFormula>
    </tableColumn>
    <tableColumn id="6" xr3:uid="{7D989FBD-BEFE-4C83-8538-6BCBF125BE9A}" name="Area (sqft)" dataDxfId="497">
      <calculatedColumnFormula>IF(LightingAssumptions[[#This Row],[SpaceType]]="","-",VLOOKUP(LightingAssumptions[[#This Row],[SpaceType]],MasterRoomList_SpaceTypeSummary[[#All],[SpaceType]:[Number of Spaces]],2,FALSE))</calculatedColumnFormula>
    </tableColumn>
    <tableColumn id="7" xr3:uid="{75FD527F-0010-45CA-9C37-F74F1960CC83}" name="Primary Function Area" dataDxfId="496"/>
    <tableColumn id="8" xr3:uid="{385A2FD6-CC39-4A42-A05F-7653D831F5AC}" name="Allowed LPD (W/sqft)" dataDxfId="495">
      <calculatedColumnFormula>IFERROR(VLOOKUP(E20,'Raw Data - Lighting'!$AG$3:$AH$77,2,FALSE),"")</calculatedColumnFormula>
    </tableColumn>
    <tableColumn id="2" xr3:uid="{0DA70A72-41DD-4357-A904-216AEC9C2A83}" name="Qualified Lighting System 1" dataDxfId="494"/>
    <tableColumn id="3" xr3:uid="{581387C7-8E5B-46CF-ABCF-300DAED01C50}" name="Additional Allowance (W/sqft, unless noted otherwise)" dataDxfId="493">
      <calculatedColumnFormula>IFERROR(IF(OR(VLOOKUP($E20,'Raw Data - Lighting'!$AG$3:$AJ$76,3,FALSE)=$G20,VLOOKUP($E20,'Raw Data - Lighting'!$AG$3:$AJ$76,4,FALSE)=$G20),VLOOKUP($G20,'Raw Data - Lighting'!$AL$4:$AM$18,2,FALSE),IF($G20="-","","This Qualified Lighting System does not correspond with the Primary Function Area")),"")</calculatedColumnFormula>
    </tableColumn>
    <tableColumn id="14" xr3:uid="{5735C504-5FA0-4AB1-B84D-A70E8F6A3C33}" name="Qualified Lighting System 2" dataDxfId="492"/>
    <tableColumn id="20" xr3:uid="{B28546FF-9C75-4CE1-A2B3-91E508550AC6}" name="Additional Allowance (W/sqft, unless noted otherwise)2" dataDxfId="491">
      <calculatedColumnFormula>IFERROR(IF(OR(VLOOKUP($E20,'Raw Data - Lighting'!$AG$3:$AJ$76,3,FALSE)=$I20,VLOOKUP($E20,'Raw Data - Lighting'!$AG$3:$AJ$76,4,FALSE)=$I20),VLOOKUP($I20,'Raw Data - Lighting'!$AL$4:$AM$18,2,FALSE),IF($I20="-","","This Qualified Lighting System does not correspond with the Primary Function Area")),"")</calculatedColumnFormula>
    </tableColumn>
    <tableColumn id="15" xr3:uid="{9B86B43A-58A0-4E0E-B312-EB74BDC89D34}" name="Total Allowed LPD (W/sqft, Unless noted otherwise)" dataDxfId="490">
      <calculatedColumnFormula>IF(AND(G20="-",I20="-"),LightingAssumptions[[#This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calculatedColumnFormula>
    </tableColumn>
    <tableColumn id="12" xr3:uid="{3EF80DA1-6847-442C-87A4-0E288E6C3441}" name="ASHRAE 2007 Space Type" dataDxfId="489"/>
    <tableColumn id="13" xr3:uid="{00CD78EA-04E4-4C74-85E1-CD42E19BDC58}" name="LPD_x000a_W/sqft" dataDxfId="488">
      <calculatedColumnFormula>IFERROR(VLOOKUP(LightingAssumptions[[#This Row],[ASHRAE 2007 Space Type]],'Raw Data - Lighting'!$C$4:$E$121,2,FALSE),"")</calculatedColumnFormula>
    </tableColumn>
    <tableColumn id="18" xr3:uid="{14890B3B-C66E-410E-9D00-600A982DAA78}" name="RCR_x000a_Threshold" dataDxfId="487">
      <calculatedColumnFormula>IFERROR(VLOOKUP(LightingAssumptions[[#This Row],[ASHRAE 2007 Space Type]],'Raw Data - Lighting'!$C$4:$E$121,3,FALSE),"")</calculatedColumnFormula>
    </tableColumn>
    <tableColumn id="28" xr3:uid="{A1C95D17-DD87-43A4-A5D3-6DC4048DCE01}" name="ASHRAE 2010 Space Type" dataDxfId="486"/>
    <tableColumn id="29" xr3:uid="{EA5D4989-A112-4A84-B094-752402EA7823}" name="LPD_x000a_W/sqft3" dataDxfId="485">
      <calculatedColumnFormula>IFERROR(VLOOKUP(LightingAssumptions[[#This Row],[ASHRAE 2010 Space Type]],'Raw Data - Lighting'!$I$4:$K$121,2,FALSE),"")</calculatedColumnFormula>
    </tableColumn>
    <tableColumn id="30" xr3:uid="{B935129F-4009-4AE2-81D0-223183BA337F}" name="RCR_x000a_Threshold4" dataDxfId="484">
      <calculatedColumnFormula>IFERROR(VLOOKUP(LightingAssumptions[[#This Row],[ASHRAE 2010 Space Type]],'Raw Data - Lighting'!$I$4:$K$121,3,FALSE),"")</calculatedColumnFormula>
    </tableColumn>
    <tableColumn id="19" xr3:uid="{023EA9C4-E52F-4DFF-BABB-13C0B4C4FE32}" name="ASHRAE 2013 Space Type" dataDxfId="483"/>
    <tableColumn id="22" xr3:uid="{83012777-076B-4912-A023-237BE5457630}" name="LPD_x000a_W/sqft33" dataDxfId="482">
      <calculatedColumnFormula>IFERROR(VLOOKUP(LightingAssumptions[[#This Row],[ASHRAE 2013 Space Type]],'Raw Data - Lighting'!$O$4:$Q$121,2,FALSE),"")</calculatedColumnFormula>
    </tableColumn>
    <tableColumn id="31" xr3:uid="{883DC2B4-12B2-42B5-BA5B-A7289975BA67}" name="RCR_x000a_Threshold44" dataDxfId="481">
      <calculatedColumnFormula>IFERROR(VLOOKUP(LightingAssumptions[[#This Row],[ASHRAE 2013 Space Type]],'Raw Data - Lighting'!$O$4:$Q$121,3,FALSE),"")</calculatedColumnFormula>
    </tableColumn>
    <tableColumn id="25" xr3:uid="{36D3B8DB-A305-4071-B0EF-09DB58561476}" name="ASHRAE 2016 Space Type" dataDxfId="480"/>
    <tableColumn id="26" xr3:uid="{29F58C4C-5CA0-408E-8674-58D0A1BC53E0}" name="LPD-_x000a_W/sqft" dataDxfId="479">
      <calculatedColumnFormula>IFERROR(VLOOKUP(LightingAssumptions[[#This Row],[ASHRAE 2016 Space Type]],'Raw Data - Lighting'!$U$4:$W$131,2,FALSE),"")</calculatedColumnFormula>
    </tableColumn>
    <tableColumn id="27" xr3:uid="{9101ADB9-3519-4365-A24E-7AB4AF618E2A}" name="RCR,_x000a_Threshold" dataDxfId="478">
      <calculatedColumnFormula>IFERROR(VLOOKUP(LightingAssumptions[[#This Row],[ASHRAE 2016 Space Type]],'Raw Data - Lighting'!$U$4:$W$131,3,FALSE),"")</calculatedColumnFormula>
    </tableColumn>
    <tableColumn id="23" xr3:uid="{9E1844E8-E0D9-429A-B126-FC36247DA542}" name="ASHRAE 2019 Space Type" dataDxfId="477"/>
    <tableColumn id="24" xr3:uid="{F4ED401A-E1BB-4EC9-91EF-0ED2E7868DDC}" name="LPD,_x000a_W/sqft" dataDxfId="476">
      <calculatedColumnFormula>IFERROR(VLOOKUP(LightingAssumptions[[#This Row],[ASHRAE 2019 Space Type]],'Raw Data - Lighting'!$AA$4:$AC$128,2,FALSE),"")</calculatedColumnFormula>
    </tableColumn>
    <tableColumn id="21" xr3:uid="{EA487499-6DAB-44A7-A008-4355D8A7E572}" name="RCR Threshold" dataDxfId="475">
      <calculatedColumnFormula>IFERROR(VLOOKUP(LightingAssumptions[[#This Row],[ASHRAE 2019 Space Type]],'Raw Data - Lighting'!$AA$4:$AC$128,3,FALSE),"")</calculatedColumnFormula>
    </tableColumn>
    <tableColumn id="16" xr3:uid="{D596CDFC-B238-48BA-B6A1-5014BCBB8FE6}" name="Min Code LPD _x000a_[W/sqft]" dataDxfId="474">
      <calculatedColumnFormula>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calculatedColumnFormula>
    </tableColumn>
    <tableColumn id="4" xr3:uid="{B4017D19-3D30-4FF4-8B03-FF498EBF812A}" name="MinCode LPD Reference" dataDxfId="473">
      <calculatedColumnFormula>IFERROR(IF(LightingAssumptions[[#This Row],[Min Code LPD 
'[W/sqft']]]="","",INDEX($E$16:$Z$20,1,MATCH(LightingAssumptions[[#This Row],[Min Code LPD 
'[W/sqft']]],LightingAssumptions[[#This Row],[Primary Function Area]:[RCR Threshold]],0))),"")</calculatedColumnFormula>
    </tableColumn>
    <tableColumn id="9" xr3:uid="{DD6F17C5-D7A4-4604-99EA-E3033DC0A083}" name="Design LPD _x000a_[W/sqft]" dataDxfId="472"/>
    <tableColumn id="10" xr3:uid="{A0CD7CA5-5630-4F5D-9C45-266D6739B59E}" name="Improvement over Baseline_x000a_[%]" dataDxfId="471" dataCellStyle="Percent">
      <calculatedColumnFormula>IFERROR(IF(LightingAssumptions[[#This Row],[Design LPD 
'[W/sqft']]]="","",1-LightingAssumptions[[#This Row],[Design LPD 
'[W/sqft']]]/LightingAssumptions[[#This Row],[Min Code LPD 
'[W/sqft']]]),"")</calculatedColumnFormula>
    </tableColumn>
    <tableColumn id="11" xr3:uid="{582601C0-F4E2-446B-8C47-B6876A872002}" name="EPD_x000a_[W/sqft]" dataDxfId="470" dataCellStyle="Percent"/>
    <tableColumn id="17" xr3:uid="{832475BC-3AFC-484C-9212-94256C8F6585}" name="Notes" dataDxfId="469"/>
  </tableColumns>
  <tableStyleInfo name="TableStyleLight2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D8FECEA-8DC0-4B97-B63F-810181B2C586}" name="Utility_Rates" displayName="Utility_Rates" ref="A1:E10" totalsRowShown="0">
  <autoFilter ref="A1:E10" xr:uid="{0D8FECEA-8DC0-4B97-B63F-810181B2C586}"/>
  <tableColumns count="5">
    <tableColumn id="1" xr3:uid="{6808DA26-4633-4223-9000-DA2F53069581}" name="Utility Provider"/>
    <tableColumn id="2" xr3:uid="{25AA4DF4-2CF3-450E-A771-53ECAC613E4B}" name="Power Type"/>
    <tableColumn id="3" xr3:uid="{8E59A01E-B2DD-4A3A-AA30-131D8725691E}" name="Unit of Measurement"/>
    <tableColumn id="4" xr3:uid="{E6CC3886-4B5D-4A20-BA8D-90E1E28B2C11}" name="Cost per Measurement" dataCellStyle="Currency"/>
    <tableColumn id="5" xr3:uid="{E32DE1DA-DC79-4C27-8FB3-8174CA5F1201}" name="Cost ($/kBTU) Conversion" dataDxfId="468">
      <calculatedColumnFormula>IFERROR(Utility_Rates[[#This Row],[Cost per Measurement]]*VLOOKUP(Utility_Rates[[#This Row],[Unit of Measurement]],Utility_UnitConversion[],3,FALSE),"")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ED1ADCF-FC84-4939-86E1-70DD209A5758}" name="Utility_UnitConversion" displayName="Utility_UnitConversion" ref="A14:C19" totalsRowShown="0">
  <autoFilter ref="A14:C19" xr:uid="{4ED1ADCF-FC84-4939-86E1-70DD209A5758}"/>
  <tableColumns count="3">
    <tableColumn id="1" xr3:uid="{62085546-D518-4AF5-80C6-A160C9A0F5E4}" name="Unit Start"/>
    <tableColumn id="2" xr3:uid="{D4CD309B-EDE8-439D-9D71-BB47C64CE1A5}" name="Unit End"/>
    <tableColumn id="3" xr3:uid="{F7D6DF79-B137-4159-A144-4B611BDF3311}" name="Multiplication Factor" dataDxfId="467"/>
  </tableColumns>
  <tableStyleInfo name="TableStyleLight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AF75E85-074F-4B64-8D72-F64CB55FF87B}" name="ECMData_Summary" displayName="ECMData_Summary" ref="A6:K14" headerRowCount="0" totalsRowShown="0" headerRowDxfId="466" dataDxfId="465" tableBorderDxfId="464">
  <tableColumns count="11">
    <tableColumn id="1" xr3:uid="{9E122E3F-9F96-4F4C-8601-9DF3BF5267CC}" name="Column1" headerRowDxfId="463" dataDxfId="462"/>
    <tableColumn id="2" xr3:uid="{6B27A43B-138A-440C-93FA-75A45ADE139C}" name="Column2" headerRowDxfId="461" dataDxfId="460">
      <calculatedColumnFormula>OFFSET('ECM Data'!$A$1,MATCH('ECM Reports'!$A7,'ECM Data'!$A:$A,0)-1,1)</calculatedColumnFormula>
    </tableColumn>
    <tableColumn id="3" xr3:uid="{A5ADADA7-BA07-4EE0-9C4D-E52A9BEF4493}" name="Column3" headerRowDxfId="459" dataDxfId="458">
      <calculatedColumnFormula>OFFSET('ECM Data'!$A$1,MATCH('ECM Reports'!$A6,'ECM Data'!$A:$A,0)+6,1)</calculatedColumnFormula>
    </tableColumn>
    <tableColumn id="4" xr3:uid="{4133EB18-9416-4235-BC65-103281E20386}" name="Column4" headerRowDxfId="457" dataDxfId="456">
      <calculatedColumnFormula>OFFSET('ECM Data'!$A$1,MATCH('ECM Reports'!$A6,'ECM Data'!$A:$A,0)+7,1)</calculatedColumnFormula>
    </tableColumn>
    <tableColumn id="5" xr3:uid="{E5A9C6E1-0657-4451-8A22-2C995F1CA4EC}" name="Column5" headerRowDxfId="455" dataDxfId="454">
      <calculatedColumnFormula>OFFSET('ECM Data'!$A$1,MATCH('ECM Reports'!$A6,'ECM Data'!$A:$A,0)+8,1)</calculatedColumnFormula>
    </tableColumn>
    <tableColumn id="11" xr3:uid="{8E7535EE-C83A-4B77-98C2-92786085EF22}" name="Column11" headerRowDxfId="453" dataDxfId="452">
      <calculatedColumnFormula>IFERROR(ECMData_Summary[[#This Row],[Column5]]/SUM(MasterRoomList_SpaceTypeTable[Area (sf)]),"")</calculatedColumnFormula>
    </tableColumn>
    <tableColumn id="6" xr3:uid="{97BEB180-8C63-45C1-8C03-53A866B9BBB2}" name="Column6" headerRowDxfId="451" dataDxfId="450" dataCellStyle="Currency">
      <calculatedColumnFormula>OFFSET('ECM Data'!$A$1,MATCH('ECM Reports'!$A6,'ECM Data'!$A:$A,0)+6,3)</calculatedColumnFormula>
    </tableColumn>
    <tableColumn id="7" xr3:uid="{A78F3767-751D-4800-9DA0-FB3870E834A5}" name="Column7" headerRowDxfId="449" dataDxfId="448" dataCellStyle="Currency">
      <calculatedColumnFormula>OFFSET('ECM Data'!$A$1,MATCH('ECM Reports'!$A6,'ECM Data'!$A:$A,0)+7,3)</calculatedColumnFormula>
    </tableColumn>
    <tableColumn id="8" xr3:uid="{EE0F2134-72CE-4DD8-9B39-FFF6D7421F25}" name="Column8" headerRowDxfId="447" dataDxfId="446" dataCellStyle="Currency">
      <calculatedColumnFormula>OFFSET('ECM Data'!$A$1,MATCH('ECM Reports'!$A6,'ECM Data'!$A:$A,0)+8,3)</calculatedColumnFormula>
    </tableColumn>
    <tableColumn id="9" xr3:uid="{8B4F76AB-0FF7-4782-8BB4-AC0A39D6CE64}" name="Column9" headerRowDxfId="445" dataDxfId="444" headerRowCellStyle="Percent" dataCellStyle="Percent"/>
    <tableColumn id="10" xr3:uid="{3770924F-4833-44B4-8C86-0E4976288046}" name="Column10" headerRowDxfId="443" dataDxfId="442" headerRowCellStyle="Percent" dataCellStyle="Percent"/>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6F5DEDE-8C33-456B-94DC-FDDE2CD20173}" name="ECMData_EndUse" displayName="ECMData_EndUse" ref="M5:BS14" totalsRowShown="0" headerRowDxfId="441" dataDxfId="440" tableBorderDxfId="439">
  <autoFilter ref="M5:BS14" xr:uid="{A6F5DEDE-8C33-456B-94DC-FDDE2CD20173}"/>
  <tableColumns count="59">
    <tableColumn id="1" xr3:uid="{21ABD69C-F88A-4AE5-99AD-02E42F09C408}" name="Model Run" dataDxfId="438">
      <calculatedColumnFormula>ECMData_Summary[[#This Row],[Column1]]</calculatedColumnFormula>
    </tableColumn>
    <tableColumn id="2" xr3:uid="{CAC4BA71-D0C2-4FBE-98F0-C6713938FFD2}" name="Name" dataDxfId="437">
      <calculatedColumnFormula>ECMData_Summary[[#This Row],[Column2]]</calculatedColumnFormula>
    </tableColumn>
    <tableColumn id="3" xr3:uid="{64CF0464-4EB6-4D51-BDDF-651817D0F4C3}" name="Internal Lighitng - Elec" dataDxfId="436" dataCellStyle="Comma">
      <calculatedColumnFormula>INDEX(ECMData_Baseline[#All],MATCH("Electrical Energy Use [kBTU]",ECMData_Baseline[[#All],[Energy]],0),MATCH("Internal Lighting",ECMData_Baseline[#Headers],0))</calculatedColumnFormula>
    </tableColumn>
    <tableColumn id="4" xr3:uid="{E9C1BD60-C0D4-47A9-8DDA-11ACB4EADA87}" name="Internal Lighting - Gas" dataDxfId="435" dataCellStyle="Comma"/>
    <tableColumn id="5" xr3:uid="{0C4CC908-44EB-4509-A8C9-0DD8B1E758AA}" name="Internal Lighting - Total" dataDxfId="434" dataCellStyle="Comma">
      <calculatedColumnFormula>SUM(ECMData_EndUse[[#This Row],[Internal Lighitng - Elec]:[Internal Lighting - Gas]])</calculatedColumnFormula>
    </tableColumn>
    <tableColumn id="11" xr3:uid="{743FAC5E-5565-430E-86F9-716C4BDF1C8D}" name="External Lighting - Elec" dataDxfId="433" dataCellStyle="Comma"/>
    <tableColumn id="6" xr3:uid="{6470AE9F-AA9F-43B5-8E52-423F3BC5465B}" name="External Lighting - Gas" dataDxfId="432" dataCellStyle="Comma"/>
    <tableColumn id="7" xr3:uid="{FA0FF35B-C660-4C15-B367-95BB0E191BB6}" name="External Lighting - Total" dataDxfId="431" dataCellStyle="Comma">
      <calculatedColumnFormula>SUM(ECMData_EndUse[[#This Row],[External Lighting - Elec]:[External Lighting - Gas]])</calculatedColumnFormula>
    </tableColumn>
    <tableColumn id="8" xr3:uid="{FFC0A0E0-80AF-4EAC-9E0B-750738C94E6E}" name="Space Heating - Elec" dataDxfId="430" dataCellStyle="Comma"/>
    <tableColumn id="9" xr3:uid="{F02B322B-2E3B-4D59-B20D-7B6647ACE72A}" name="Space Heating - Gas" dataDxfId="429" dataCellStyle="Comma"/>
    <tableColumn id="10" xr3:uid="{54813110-D2F7-4D19-A807-79AD082B379A}" name="Space Heating - Total" dataDxfId="428" dataCellStyle="Comma">
      <calculatedColumnFormula>SUM(ECMData_EndUse[[#This Row],[Space Heating - Elec]:[Space Heating - Gas]])</calculatedColumnFormula>
    </tableColumn>
    <tableColumn id="12" xr3:uid="{DB4F2329-76D0-4E37-BF61-DFC334B7FE20}" name="Space Cooling - Elec" dataDxfId="427" dataCellStyle="Comma"/>
    <tableColumn id="13" xr3:uid="{68341D7D-B015-444E-8889-0CD1AD47B1AA}" name="Space Cooling - Gas" dataDxfId="426" dataCellStyle="Comma"/>
    <tableColumn id="14" xr3:uid="{8D580AB1-44A6-4607-8644-1AF0FAD6E362}" name="Space Cooling - Total" dataDxfId="425" dataCellStyle="Comma">
      <calculatedColumnFormula>SUM(ECMData_EndUse[[#This Row],[Space Cooling - Elec]:[Space Cooling - Gas]])</calculatedColumnFormula>
    </tableColumn>
    <tableColumn id="15" xr3:uid="{AF3787F1-45F8-4887-8E1A-8E3EA588D2EA}" name="Pumps - Elec" dataDxfId="424" dataCellStyle="Comma"/>
    <tableColumn id="16" xr3:uid="{FA81454B-4F36-4F9F-A1EB-EA571F405127}" name="Pumps - Gas" dataDxfId="423" dataCellStyle="Comma"/>
    <tableColumn id="17" xr3:uid="{13B0D28C-E31F-4F99-9BE6-B755C545AA1F}" name="Pumps - Total" dataDxfId="422" dataCellStyle="Comma">
      <calculatedColumnFormula>SUM(ECMData_EndUse[[#This Row],[Pumps - Elec]:[Pumps - Gas]])</calculatedColumnFormula>
    </tableColumn>
    <tableColumn id="18" xr3:uid="{A9AAF0C8-988E-4811-AB61-178582C8FCCF}" name="Fans Process - Elec" dataDxfId="421" dataCellStyle="Comma"/>
    <tableColumn id="19" xr3:uid="{81CF3FE2-BBE5-410E-91D2-D2160EE8F9E4}" name="Fans Process - Gas" dataDxfId="420" dataCellStyle="Comma"/>
    <tableColumn id="20" xr3:uid="{92DD1523-0B82-42F6-986D-9440F73E1EA3}" name="Fans Process - Total" dataDxfId="419" dataCellStyle="Comma">
      <calculatedColumnFormula>SUM(ECMData_EndUse[[#This Row],[Fans Process - Elec]:[Fans Process - Gas]])</calculatedColumnFormula>
    </tableColumn>
    <tableColumn id="22" xr3:uid="{58D032C0-31A8-43AF-A211-1932A1153070}" name="Fans Interior - Elec" dataDxfId="418" dataCellStyle="Comma"/>
    <tableColumn id="21" xr3:uid="{DB7715A5-B87A-42FA-BDE9-9B9F500D43E7}" name="Fans Interior - Gas" dataDxfId="417" dataCellStyle="Comma"/>
    <tableColumn id="60" xr3:uid="{CB3F7F2D-862B-4282-B536-F2F827218CA9}" name="Fans Interior - Total" dataDxfId="416" dataCellStyle="Comma">
      <calculatedColumnFormula>SUM(ECMData_EndUse[[#This Row],[Fans Interior - Elec]:[Fans Interior - Gas]])</calculatedColumnFormula>
    </tableColumn>
    <tableColumn id="23" xr3:uid="{675C19C0-5523-4803-AF81-892C8399DB6F}" name="Fans Parking Garage - Elec" dataDxfId="415" dataCellStyle="Comma"/>
    <tableColumn id="24" xr3:uid="{64481785-3D9E-4DEE-91C9-F4A8D372B6BA}" name="Fans Parking Garage - Gas" dataDxfId="414" dataCellStyle="Comma"/>
    <tableColumn id="25" xr3:uid="{0F08B314-BB45-4D06-828D-77DFBE951151}" name="Fans Parking Garage - Total" dataDxfId="413" dataCellStyle="Comma">
      <calculatedColumnFormula>SUM(ECMData_EndUse[[#This Row],[Fans Parking Garage - Elec]:[Fans Parking Garage - Gas]])</calculatedColumnFormula>
    </tableColumn>
    <tableColumn id="26" xr3:uid="{8D522470-7278-40A9-A86B-E389590CE1DC}" name="Service Water Heating - Elec" dataDxfId="412" dataCellStyle="Comma"/>
    <tableColumn id="27" xr3:uid="{DC97AFB0-B802-4DBC-8151-C7E552B5CFE0}" name="Service Water Heating - Gas" dataDxfId="411" dataCellStyle="Comma"/>
    <tableColumn id="28" xr3:uid="{15F70FB2-ACC7-4B16-B272-824757567930}" name="Service Water Heating - Total" dataDxfId="410" dataCellStyle="Comma">
      <calculatedColumnFormula>SUM(ECMData_EndUse[[#This Row],[Service Water Heating - Elec]:[Service Water Heating - Gas]])</calculatedColumnFormula>
    </tableColumn>
    <tableColumn id="29" xr3:uid="{84BDD8B3-3B53-46E9-B16A-747DAA3E387C}" name="Receptacle Equipment - Elec" dataDxfId="409" dataCellStyle="Comma"/>
    <tableColumn id="30" xr3:uid="{303D21D7-7186-4E86-BFF4-50028A1B4A82}" name="Receptacle Equipment - Gas" dataDxfId="408" dataCellStyle="Comma"/>
    <tableColumn id="31" xr3:uid="{2FB32210-ED7D-4F43-A1B7-86D6D4088B91}" name="Receptacle Equipment - Total" dataDxfId="407" dataCellStyle="Comma">
      <calculatedColumnFormula>SUM(ECMData_EndUse[[#This Row],[Receptacle Equipment - Elec]:[Receptacle Equipment - Gas]])</calculatedColumnFormula>
    </tableColumn>
    <tableColumn id="32" xr3:uid="{3E47FD5B-B7D8-4C04-A084-3DCDC7B05C5A}" name="Interior Lighting Process - Elec" dataDxfId="406" dataCellStyle="Comma"/>
    <tableColumn id="33" xr3:uid="{9031E6C5-0762-4CD0-BC5E-AD9E3153122E}" name="Interior Lighting Process - Gas" dataDxfId="405" dataCellStyle="Comma"/>
    <tableColumn id="34" xr3:uid="{39155D55-B869-4C6E-8D68-4842FB676345}" name="Interior Lighting Process - Total" dataDxfId="404" dataCellStyle="Comma">
      <calculatedColumnFormula>SUM(ECMData_EndUse[[#This Row],[Interior Lighting Process - Elec]:[Interior Lighting Process - Gas]])</calculatedColumnFormula>
    </tableColumn>
    <tableColumn id="35" xr3:uid="{CA8055FA-58B9-4D9A-903A-D0B20A49AF4F}" name="Refrigeration - Elec" dataDxfId="403" dataCellStyle="Comma"/>
    <tableColumn id="36" xr3:uid="{E237801C-8564-4834-8E53-37703D19DEB2}" name="Refrigeration - Gas" dataDxfId="402" dataCellStyle="Comma"/>
    <tableColumn id="37" xr3:uid="{B02A7098-3E29-4A6B-B878-C19166DB0E70}" name="Refrigeration - Total" dataDxfId="401" dataCellStyle="Comma">
      <calculatedColumnFormula>SUM(ECMData_EndUse[[#This Row],[Refrigeration - Elec]:[Refrigeration - Gas]])</calculatedColumnFormula>
    </tableColumn>
    <tableColumn id="38" xr3:uid="{B2DDF43A-8CA3-45EE-A581-A2782BD393CF}" name="Data Centre Equipment - Elec" dataDxfId="400" dataCellStyle="Comma"/>
    <tableColumn id="39" xr3:uid="{9F3065C9-334B-4DAB-86DF-48E0AC3F2D3C}" name="Data Centre Equipment - Gas" dataDxfId="399" dataCellStyle="Comma"/>
    <tableColumn id="40" xr3:uid="{5900BB73-6FB2-4D54-AFEF-F842C4438FA5}" name="Data Centre Equipment - Total" dataDxfId="398" dataCellStyle="Comma">
      <calculatedColumnFormula>SUM(ECMData_EndUse[[#This Row],[Data Centre Equipment - Elec]:[Data Centre Equipment - Gas]])</calculatedColumnFormula>
    </tableColumn>
    <tableColumn id="41" xr3:uid="{60846841-C6CF-4C6C-9DAC-777E26889913}" name="Cooking - Elec" dataDxfId="397" dataCellStyle="Comma"/>
    <tableColumn id="42" xr3:uid="{DB3F90D7-0CD9-4526-AC9A-F5A647F79C44}" name="Cooking - Gas" dataDxfId="396" dataCellStyle="Comma"/>
    <tableColumn id="43" xr3:uid="{C2BCFD3B-FAB2-47CC-B570-137F1EB8097C}" name="Cooking - Total" dataDxfId="395" dataCellStyle="Comma">
      <calculatedColumnFormula>SUM(ECMData_EndUse[[#This Row],[Cooking - Elec]:[Cooking - Gas]])</calculatedColumnFormula>
    </tableColumn>
    <tableColumn id="44" xr3:uid="{55E7424F-D954-475C-9CB0-E5BE16FD64E1}" name="Elevators/ Escalators - Elec" dataDxfId="394" dataCellStyle="Comma"/>
    <tableColumn id="45" xr3:uid="{80579BDB-C980-4BC7-87CD-9BE798DAB294}" name="Elevators/ Escalators - Gas" dataDxfId="393" dataCellStyle="Comma"/>
    <tableColumn id="46" xr3:uid="{9AA709BA-2FA1-47E4-AA3C-A71D609625DE}" name="Elevators/ Escalators - Total" dataDxfId="392" dataCellStyle="Comma">
      <calculatedColumnFormula>SUM(ECMData_EndUse[[#This Row],[Elevators/ Escalators - Elec]:[Elevators/ Escalators - Gas]])</calculatedColumnFormula>
    </tableColumn>
    <tableColumn id="47" xr3:uid="{430CAC1B-87FF-4B96-8928-EB89758A769B}" name="Heat Rejection - Elec" dataDxfId="391" dataCellStyle="Comma"/>
    <tableColumn id="48" xr3:uid="{A39DCC05-A76B-42BA-9049-8924B082D26D}" name="Heat Rejection - Gas" dataDxfId="390" dataCellStyle="Comma"/>
    <tableColumn id="49" xr3:uid="{BBFB549E-0980-4590-99AB-34D5BB64E110}" name="Heat Rejection - Total" dataDxfId="389" dataCellStyle="Comma">
      <calculatedColumnFormula>SUM(ECMData_EndUse[[#This Row],[Heat Rejection - Elec]:[Heat Rejection - Gas]])</calculatedColumnFormula>
    </tableColumn>
    <tableColumn id="50" xr3:uid="{B9F8D2DE-0C0F-4A0F-83EE-0492C7E23FA7}" name="Combined Heat and Power - Elec" dataDxfId="388" dataCellStyle="Comma"/>
    <tableColumn id="51" xr3:uid="{10E14F3C-103E-49D2-B484-AF402B4EE697}" name="Combined Heat and Power - Gas" dataDxfId="387" dataCellStyle="Comma"/>
    <tableColumn id="52" xr3:uid="{8E2A0F5F-4005-4F24-9AD2-9743C5F5611F}" name="Combined Heat and Power - Total" dataDxfId="386" dataCellStyle="Comma">
      <calculatedColumnFormula>SUM(ECMData_EndUse[[#This Row],[Combined Heat and Power - Elec]:[Combined Heat and Power - Gas]])</calculatedColumnFormula>
    </tableColumn>
    <tableColumn id="53" xr3:uid="{490546CA-586D-43E7-91FA-A27BD3DAABC4}" name="Humidification - Elec" dataDxfId="385" dataCellStyle="Comma"/>
    <tableColumn id="54" xr3:uid="{5B3F28C8-84C1-409B-988C-8DCAFE7D8F79}" name="Humidification - Gas" dataDxfId="384" dataCellStyle="Comma"/>
    <tableColumn id="55" xr3:uid="{9C9AFC41-293F-459E-BD36-199B6E286470}" name="Humidification - Total" dataDxfId="383" dataCellStyle="Comma">
      <calculatedColumnFormula>SUM(ECMData_EndUse[[#This Row],[Humidification - Elec]:[Humidification - Gas]])</calculatedColumnFormula>
    </tableColumn>
    <tableColumn id="56" xr3:uid="{53741339-DA77-4186-851D-8A9EA87307B8}" name="Other Processes - Elec" dataDxfId="382" dataCellStyle="Comma"/>
    <tableColumn id="57" xr3:uid="{D1514B5A-0EC3-46F4-AE61-1FA2CE338C05}" name="Other Processes - Gas" dataDxfId="381" dataCellStyle="Comma"/>
    <tableColumn id="58" xr3:uid="{DBA7D330-F719-4210-8CAC-89079521754C}" name="Other Processes - Total" dataDxfId="380" dataCellStyle="Comma">
      <calculatedColumnFormula>SUM(ECMData_EndUse[[#This Row],[Other Processes - Elec]:[Other Processes - Gas]])</calculatedColumnFormula>
    </tableColumn>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53EA2D1-67F0-4F5B-AB96-EF3A70CD91D4}" name="ECMData_EUI" displayName="ECMData_EUI" ref="M29:AH38" totalsRowShown="0" headerRowDxfId="379" dataDxfId="378" tableBorderDxfId="377">
  <autoFilter ref="M29:AH38" xr:uid="{C53EA2D1-67F0-4F5B-AB96-EF3A70CD91D4}"/>
  <tableColumns count="22">
    <tableColumn id="1" xr3:uid="{DD848BFF-140B-4AF4-B852-06D6FBAA810F}" name="Model Run" dataDxfId="376">
      <calculatedColumnFormula>A6</calculatedColumnFormula>
    </tableColumn>
    <tableColumn id="2" xr3:uid="{B7EC643A-33FF-4F4E-B581-75409B37C45F}" name="Name" dataDxfId="375">
      <calculatedColumnFormula>B6</calculatedColumnFormula>
    </tableColumn>
    <tableColumn id="3" xr3:uid="{DB262697-F1D4-4E70-B2B1-B7C43C82F760}" name="Internal Lighting" dataDxfId="374">
      <calculatedColumnFormula>INDEX(ECMData_EndUse[#All],MATCH(ECMData_EUI[[#This Row],[Model Run]],ECMData_EndUse[[#All],[Model Run]],0),MATCH(_xlfn.CONCAT(O$29," - Total"),ECMData_EndUse[#Headers],0))</calculatedColumnFormula>
    </tableColumn>
    <tableColumn id="4" xr3:uid="{C58F23B4-797C-4510-83A7-A357D8FBFB5F}" name="External Lighting" dataDxfId="373">
      <calculatedColumnFormula>INDEX(ECMData_EndUse[#All],MATCH(ECMData_EUI[[#This Row],[Model Run]],ECMData_EndUse[[#All],[Model Run]],0),MATCH(_xlfn.CONCAT(P$29," - Total"),ECMData_EndUse[#Headers],0))</calculatedColumnFormula>
    </tableColumn>
    <tableColumn id="5" xr3:uid="{D42349C5-ECD8-4276-9B33-EC21F874938E}" name="Space Heating" dataDxfId="372">
      <calculatedColumnFormula>INDEX(ECMData_EndUse[#All],MATCH(ECMData_EUI[[#This Row],[Model Run]],ECMData_EndUse[[#All],[Model Run]],0),MATCH(_xlfn.CONCAT(Q$29," - Total"),ECMData_EndUse[#Headers],0))</calculatedColumnFormula>
    </tableColumn>
    <tableColumn id="11" xr3:uid="{9DF352CA-EEA0-4086-A257-47B904DED457}" name="Space Cooling" dataDxfId="371">
      <calculatedColumnFormula>INDEX(ECMData_EndUse[#All],MATCH(ECMData_EUI[[#This Row],[Model Run]],ECMData_EndUse[[#All],[Model Run]],0),MATCH(_xlfn.CONCAT(R$29," - Total"),ECMData_EndUse[#Headers],0))</calculatedColumnFormula>
    </tableColumn>
    <tableColumn id="6" xr3:uid="{244C2E30-5F41-405F-AC8E-A1219DC86B02}" name="Pumps" dataDxfId="370">
      <calculatedColumnFormula>INDEX(ECMData_EndUse[#All],MATCH(ECMData_EUI[[#This Row],[Model Run]],ECMData_EndUse[[#All],[Model Run]],0),MATCH(_xlfn.CONCAT(S$29," - Total"),ECMData_EndUse[#Headers],0))</calculatedColumnFormula>
    </tableColumn>
    <tableColumn id="7" xr3:uid="{CE8D37BA-3675-4344-A88D-D9D85BB9CEE3}" name="Fans Process" dataDxfId="369">
      <calculatedColumnFormula>INDEX(ECMData_EndUse[#All],MATCH(ECMData_EUI[[#This Row],[Model Run]],ECMData_EndUse[[#All],[Model Run]],0),MATCH(_xlfn.CONCAT(T$29," - Total"),ECMData_EndUse[#Headers],0))</calculatedColumnFormula>
    </tableColumn>
    <tableColumn id="8" xr3:uid="{E1BAAD90-EFE2-4601-912D-6C7B9D2500B1}" name="Fans Interior" dataDxfId="368">
      <calculatedColumnFormula>INDEX(ECMData_EndUse[#All],MATCH(ECMData_EUI[[#This Row],[Model Run]],ECMData_EndUse[[#All],[Model Run]],0),MATCH(_xlfn.CONCAT(U$29," - Total"),ECMData_EndUse[#Headers],0))</calculatedColumnFormula>
    </tableColumn>
    <tableColumn id="9" xr3:uid="{0E5CD6F0-E2BD-4164-8FCC-CB6E86288A6B}" name="Fans Parking Garage" dataDxfId="367" dataCellStyle="Percent">
      <calculatedColumnFormula>INDEX(ECMData_EndUse[#All],MATCH(ECMData_EUI[[#This Row],[Model Run]],ECMData_EndUse[[#All],[Model Run]],0),MATCH(_xlfn.CONCAT(V$29," - Total"),ECMData_EndUse[#Headers],0))</calculatedColumnFormula>
    </tableColumn>
    <tableColumn id="10" xr3:uid="{1D86E04D-B0AC-481F-92AE-AA1E5FCC2541}" name="Service Water Heating" dataDxfId="366" dataCellStyle="Percent">
      <calculatedColumnFormula>INDEX(ECMData_EndUse[#All],MATCH(ECMData_EUI[[#This Row],[Model Run]],ECMData_EndUse[[#All],[Model Run]],0),MATCH(_xlfn.CONCAT(W$29," - Total"),ECMData_EndUse[#Headers],0))</calculatedColumnFormula>
    </tableColumn>
    <tableColumn id="12" xr3:uid="{24F45BF1-F3B8-451D-AF94-E4BA3FF98405}" name="Receptacle Equipment" dataDxfId="365">
      <calculatedColumnFormula>INDEX(ECMData_EndUse[#All],MATCH(ECMData_EUI[[#This Row],[Model Run]],ECMData_EndUse[[#All],[Model Run]],0),MATCH(_xlfn.CONCAT(X$29," - Total"),ECMData_EndUse[#Headers],0))</calculatedColumnFormula>
    </tableColumn>
    <tableColumn id="13" xr3:uid="{B2A8A72D-B5D0-41B8-B20C-3092555F40F1}" name="Interior Lighting Process" dataDxfId="364">
      <calculatedColumnFormula>INDEX(ECMData_EndUse[#All],MATCH(ECMData_EUI[[#This Row],[Model Run]],ECMData_EndUse[[#All],[Model Run]],0),MATCH(_xlfn.CONCAT(Y$29," - Total"),ECMData_EndUse[#Headers],0))</calculatedColumnFormula>
    </tableColumn>
    <tableColumn id="14" xr3:uid="{F72AE986-5BD2-4A71-9954-6D903F1375FE}" name="Refrigeration" dataDxfId="363">
      <calculatedColumnFormula>INDEX(ECMData_EndUse[#All],MATCH(ECMData_EUI[[#This Row],[Model Run]],ECMData_EndUse[[#All],[Model Run]],0),MATCH(_xlfn.CONCAT(Z$29," - Total"),ECMData_EndUse[#Headers],0))</calculatedColumnFormula>
    </tableColumn>
    <tableColumn id="15" xr3:uid="{49651E12-82DD-43A4-AD43-C4FEEAA27D22}" name="Data Centre Equipment" dataDxfId="362">
      <calculatedColumnFormula>INDEX(ECMData_EndUse[#All],MATCH(ECMData_EUI[[#This Row],[Model Run]],ECMData_EndUse[[#All],[Model Run]],0),MATCH(_xlfn.CONCAT(AA$29," - Total"),ECMData_EndUse[#Headers],0))</calculatedColumnFormula>
    </tableColumn>
    <tableColumn id="16" xr3:uid="{E31493AD-07CE-40AF-B590-82935739F6C4}" name="Cooking" dataDxfId="361">
      <calculatedColumnFormula>INDEX(ECMData_EndUse[#All],MATCH(ECMData_EUI[[#This Row],[Model Run]],ECMData_EndUse[[#All],[Model Run]],0),MATCH(_xlfn.CONCAT(AB$29," - Total"),ECMData_EndUse[#Headers],0))</calculatedColumnFormula>
    </tableColumn>
    <tableColumn id="17" xr3:uid="{682CDFEE-8DC3-4528-AC75-3BE1CF79C3A0}" name="Elevators/ Escalators" dataDxfId="360">
      <calculatedColumnFormula>INDEX(ECMData_EndUse[#All],MATCH(ECMData_EUI[[#This Row],[Model Run]],ECMData_EndUse[[#All],[Model Run]],0),MATCH(_xlfn.CONCAT(AC$29," - Total"),ECMData_EndUse[#Headers],0))</calculatedColumnFormula>
    </tableColumn>
    <tableColumn id="18" xr3:uid="{28613C94-C014-4BA1-ACD8-0D45FE4910B5}" name="Heat Rejection" dataDxfId="359">
      <calculatedColumnFormula>INDEX(ECMData_EndUse[#All],MATCH(ECMData_EUI[[#This Row],[Model Run]],ECMData_EndUse[[#All],[Model Run]],0),MATCH(_xlfn.CONCAT(AD$29," - Total"),ECMData_EndUse[#Headers],0))</calculatedColumnFormula>
    </tableColumn>
    <tableColumn id="19" xr3:uid="{BD72FF3A-EFFA-4075-AB58-1DAC484FEEFF}" name="Combined Heat and Power" dataDxfId="358">
      <calculatedColumnFormula>INDEX(ECMData_EndUse[#All],MATCH(ECMData_EUI[[#This Row],[Model Run]],ECMData_EndUse[[#All],[Model Run]],0),MATCH(_xlfn.CONCAT(AE$29," - Total"),ECMData_EndUse[#Headers],0))</calculatedColumnFormula>
    </tableColumn>
    <tableColumn id="20" xr3:uid="{53CF8F9B-5985-425F-A231-54FEE296E5C6}" name="Humidification" dataDxfId="357">
      <calculatedColumnFormula>INDEX(ECMData_EndUse[#All],MATCH(ECMData_EUI[[#This Row],[Model Run]],ECMData_EndUse[[#All],[Model Run]],0),MATCH(_xlfn.CONCAT(AF$29," - Total"),ECMData_EndUse[#Headers],0))</calculatedColumnFormula>
    </tableColumn>
    <tableColumn id="22" xr3:uid="{D911F3DF-CE2E-4275-BA4D-91E0D09A6D59}" name="Other Processes" dataDxfId="356">
      <calculatedColumnFormula>INDEX(ECMData_EndUse[#All],MATCH(ECMData_EUI[[#This Row],[Model Run]],ECMData_EndUse[[#All],[Model Run]],0),MATCH(_xlfn.CONCAT(AG$29," - Total"),ECMData_EndUse[#Headers],0))</calculatedColumnFormula>
    </tableColumn>
    <tableColumn id="21" xr3:uid="{401F6651-61F2-417A-85DD-4C09FFB5F6D4}" name="Total" dataDxfId="355">
      <calculatedColumnFormula>SUM(ECMData_EUI[[#This Row],[Internal Lighting]:[Other Processes]])</calculatedColumnFormula>
    </tableColumn>
  </tableColumns>
  <tableStyleInfo name="TableStyleLight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2E9908F-630F-4289-8267-AD6DA5B756E6}" name="Table202224" displayName="Table202224" ref="EB6:EW16" headerRowCount="0" totalsRowShown="0" headerRowDxfId="354" dataDxfId="353" tableBorderDxfId="352">
  <tableColumns count="22">
    <tableColumn id="1" xr3:uid="{6282897B-F488-4242-AB3B-4D473BFF332F}" name="Column1" headerRowDxfId="351" dataDxfId="350">
      <calculatedColumnFormula>ECMData_Summary[[#This Row],[Column1]]</calculatedColumnFormula>
    </tableColumn>
    <tableColumn id="2" xr3:uid="{F4B8B47E-527C-4D2A-9D04-EFCAB3AE9DAB}" name="Column2" headerRowDxfId="349" dataDxfId="348">
      <calculatedColumnFormula>ECMData_Summary[[#This Row],[Column2]]</calculatedColumnFormula>
    </tableColumn>
    <tableColumn id="3" xr3:uid="{B8DF1FCE-AFD5-48A9-8576-45919AE42579}" name="Column3" headerRowDxfId="347" dataDxfId="346" dataCellStyle="Comma">
      <calculatedColumnFormula array="1">IFERROR(INDEX('ECM Data'!$A$1:$T$119,MATCH(Table202224[[#This Row],[Column1]],'ECM Data'!$A$1:$A$119,0)+4,MATCH('ECM Reports'!ED$4,'ECM Data'!$A$6:$T$6,0))*ED$2,"")</calculatedColumnFormula>
    </tableColumn>
    <tableColumn id="4" xr3:uid="{879A6F05-B58F-4A3A-95EA-2A088C92D28B}" name="Column4" headerRowDxfId="345" dataDxfId="344" dataCellStyle="Comma">
      <calculatedColumnFormula array="1">IFERROR(INDEX('ECM Data'!$A$1:$T$119,MATCH(Table202224[[#This Row],[Column1]],'ECM Data'!$A$1:$A$119,0)+4,MATCH('ECM Reports'!EE$4,'ECM Data'!$A$6:$T$6,0))*EE$2,"")</calculatedColumnFormula>
    </tableColumn>
    <tableColumn id="5" xr3:uid="{E5958228-FFE6-4195-B1CC-1DE794BF29E3}" name="Column5" headerRowDxfId="343" dataDxfId="342" dataCellStyle="Comma">
      <calculatedColumnFormula array="1">IFERROR(INDEX('ECM Data'!$A$1:$T$119,MATCH(Table202224[[#This Row],[Column1]],'ECM Data'!$A$1:$A$119,0)+4,MATCH('ECM Reports'!EF$4,'ECM Data'!$A$6:$T$6,0))*EF$2,"")</calculatedColumnFormula>
    </tableColumn>
    <tableColumn id="11" xr3:uid="{969E3AF6-2B4C-4502-9C8B-E795B8BDAB3B}" name="Column11" headerRowDxfId="341" dataDxfId="340" dataCellStyle="Comma">
      <calculatedColumnFormula array="1">IFERROR(INDEX('ECM Data'!$A$1:$T$119,MATCH(Table202224[[#This Row],[Column1]],'ECM Data'!$A$1:$A$119,0)+4,MATCH('ECM Reports'!EG$4,'ECM Data'!$A$6:$T$6,0))*EG$2,"")</calculatedColumnFormula>
    </tableColumn>
    <tableColumn id="6" xr3:uid="{E4045FCA-7271-4C8C-B86A-AF190A1B0F89}" name="Column6" headerRowDxfId="339" dataDxfId="338" dataCellStyle="Comma">
      <calculatedColumnFormula array="1">IFERROR(INDEX('ECM Data'!$A$1:$T$119,MATCH(Table202224[[#This Row],[Column1]],'ECM Data'!$A$1:$A$119,0)+4,MATCH('ECM Reports'!EH$4,'ECM Data'!$A$6:$T$6,0))*EH$2,"")</calculatedColumnFormula>
    </tableColumn>
    <tableColumn id="7" xr3:uid="{00B38374-670B-4F0A-A11B-1C126BF51186}" name="Column7" headerRowDxfId="337" dataDxfId="336" dataCellStyle="Comma">
      <calculatedColumnFormula array="1">IFERROR(INDEX('ECM Data'!$A$1:$T$119,MATCH(Table202224[[#This Row],[Column1]],'ECM Data'!$A$1:$A$119,0)+4,MATCH('ECM Reports'!EI$4,'ECM Data'!$A$6:$T$6,0))*EI$2,"")</calculatedColumnFormula>
    </tableColumn>
    <tableColumn id="8" xr3:uid="{AFB2EDA8-D9B5-4A7F-B746-08C14CD94E88}" name="Column8" headerRowDxfId="335" dataDxfId="334" dataCellStyle="Comma">
      <calculatedColumnFormula array="1">IFERROR(INDEX('ECM Data'!$A$1:$T$119,MATCH(Table202224[[#This Row],[Column1]],'ECM Data'!$A$1:$A$119,0)+4,MATCH('ECM Reports'!EJ$4,'ECM Data'!$A$6:$T$6,0))*EJ$2,"")</calculatedColumnFormula>
    </tableColumn>
    <tableColumn id="9" xr3:uid="{621A0815-66D4-4BCD-A486-4A8B1CDF79F8}" name="Column9" headerRowDxfId="333" dataDxfId="332" headerRowCellStyle="Percent" dataCellStyle="Comma">
      <calculatedColumnFormula array="1">IFERROR(INDEX('ECM Data'!$A$1:$T$119,MATCH(Table202224[[#This Row],[Column1]],'ECM Data'!$A$1:$A$119,0)+4,MATCH('ECM Reports'!EK$4,'ECM Data'!$A$6:$T$6,0))*EK$2,"")</calculatedColumnFormula>
    </tableColumn>
    <tableColumn id="10" xr3:uid="{622D2021-FDA3-45C2-8B55-465922405148}" name="Column10" headerRowDxfId="331" dataDxfId="330" headerRowCellStyle="Percent" dataCellStyle="Comma">
      <calculatedColumnFormula array="1">IFERROR(INDEX('ECM Data'!$A$1:$T$119,MATCH(Table202224[[#This Row],[Column1]],'ECM Data'!$A$1:$A$119,0)+4,MATCH('ECM Reports'!EL$4,'ECM Data'!$A$6:$T$6,0))*EL$2,"")</calculatedColumnFormula>
    </tableColumn>
    <tableColumn id="12" xr3:uid="{87F8CA9E-B4B5-48A2-B3C7-FDEBFB28990C}" name="Column12" headerRowDxfId="329" dataDxfId="328" dataCellStyle="Comma">
      <calculatedColumnFormula array="1">IFERROR(INDEX('ECM Data'!$A$1:$T$119,MATCH(Table202224[[#This Row],[Column1]],'ECM Data'!$A$1:$A$119,0)+4,MATCH('ECM Reports'!EM$4,'ECM Data'!$A$6:$T$6,0))*EM$2,"")</calculatedColumnFormula>
    </tableColumn>
    <tableColumn id="13" xr3:uid="{04ACB7C3-B46D-4F75-9788-78E9D42F4C6C}" name="Column13" headerRowDxfId="327" dataDxfId="326" dataCellStyle="Comma">
      <calculatedColumnFormula array="1">IFERROR(INDEX('ECM Data'!$A$1:$T$119,MATCH(Table202224[[#This Row],[Column1]],'ECM Data'!$A$1:$A$119,0)+4,MATCH('ECM Reports'!EN$4,'ECM Data'!$A$6:$T$6,0))*EN$2,"")</calculatedColumnFormula>
    </tableColumn>
    <tableColumn id="14" xr3:uid="{D8B984E4-117A-4CDF-B42D-2255E34B29D6}" name="Column14" headerRowDxfId="325" dataDxfId="324" dataCellStyle="Comma">
      <calculatedColumnFormula array="1">IFERROR(INDEX('ECM Data'!$A$1:$T$119,MATCH(Table202224[[#This Row],[Column1]],'ECM Data'!$A$1:$A$119,0)+4,MATCH('ECM Reports'!EO$4,'ECM Data'!$A$6:$T$6,0))*EO$2,"")</calculatedColumnFormula>
    </tableColumn>
    <tableColumn id="15" xr3:uid="{2F9EDC7E-9DC4-43A0-9BDE-029B73900FC2}" name="Column15" headerRowDxfId="323" dataDxfId="322" dataCellStyle="Comma">
      <calculatedColumnFormula array="1">IFERROR(INDEX('ECM Data'!$A$1:$T$119,MATCH(Table202224[[#This Row],[Column1]],'ECM Data'!$A$1:$A$119,0)+4,MATCH('ECM Reports'!EP$4,'ECM Data'!$A$6:$T$6,0))*EP$2,"")</calculatedColumnFormula>
    </tableColumn>
    <tableColumn id="16" xr3:uid="{E462FCC3-2C67-4CA4-A5CB-24BB704188B6}" name="Column16" headerRowDxfId="321" dataDxfId="320" dataCellStyle="Comma">
      <calculatedColumnFormula array="1">IFERROR(INDEX('ECM Data'!$A$1:$T$119,MATCH(Table202224[[#This Row],[Column1]],'ECM Data'!$A$1:$A$119,0)+4,MATCH('ECM Reports'!EQ$4,'ECM Data'!$A$6:$T$6,0))*EQ$2,"")</calculatedColumnFormula>
    </tableColumn>
    <tableColumn id="17" xr3:uid="{C8800236-4612-4738-89B6-CFCE530AE05D}" name="Column17" headerRowDxfId="319" dataDxfId="318" dataCellStyle="Comma">
      <calculatedColumnFormula array="1">IFERROR(INDEX('ECM Data'!$A$1:$T$119,MATCH(Table202224[[#This Row],[Column1]],'ECM Data'!$A$1:$A$119,0)+4,MATCH('ECM Reports'!ER$4,'ECM Data'!$A$6:$T$6,0))*ER$2,"")</calculatedColumnFormula>
    </tableColumn>
    <tableColumn id="18" xr3:uid="{EA20D896-186E-49A5-8DCC-47BDE4FBAC95}" name="Column18" headerRowDxfId="317" dataDxfId="316" dataCellStyle="Comma">
      <calculatedColumnFormula array="1">IFERROR(INDEX('ECM Data'!$A$1:$T$119,MATCH(Table202224[[#This Row],[Column1]],'ECM Data'!$A$1:$A$119,0)+4,MATCH('ECM Reports'!ES$4,'ECM Data'!$A$6:$T$6,0))*ES$2,"")</calculatedColumnFormula>
    </tableColumn>
    <tableColumn id="19" xr3:uid="{B91B60E1-BF66-4732-ACE1-954B9AD9F187}" name="Column19" headerRowDxfId="315" dataDxfId="314" dataCellStyle="Comma">
      <calculatedColumnFormula array="1">IFERROR(INDEX('ECM Data'!$A$1:$T$119,MATCH(Table202224[[#This Row],[Column1]],'ECM Data'!$A$1:$A$119,0)+4,MATCH('ECM Reports'!ET$4,'ECM Data'!$A$6:$T$6,0))*ET$2,"")</calculatedColumnFormula>
    </tableColumn>
    <tableColumn id="20" xr3:uid="{8FCBE834-E6C0-4701-BA74-43866ED4FF10}" name="Column20" headerRowDxfId="313" dataDxfId="312" dataCellStyle="Comma">
      <calculatedColumnFormula array="1">IFERROR(INDEX('ECM Data'!$A$1:$T$119,MATCH(Table202224[[#This Row],[Column1]],'ECM Data'!$A$1:$A$119,0)+4,MATCH('ECM Reports'!EU$4,'ECM Data'!$A$6:$T$6,0))*EU$2,"")</calculatedColumnFormula>
    </tableColumn>
    <tableColumn id="22" xr3:uid="{21441A02-959B-423C-9EC5-4D8CA530221E}" name="Column22" headerRowDxfId="311" dataDxfId="310" dataCellStyle="Comma">
      <calculatedColumnFormula array="1">IFERROR(INDEX('ECM Data'!$A$1:$T$119,MATCH(Table202224[[#This Row],[Column1]],'ECM Data'!$A$1:$A$119,0)+4,MATCH('ECM Reports'!EV$4,'ECM Data'!$A$6:$T$6,0))*EV$2,"")</calculatedColumnFormula>
    </tableColumn>
    <tableColumn id="21" xr3:uid="{DEA3BA59-A01E-4D7E-9B3E-BD3D9F6D8451}" name="Column21" headerRowDxfId="309" dataDxfId="308" dataCellStyle="Comma">
      <calculatedColumnFormula>SUM(Table202224[[#This Row],[Column3]:[Column22]])</calculatedColumnFormula>
    </tableColumn>
  </tableColumns>
  <tableStyleInfo name="TableStyleLight2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3871A83-09BC-465F-B90F-C1B232B89789}" name="ECMData_EUI37" displayName="ECMData_EUI37" ref="M17:AH26" totalsRowShown="0" headerRowDxfId="307" dataDxfId="306" tableBorderDxfId="305">
  <autoFilter ref="M17:AH26" xr:uid="{C3871A83-09BC-465F-B90F-C1B232B89789}"/>
  <tableColumns count="22">
    <tableColumn id="1" xr3:uid="{EB23437B-7461-458F-869F-C26C42F0DD91}" name="Model Run" dataDxfId="304">
      <calculatedColumnFormula>A6</calculatedColumnFormula>
    </tableColumn>
    <tableColumn id="2" xr3:uid="{C986D367-A593-45C5-A143-6D5F7D608385}" name="Name" dataDxfId="303">
      <calculatedColumnFormula>B6</calculatedColumnFormula>
    </tableColumn>
    <tableColumn id="3" xr3:uid="{6A0EEAB6-517B-44A7-903A-60ACD6B468CD}" name="Internal Lighting" dataDxfId="302">
      <calculatedColumnFormula>INDEX(ECMData_EndUse[#All],MATCH(ECMData_EUI37[[#This Row],[Model Run]],ECMData_EndUse[[#All],[Model Run]],0),MATCH(_xlfn.CONCAT(O$29," - Total"),ECMData_EndUse[#Headers],0))/MasterRoomList_SpaceTypeSummary[[#Totals],[Area (sqft)]]</calculatedColumnFormula>
    </tableColumn>
    <tableColumn id="4" xr3:uid="{5A18D3FD-211B-4C48-8AAC-6C7E5BF4C214}" name="External Lighting" dataDxfId="301">
      <calculatedColumnFormula>INDEX(ECMData_EndUse[#All],MATCH(ECMData_EUI37[[#This Row],[Model Run]],ECMData_EndUse[[#All],[Model Run]],0),MATCH(_xlfn.CONCAT(P$29," - Total"),ECMData_EndUse[#Headers],0))/MasterRoomList_SpaceTypeSummary[[#Totals],[Area (sqft)]]</calculatedColumnFormula>
    </tableColumn>
    <tableColumn id="5" xr3:uid="{B39E1995-BDBD-411C-9008-2861FF4C3C63}" name="Space Heating" dataDxfId="300">
      <calculatedColumnFormula>INDEX(ECMData_EndUse[#All],MATCH(ECMData_EUI37[[#This Row],[Model Run]],ECMData_EndUse[[#All],[Model Run]],0),MATCH(_xlfn.CONCAT(Q$29," - Total"),ECMData_EndUse[#Headers],0))/MasterRoomList_SpaceTypeSummary[[#Totals],[Area (sqft)]]</calculatedColumnFormula>
    </tableColumn>
    <tableColumn id="11" xr3:uid="{EF5C53C5-0FED-46E7-BDD2-256360F9ACAA}" name="Space Cooling" dataDxfId="299">
      <calculatedColumnFormula>INDEX(ECMData_EndUse[#All],MATCH(ECMData_EUI37[[#This Row],[Model Run]],ECMData_EndUse[[#All],[Model Run]],0),MATCH(_xlfn.CONCAT(R$29," - Total"),ECMData_EndUse[#Headers],0))/MasterRoomList_SpaceTypeSummary[[#Totals],[Area (sqft)]]</calculatedColumnFormula>
    </tableColumn>
    <tableColumn id="6" xr3:uid="{C7B98BA7-ED1C-46EB-8D4B-33F55855F070}" name="Pumps" dataDxfId="298">
      <calculatedColumnFormula>INDEX(ECMData_EndUse[#All],MATCH(ECMData_EUI37[[#This Row],[Model Run]],ECMData_EndUse[[#All],[Model Run]],0),MATCH(_xlfn.CONCAT(S$29," - Total"),ECMData_EndUse[#Headers],0))/MasterRoomList_SpaceTypeSummary[[#Totals],[Area (sqft)]]</calculatedColumnFormula>
    </tableColumn>
    <tableColumn id="7" xr3:uid="{E7165CF8-E1EA-48CE-B663-EB83936E989D}" name="Fans Process" dataDxfId="297">
      <calculatedColumnFormula>INDEX(ECMData_EndUse[#All],MATCH(ECMData_EUI37[[#This Row],[Model Run]],ECMData_EndUse[[#All],[Model Run]],0),MATCH(_xlfn.CONCAT(T$29," - Total"),ECMData_EndUse[#Headers],0))/MasterRoomList_SpaceTypeSummary[[#Totals],[Area (sqft)]]</calculatedColumnFormula>
    </tableColumn>
    <tableColumn id="8" xr3:uid="{EB759A72-D5C7-47DF-A305-4656E0883897}" name="Fans Interior" dataDxfId="296">
      <calculatedColumnFormula>INDEX(ECMData_EndUse[#All],MATCH(ECMData_EUI37[[#This Row],[Model Run]],ECMData_EndUse[[#All],[Model Run]],0),MATCH(_xlfn.CONCAT(U$29," - Total"),ECMData_EndUse[#Headers],0))/MasterRoomList_SpaceTypeSummary[[#Totals],[Area (sqft)]]</calculatedColumnFormula>
    </tableColumn>
    <tableColumn id="9" xr3:uid="{6C802455-80DD-4BE4-BDDF-83A809482C84}" name="Fans Parking Garage" dataDxfId="295" dataCellStyle="Percent">
      <calculatedColumnFormula>INDEX(ECMData_EndUse[#All],MATCH(ECMData_EUI37[[#This Row],[Model Run]],ECMData_EndUse[[#All],[Model Run]],0),MATCH(_xlfn.CONCAT(V$29," - Total"),ECMData_EndUse[#Headers],0))/MasterRoomList_SpaceTypeSummary[[#Totals],[Area (sqft)]]</calculatedColumnFormula>
    </tableColumn>
    <tableColumn id="10" xr3:uid="{62E7E4AA-DCA6-4A47-9527-8D2508A0F90B}" name="Service Water Heating" dataDxfId="294" dataCellStyle="Percent">
      <calculatedColumnFormula>INDEX(ECMData_EndUse[#All],MATCH(ECMData_EUI37[[#This Row],[Model Run]],ECMData_EndUse[[#All],[Model Run]],0),MATCH(_xlfn.CONCAT(W$29," - Total"),ECMData_EndUse[#Headers],0))/MasterRoomList_SpaceTypeSummary[[#Totals],[Area (sqft)]]</calculatedColumnFormula>
    </tableColumn>
    <tableColumn id="12" xr3:uid="{149C5C69-3054-4946-B2C9-BADD0DD96FC4}" name="Receptacle Equipment" dataDxfId="293">
      <calculatedColumnFormula>INDEX(ECMData_EndUse[#All],MATCH(ECMData_EUI37[[#This Row],[Model Run]],ECMData_EndUse[[#All],[Model Run]],0),MATCH(_xlfn.CONCAT(X$29," - Total"),ECMData_EndUse[#Headers],0))/MasterRoomList_SpaceTypeSummary[[#Totals],[Area (sqft)]]</calculatedColumnFormula>
    </tableColumn>
    <tableColumn id="13" xr3:uid="{F57DCD63-8F64-4467-9165-403416024775}" name="Interior Lighting Process" dataDxfId="292">
      <calculatedColumnFormula>INDEX(ECMData_EndUse[#All],MATCH(ECMData_EUI37[[#This Row],[Model Run]],ECMData_EndUse[[#All],[Model Run]],0),MATCH(_xlfn.CONCAT(Y$29," - Total"),ECMData_EndUse[#Headers],0))/MasterRoomList_SpaceTypeSummary[[#Totals],[Area (sqft)]]</calculatedColumnFormula>
    </tableColumn>
    <tableColumn id="14" xr3:uid="{E11D2F0E-F0C5-48EB-B8BD-D09B7F3C38CD}" name="Refrigeration" dataDxfId="291">
      <calculatedColumnFormula>INDEX(ECMData_EndUse[#All],MATCH(ECMData_EUI37[[#This Row],[Model Run]],ECMData_EndUse[[#All],[Model Run]],0),MATCH(_xlfn.CONCAT(Z$29," - Total"),ECMData_EndUse[#Headers],0))/MasterRoomList_SpaceTypeSummary[[#Totals],[Area (sqft)]]</calculatedColumnFormula>
    </tableColumn>
    <tableColumn id="15" xr3:uid="{6B6B46BB-0F22-4D6D-90D8-70B1270CBAC5}" name="Data Centre Equipment" dataDxfId="290">
      <calculatedColumnFormula>INDEX(ECMData_EndUse[#All],MATCH(ECMData_EUI37[[#This Row],[Model Run]],ECMData_EndUse[[#All],[Model Run]],0),MATCH(_xlfn.CONCAT(AA$29," - Total"),ECMData_EndUse[#Headers],0))/MasterRoomList_SpaceTypeSummary[[#Totals],[Area (sqft)]]</calculatedColumnFormula>
    </tableColumn>
    <tableColumn id="16" xr3:uid="{5D5E4B2F-B66F-4474-9690-54C856F834E5}" name="Cooking" dataDxfId="289">
      <calculatedColumnFormula>INDEX(ECMData_EndUse[#All],MATCH(ECMData_EUI37[[#This Row],[Model Run]],ECMData_EndUse[[#All],[Model Run]],0),MATCH(_xlfn.CONCAT(AB$29," - Total"),ECMData_EndUse[#Headers],0))/MasterRoomList_SpaceTypeSummary[[#Totals],[Area (sqft)]]</calculatedColumnFormula>
    </tableColumn>
    <tableColumn id="17" xr3:uid="{977461C5-0C05-4A23-BF9E-8174AB875426}" name="Elevators/ Escalators" dataDxfId="288">
      <calculatedColumnFormula>INDEX(ECMData_EndUse[#All],MATCH(ECMData_EUI37[[#This Row],[Model Run]],ECMData_EndUse[[#All],[Model Run]],0),MATCH(_xlfn.CONCAT(AC$29," - Total"),ECMData_EndUse[#Headers],0))/MasterRoomList_SpaceTypeSummary[[#Totals],[Area (sqft)]]</calculatedColumnFormula>
    </tableColumn>
    <tableColumn id="18" xr3:uid="{0AA7C6AD-1F3A-4707-87C1-B3E1DA9923B6}" name="Heat Rejection" dataDxfId="287">
      <calculatedColumnFormula>INDEX(ECMData_EndUse[#All],MATCH(ECMData_EUI37[[#This Row],[Model Run]],ECMData_EndUse[[#All],[Model Run]],0),MATCH(_xlfn.CONCAT(AD$29," - Total"),ECMData_EndUse[#Headers],0))/MasterRoomList_SpaceTypeSummary[[#Totals],[Area (sqft)]]</calculatedColumnFormula>
    </tableColumn>
    <tableColumn id="19" xr3:uid="{41489151-599C-42C1-B3CA-7607DFF20B35}" name="Combined Heat and Power" dataDxfId="286">
      <calculatedColumnFormula>INDEX(ECMData_EndUse[#All],MATCH(ECMData_EUI37[[#This Row],[Model Run]],ECMData_EndUse[[#All],[Model Run]],0),MATCH(_xlfn.CONCAT(AE$29," - Total"),ECMData_EndUse[#Headers],0))/MasterRoomList_SpaceTypeSummary[[#Totals],[Area (sqft)]]</calculatedColumnFormula>
    </tableColumn>
    <tableColumn id="20" xr3:uid="{FA2CB0A6-5B39-4CA1-A105-29A3FCBFED3A}" name="Humidification" dataDxfId="285">
      <calculatedColumnFormula>INDEX(ECMData_EndUse[#All],MATCH(ECMData_EUI37[[#This Row],[Model Run]],ECMData_EndUse[[#All],[Model Run]],0),MATCH(_xlfn.CONCAT(AF$29," - Total"),ECMData_EndUse[#Headers],0))/MasterRoomList_SpaceTypeSummary[[#Totals],[Area (sqft)]]</calculatedColumnFormula>
    </tableColumn>
    <tableColumn id="22" xr3:uid="{05EF854C-F3D9-4CDE-BA39-91D73583E2A6}" name="Other Processes" dataDxfId="284">
      <calculatedColumnFormula>INDEX(ECMData_EndUse[#All],MATCH(ECMData_EUI37[[#This Row],[Model Run]],ECMData_EndUse[[#All],[Model Run]],0),MATCH(_xlfn.CONCAT(AG$29," - Total"),ECMData_EndUse[#Headers],0))/MasterRoomList_SpaceTypeSummary[[#Totals],[Area (sqft)]]</calculatedColumnFormula>
    </tableColumn>
    <tableColumn id="21" xr3:uid="{9BB770D9-9752-4E55-AB6D-FB2DFB0CADE6}" name="Total" dataDxfId="283">
      <calculatedColumnFormula>SUM(ECMData_EUI37[[#This Row],[Internal Lighting]:[Other Processes]])</calculatedColumnFormula>
    </tableColumn>
  </tableColumns>
  <tableStyleInfo name="TableStyleLight2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D3A7DCA-A244-48D9-9E62-48646F659653}" name="ECMData_Baseline" displayName="ECMData_Baseline" ref="A6:T10" totalsRowShown="0" headerRowDxfId="282" headerRowBorderDxfId="281" tableBorderDxfId="280" totalsRowBorderDxfId="279">
  <autoFilter ref="A6:T10" xr:uid="{1D3A7DCA-A244-48D9-9E62-48646F659653}"/>
  <tableColumns count="20">
    <tableColumn id="1" xr3:uid="{C55A33D9-A793-4A52-963C-94380B5A5A26}" name="Energy" dataDxfId="278"/>
    <tableColumn id="2" xr3:uid="{1A048680-A157-4FBB-BAAB-CC8CDE441277}" name="Internal Lighting"/>
    <tableColumn id="3" xr3:uid="{E2812636-FF6D-4A11-A06F-D615CAD2C177}" name="External Lighting"/>
    <tableColumn id="4" xr3:uid="{BE756C6E-A387-4DA5-9288-F03953A22F8B}" name="Space Heating"/>
    <tableColumn id="5" xr3:uid="{D085FE0F-3EEB-40ED-96BF-E3482D3232A2}" name="Space Cooling"/>
    <tableColumn id="6" xr3:uid="{B222A835-5A07-4EB5-A976-4E40EB277E3C}" name="Pumps"/>
    <tableColumn id="7" xr3:uid="{AC4F1C90-3630-4549-BC3E-26F1471CCD06}" name="Fans Process"/>
    <tableColumn id="8" xr3:uid="{4AD7568B-D185-42F7-9C0E-D6BF75EC98BA}" name="Fans Interior"/>
    <tableColumn id="9" xr3:uid="{15589190-E7F7-41AD-86D3-F611C4204C4F}" name="Fans Parking Garage"/>
    <tableColumn id="10" xr3:uid="{72B72EE2-247F-4CE5-B974-79FA33AD4B88}" name="Service Water Heating"/>
    <tableColumn id="11" xr3:uid="{D8C14B51-3EF8-49DE-80D2-FFF4224BC454}" name="Receptacle Equipment"/>
    <tableColumn id="12" xr3:uid="{C6CE0271-50E4-4D1A-B75F-F8DB7366FF00}" name="Interior Lighting Process"/>
    <tableColumn id="13" xr3:uid="{8EEDE4BA-E66B-418D-8972-9A92D8AB2BEA}" name="Refrigeration"/>
    <tableColumn id="14" xr3:uid="{526768EE-E953-476C-9630-1EE6125E2B29}" name="Data Centre Equipment"/>
    <tableColumn id="15" xr3:uid="{CE1FBFAC-A418-4CD0-A145-FC835788FED2}" name="Cooking"/>
    <tableColumn id="16" xr3:uid="{AADF4D5D-0B7F-42F4-ACB4-7297F812DDB0}" name="Elevators/ Escalators"/>
    <tableColumn id="17" xr3:uid="{AD3049B4-D9A7-4E9A-958D-923E70EE90C7}" name="Heat Rejection"/>
    <tableColumn id="18" xr3:uid="{3DF2F4B1-3A95-4797-8CFB-065A41A7C9E6}" name="Combined Heat and Power"/>
    <tableColumn id="19" xr3:uid="{E156AEC2-921C-4A42-A2F2-1BF96F4B8446}" name="Humidification"/>
    <tableColumn id="20" xr3:uid="{C518DE46-1A58-4716-8A88-65EA103B75E7}" name="Other Processe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F5BED42-41F2-4FD7-A3F2-7F80CF781183}" name="ECMData_Proposed" displayName="ECMData_Proposed" ref="A17:T21" totalsRowShown="0" headerRowDxfId="277" headerRowBorderDxfId="276" tableBorderDxfId="275" totalsRowBorderDxfId="274">
  <autoFilter ref="A17:T21" xr:uid="{DF5BED42-41F2-4FD7-A3F2-7F80CF781183}"/>
  <tableColumns count="20">
    <tableColumn id="1" xr3:uid="{EC378FE5-AF1A-4492-8B43-7C2C614ABFD7}" name="Energy" dataDxfId="273"/>
    <tableColumn id="2" xr3:uid="{2AA057A2-260B-4CE1-B3E6-13B43BBEE025}" name="Internal Lighting"/>
    <tableColumn id="3" xr3:uid="{D52E1BE8-11E2-4A22-B636-3652803FF872}" name="External Lighting"/>
    <tableColumn id="4" xr3:uid="{C32FFC20-3E6C-42B7-A245-9F75F0B1BD6E}" name="Space Heating"/>
    <tableColumn id="5" xr3:uid="{BF638813-7547-4AE4-921B-EE1CAFC96418}" name="Space Cooling"/>
    <tableColumn id="6" xr3:uid="{D86A9125-DDD0-4E90-AB22-FFB60B61B363}" name="Pumps"/>
    <tableColumn id="7" xr3:uid="{4C1EDA39-7805-460E-9E85-6541AC8DD1D7}" name="Fans Process"/>
    <tableColumn id="8" xr3:uid="{6DEDFC29-1D53-494A-B94D-90A1D58B8395}" name="Fans Interior"/>
    <tableColumn id="9" xr3:uid="{21BF8FC8-F378-44CF-9950-489568B66C15}" name="Fans Parking Garage"/>
    <tableColumn id="10" xr3:uid="{8F3E9482-8D55-42D6-AC59-A994841A9933}" name="Service Water Heating"/>
    <tableColumn id="11" xr3:uid="{ECD56DDD-A78D-4678-9A61-E6FFAF5DE237}" name="Receptacle Equipment"/>
    <tableColumn id="12" xr3:uid="{5E118B01-F205-4298-A230-C568261884DF}" name="Interior Lighting Process"/>
    <tableColumn id="13" xr3:uid="{FEC5BFDB-7C22-4520-8AF9-ED58FD73006B}" name="Refrigeration"/>
    <tableColumn id="14" xr3:uid="{23550B67-157B-435B-9F3C-CD5F35497A74}" name="Data Centre Equipment"/>
    <tableColumn id="15" xr3:uid="{694E4BD5-09E3-4F73-B5D2-90DA076A5371}" name="Cooking"/>
    <tableColumn id="16" xr3:uid="{1025AAD4-7795-4DD7-9D9D-B76776700C94}" name="Elevators/ Escalators"/>
    <tableColumn id="17" xr3:uid="{AD36868B-36D3-4BF8-88A5-F3AFC6DCB802}" name="Heat Rejection"/>
    <tableColumn id="18" xr3:uid="{815380C6-8E6C-48CB-9B68-38BF9CD027D7}" name="Combined Heat and Power"/>
    <tableColumn id="19" xr3:uid="{AD3E5F24-7A63-4C8A-AFDD-4A2E13E03AD3}" name="Humidification"/>
    <tableColumn id="20" xr3:uid="{7334C293-C68A-4573-87DF-A363FD86E416}" name="Other Processe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A1380CF-F4C5-4241-844A-D55FDC451700}" name="ECMData_ECM1" displayName="ECMData_ECM1" ref="A28:T32" totalsRowShown="0" headerRowDxfId="272" headerRowBorderDxfId="271" tableBorderDxfId="270" totalsRowBorderDxfId="269">
  <autoFilter ref="A28:T32" xr:uid="{0A1380CF-F4C5-4241-844A-D55FDC451700}"/>
  <tableColumns count="20">
    <tableColumn id="1" xr3:uid="{4042969D-824C-4DCE-9EE1-57C3D5F2D569}" name="Energy" dataDxfId="268"/>
    <tableColumn id="2" xr3:uid="{F0BF3A0F-2E77-405B-97E4-D6E78050D31A}" name="Internal Lighting"/>
    <tableColumn id="3" xr3:uid="{EA080E84-B92B-40D0-8405-29FF679F110A}" name="External Lighting"/>
    <tableColumn id="4" xr3:uid="{3764DBAA-0DF7-4536-9D67-2D5FD1567F4D}" name="Space Heating"/>
    <tableColumn id="5" xr3:uid="{8EC340C2-80E2-4CF0-846C-F17E6898DAE0}" name="Space Cooling"/>
    <tableColumn id="6" xr3:uid="{DA2EFD8E-B592-462E-822B-30826DF2EBFE}" name="Pumps"/>
    <tableColumn id="7" xr3:uid="{58CC9BD1-E44E-4084-B0A6-FDE4A34278D4}" name="Fans Process"/>
    <tableColumn id="8" xr3:uid="{BE1418A5-0EF8-4121-A72E-D08EF71DF904}" name="Fans Interior"/>
    <tableColumn id="9" xr3:uid="{289070BA-C123-43DB-94F3-A0BA7E5B2207}" name="Fans Parking Garage"/>
    <tableColumn id="10" xr3:uid="{6719BFD4-4F25-46DD-BDE7-E68D9D36FA99}" name="Service Water Heating"/>
    <tableColumn id="11" xr3:uid="{6BFDC4AC-A7C2-4875-BF08-A2F5EF44AF6F}" name="Receptacle Equipment"/>
    <tableColumn id="12" xr3:uid="{C54EA038-142C-4C3F-BF63-D56C046802F6}" name="Interior Lighting Process"/>
    <tableColumn id="13" xr3:uid="{07DBD961-F2FA-4210-BED8-EB578B886242}" name="Refrigeration"/>
    <tableColumn id="14" xr3:uid="{18C54FA3-D675-433B-9BEA-62A697299ABE}" name="Data Centre Equipment"/>
    <tableColumn id="15" xr3:uid="{6AFFAF47-EA88-46C8-9DD9-B72F76784268}" name="Cooking"/>
    <tableColumn id="16" xr3:uid="{D1E5996D-7814-4FC5-BA17-2ECFB8CB6AF5}" name="Elevators/ Escalators"/>
    <tableColumn id="17" xr3:uid="{48B7F778-A0AD-4C1B-8C39-3E0D0D56DA68}" name="Heat Rejection"/>
    <tableColumn id="18" xr3:uid="{23A96A94-F2FD-4382-9905-5022962953CD}" name="Combined Heat and Power"/>
    <tableColumn id="19" xr3:uid="{D4A6EEAF-4FB1-44CF-AEB1-7C62E4CD2E72}" name="Humidification"/>
    <tableColumn id="20" xr3:uid="{5A1C2541-35E5-429E-88EC-5C5E8FF1E87D}" name="Other Process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DBC81853-9671-4E64-81C4-42704C2028AD}" name="ECMData_ECM2" displayName="ECMData_ECM2" ref="A39:T43" totalsRowShown="0" headerRowDxfId="267" headerRowBorderDxfId="266" tableBorderDxfId="265" totalsRowBorderDxfId="264">
  <autoFilter ref="A39:T43" xr:uid="{DBC81853-9671-4E64-81C4-42704C2028AD}"/>
  <tableColumns count="20">
    <tableColumn id="1" xr3:uid="{38DA797C-281F-4503-935B-F6A73109727C}" name="Energy" dataDxfId="263"/>
    <tableColumn id="2" xr3:uid="{1327D5CF-F9D6-46C3-A3E9-5D8C1FD999B8}" name="Internal Lighting"/>
    <tableColumn id="3" xr3:uid="{E8574F1A-98D9-4460-9806-25620C3544AE}" name="External Lighting"/>
    <tableColumn id="4" xr3:uid="{68CFB91C-1CCD-477C-B56F-A46566D5A5B9}" name="Space Heating"/>
    <tableColumn id="5" xr3:uid="{F81C82E2-C69A-40C2-9EF3-226E36CECA82}" name="Space Cooling"/>
    <tableColumn id="6" xr3:uid="{0365B9C0-60FA-4C52-8A7C-1FF9ABFC5368}" name="Pumps"/>
    <tableColumn id="7" xr3:uid="{399852C1-7710-4912-81C1-3B46603140C8}" name="Fans Process"/>
    <tableColumn id="8" xr3:uid="{85EFCFAE-E85F-4F11-99B9-F0C631ED864A}" name="Fans Interior"/>
    <tableColumn id="9" xr3:uid="{4183C950-1E33-463A-97D9-89F863C274E4}" name="Fans Parking Garage"/>
    <tableColumn id="10" xr3:uid="{5E952584-3466-4218-A1C5-B700C58DB1DD}" name="Service Water Heating"/>
    <tableColumn id="11" xr3:uid="{D9EC3EE3-9579-45EF-BCD1-8A43FC125C9F}" name="Receptacle Equipment"/>
    <tableColumn id="12" xr3:uid="{8F2AF1E3-E033-48F0-BD61-74933A584DBD}" name="Interior Lighting Process"/>
    <tableColumn id="13" xr3:uid="{9BDF16B8-18FB-4A90-BB83-F63E471D9D7F}" name="Refrigeration"/>
    <tableColumn id="14" xr3:uid="{FA0C0145-8434-41FD-A172-16809E07F78C}" name="Data Centre Equipment"/>
    <tableColumn id="15" xr3:uid="{C213232A-32D5-454A-82DA-9DC3D4FACBC8}" name="Cooking"/>
    <tableColumn id="16" xr3:uid="{2982F2EF-9D97-4097-851B-B0B51F31EB17}" name="Elevators/ Escalators"/>
    <tableColumn id="17" xr3:uid="{E48CD725-BC7A-4A63-8463-4DDAA4011C91}" name="Heat Rejection"/>
    <tableColumn id="18" xr3:uid="{9A14FF0E-BC9C-4274-9052-C0E7DB7E404C}" name="Combined Heat and Power"/>
    <tableColumn id="19" xr3:uid="{3C520D50-4BE4-491A-907A-D38907A5199D}" name="Humidification"/>
    <tableColumn id="20" xr3:uid="{89A0D6B6-6A02-46D3-8704-2B8C58EF935D}" name="Other Processe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B29BCB86-3FD9-4B98-A567-FDDD8DB758C6}" name="ECMData_ECM3" displayName="ECMData_ECM3" ref="A50:T54" totalsRowShown="0" headerRowDxfId="262" headerRowBorderDxfId="261" tableBorderDxfId="260" totalsRowBorderDxfId="259">
  <autoFilter ref="A50:T54" xr:uid="{B29BCB86-3FD9-4B98-A567-FDDD8DB758C6}"/>
  <tableColumns count="20">
    <tableColumn id="1" xr3:uid="{10677F57-A6AF-4420-9226-78B4EB6FEF2B}" name="Energy" dataDxfId="258"/>
    <tableColumn id="2" xr3:uid="{8A28478F-FACB-477C-8722-7548B3A0AF7B}" name="Internal Lighting"/>
    <tableColumn id="3" xr3:uid="{04AECA76-BF27-433E-8C62-921B7F49A99F}" name="External Lighting"/>
    <tableColumn id="4" xr3:uid="{66480F26-8B25-4B0D-A7FD-4810FEF864A0}" name="Space Heating"/>
    <tableColumn id="5" xr3:uid="{840AF84B-02E8-4195-9140-CA0155FF3D7C}" name="Space Cooling"/>
    <tableColumn id="6" xr3:uid="{B06D9B0F-5F84-4B74-96B3-79877C57C560}" name="Pumps"/>
    <tableColumn id="7" xr3:uid="{1F5B5D8A-6439-479F-8480-93B375C08FDA}" name="Fans Process"/>
    <tableColumn id="8" xr3:uid="{ECED7710-2F0A-4C9A-A4AE-E432F278910F}" name="Fans Interior"/>
    <tableColumn id="9" xr3:uid="{0F66424E-3D5B-481C-90E0-ACA2EB132745}" name="Fans Parking Garage"/>
    <tableColumn id="10" xr3:uid="{094FFA15-A0BD-4959-9CCB-505224DA6783}" name="Service Water Heating"/>
    <tableColumn id="11" xr3:uid="{6F5EF238-332D-45E5-BC92-63FFD4D5DAB5}" name="Receptacle Equipment"/>
    <tableColumn id="12" xr3:uid="{119561FA-E818-4A39-9658-031E10CBE8A7}" name="Interior Lighting Process"/>
    <tableColumn id="13" xr3:uid="{89018B26-C97E-4B34-8DB9-D756B0717A5E}" name="Refrigeration"/>
    <tableColumn id="14" xr3:uid="{1F106B3A-15A8-4DA7-9FB9-E4A004B5039A}" name="Data Centre Equipment"/>
    <tableColumn id="15" xr3:uid="{CBE3B30C-755F-469E-9D2D-F49B2D43D5C2}" name="Cooking"/>
    <tableColumn id="16" xr3:uid="{2E6E9B24-F2E8-4BCF-812F-71770B977FC5}" name="Elevators/ Escalators"/>
    <tableColumn id="17" xr3:uid="{0C5F66B6-E50B-4130-AD52-DD979A5CBF66}" name="Heat Rejection"/>
    <tableColumn id="18" xr3:uid="{AE0ED3C3-94B2-4A14-A6DE-19996FB1854D}" name="Combined Heat and Power"/>
    <tableColumn id="19" xr3:uid="{5A5CE1AE-63EE-4FC4-A0A9-78AD00FBC70E}" name="Humidification"/>
    <tableColumn id="20" xr3:uid="{D4D7CFEB-3485-446C-8155-3F4990B066CE}" name="Other Processes"/>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CBCA5A0-1638-4F5D-BFE8-2654BB2A819C}" name="ECMData_ECM4" displayName="ECMData_ECM4" ref="A61:T65" totalsRowShown="0" headerRowDxfId="257" headerRowBorderDxfId="256" tableBorderDxfId="255" totalsRowBorderDxfId="254">
  <autoFilter ref="A61:T65" xr:uid="{4CBCA5A0-1638-4F5D-BFE8-2654BB2A819C}"/>
  <tableColumns count="20">
    <tableColumn id="1" xr3:uid="{21D41B12-5DDE-4C20-940D-E128A41B88F1}" name="Energy" dataDxfId="253"/>
    <tableColumn id="2" xr3:uid="{8810B6DA-107D-4B9D-BEC1-525BFCF7B7CC}" name="Internal Lighting"/>
    <tableColumn id="3" xr3:uid="{999628E7-5098-40DC-843B-24301BE55AC4}" name="External Lighting"/>
    <tableColumn id="4" xr3:uid="{876C2B00-E32F-4657-9678-389218D9B69A}" name="Space Heating"/>
    <tableColumn id="5" xr3:uid="{54A92F99-05B3-4FE5-BFB9-A2F292257613}" name="Space Cooling"/>
    <tableColumn id="6" xr3:uid="{991A4004-B42B-4695-B8B3-AD811D735034}" name="Pumps"/>
    <tableColumn id="7" xr3:uid="{3596DF60-A783-40CD-B7C9-EFA352570FD3}" name="Fans Process"/>
    <tableColumn id="8" xr3:uid="{0ABD11F0-7E1D-4DC0-B59A-6592FF289CE1}" name="Fans Interior"/>
    <tableColumn id="9" xr3:uid="{D02888FA-3DCF-4639-AF0A-A8A7C1D37498}" name="Fans Parking Garage"/>
    <tableColumn id="10" xr3:uid="{FB7ACE5F-4F93-45D4-ABA6-B4E4F61D05E0}" name="Service Water Heating"/>
    <tableColumn id="11" xr3:uid="{A7EAFD06-B22F-4BB3-8749-5CC360CDDF58}" name="Receptacle Equipment"/>
    <tableColumn id="12" xr3:uid="{B3C39240-D42F-46F3-BF1F-8D2571C9AB44}" name="Interior Lighting Process"/>
    <tableColumn id="13" xr3:uid="{397E9862-1EA8-4050-9294-7FFEB37DAED2}" name="Refrigeration"/>
    <tableColumn id="14" xr3:uid="{22FEE661-178E-49D9-83C2-1BFDAE1D3C1F}" name="Data Centre Equipment"/>
    <tableColumn id="15" xr3:uid="{40BAD48B-DD5D-4A59-B51A-D3AE05A11576}" name="Cooking"/>
    <tableColumn id="16" xr3:uid="{F4446931-2A13-4EF0-A4F9-0D5787E94929}" name="Elevators/ Escalators"/>
    <tableColumn id="17" xr3:uid="{0BE9A3C3-8BC3-4594-9E56-0B692273E397}" name="Heat Rejection"/>
    <tableColumn id="18" xr3:uid="{367A68F8-ED1D-4F22-9C43-6C8EAB442E7B}" name="Combined Heat and Power"/>
    <tableColumn id="19" xr3:uid="{49C38652-FC7B-4410-8E4A-4515CA767EC9}" name="Humidification"/>
    <tableColumn id="20" xr3:uid="{F48900A3-CA5A-4BCB-9683-CA929978B0CF}" name="Other Processes"/>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0BC7B1A-C363-409F-99C3-CFF30E79FF95}" name="ECMData_ECM5" displayName="ECMData_ECM5" ref="A72:T76" totalsRowShown="0" headerRowDxfId="252" headerRowBorderDxfId="251" tableBorderDxfId="250" totalsRowBorderDxfId="249">
  <autoFilter ref="A72:T76" xr:uid="{B0BC7B1A-C363-409F-99C3-CFF30E79FF95}"/>
  <tableColumns count="20">
    <tableColumn id="1" xr3:uid="{159D5D0D-0FE0-4BDE-8C17-351B34D7284E}" name="Energy" dataDxfId="248"/>
    <tableColumn id="2" xr3:uid="{8E1A0583-D660-422C-B791-B1FBD8B38628}" name="Internal Lighting"/>
    <tableColumn id="3" xr3:uid="{C69CCEA6-857F-48FC-BE36-F6EF533D2251}" name="External Lighting"/>
    <tableColumn id="4" xr3:uid="{BE3E8F77-47CB-44C1-B31C-E23231400E33}" name="Space Heating"/>
    <tableColumn id="5" xr3:uid="{B5DDAC68-F595-4D47-8989-96EACC02E12A}" name="Space Cooling"/>
    <tableColumn id="6" xr3:uid="{4A13ACBA-0242-4ED6-82AA-DA213431C0E5}" name="Pumps"/>
    <tableColumn id="7" xr3:uid="{B031DF8E-2B63-4781-BE3A-DDE0451A60C0}" name="Fans Process"/>
    <tableColumn id="8" xr3:uid="{87AAD108-2215-4AC7-9153-D76788FDCAB5}" name="Fans Interior"/>
    <tableColumn id="9" xr3:uid="{111F13BE-471D-4CD7-A0DC-D50B912C966F}" name="Fans Parking Garage"/>
    <tableColumn id="10" xr3:uid="{3873AB45-EBEB-4B0E-89E3-605BEEA3C5CB}" name="Service Water Heating"/>
    <tableColumn id="11" xr3:uid="{07B15EF0-70D1-4ABE-9606-8F513181FBA1}" name="Receptacle Equipment"/>
    <tableColumn id="12" xr3:uid="{0BA034FF-DBED-4481-9E8F-A3469A5F611B}" name="Interior Lighting Process"/>
    <tableColumn id="13" xr3:uid="{1B0F0D81-907B-44AB-9F95-B8FD3C0625E7}" name="Refrigeration"/>
    <tableColumn id="14" xr3:uid="{C4067796-8D69-4FAC-BCA1-79F31776A0E1}" name="Data Centre Equipment"/>
    <tableColumn id="15" xr3:uid="{2F97D60A-4B3A-4BE2-9EAE-88776F23C37C}" name="Cooking"/>
    <tableColumn id="16" xr3:uid="{F69C3DFF-5B91-43C3-A10B-F43E261C2009}" name="Elevators/ Escalators"/>
    <tableColumn id="17" xr3:uid="{6BB01559-03C8-4CEE-8CD7-54B2D6866993}" name="Heat Rejection"/>
    <tableColumn id="18" xr3:uid="{595DACE1-2E46-4DB9-A68F-D208218BC93E}" name="Combined Heat and Power"/>
    <tableColumn id="19" xr3:uid="{73208625-34F5-4B47-93CA-AA27A4B7FCEF}" name="Humidification"/>
    <tableColumn id="20" xr3:uid="{2B06263F-319A-4B74-A434-1F85FBCCE1F2}" name="Other Processe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DAAB637D-AC61-4626-B9FE-E620D70021C3}" name="ECMData_ECM6" displayName="ECMData_ECM6" ref="A83:T87" totalsRowShown="0" headerRowDxfId="247" headerRowBorderDxfId="246" tableBorderDxfId="245" totalsRowBorderDxfId="244">
  <autoFilter ref="A83:T87" xr:uid="{DAAB637D-AC61-4626-B9FE-E620D70021C3}"/>
  <tableColumns count="20">
    <tableColumn id="1" xr3:uid="{8B2A0919-0D48-49B0-9D68-042018B3ADAE}" name="Energy" dataDxfId="243"/>
    <tableColumn id="2" xr3:uid="{C0719BE3-CD6F-493F-B914-D0B96AA7DA95}" name="Internal Lighting"/>
    <tableColumn id="3" xr3:uid="{9BB91A57-D9E4-4D3E-BB85-07D0B55A5743}" name="External Lighting"/>
    <tableColumn id="4" xr3:uid="{05DCBC27-C083-4495-A14D-4C516754A0E2}" name="Space Heating"/>
    <tableColumn id="5" xr3:uid="{36BDE90C-F6E9-4D6A-8BA8-B63AD6B5A1A9}" name="Space Cooling"/>
    <tableColumn id="6" xr3:uid="{31DEE3E0-6A39-4753-9ECB-EDB0913D71BA}" name="Pumps"/>
    <tableColumn id="7" xr3:uid="{96E81CBE-A0BD-4FBC-9685-4DAC380DF10D}" name="Fans Process"/>
    <tableColumn id="8" xr3:uid="{107114BE-29AA-408B-BB71-2B7D1EE77EBE}" name="Fans Interior"/>
    <tableColumn id="9" xr3:uid="{0120C85A-516F-4AE4-9492-89A12F2E9C1C}" name="Fans Parking Garage"/>
    <tableColumn id="10" xr3:uid="{B32BA001-7697-4CB3-B3DD-431ACBDBD303}" name="Service Water Heating"/>
    <tableColumn id="11" xr3:uid="{653647F1-1C0F-4504-8AE0-BEAF7D4B49AE}" name="Receptacle Equipment"/>
    <tableColumn id="12" xr3:uid="{A9301D78-1634-43B7-B259-BF601E9630BA}" name="Interior Lighting Process"/>
    <tableColumn id="13" xr3:uid="{6B7A3812-14C9-4E26-ABD4-7B6CB74F5553}" name="Refrigeration"/>
    <tableColumn id="14" xr3:uid="{EDB2F26A-EA10-4C43-A37D-6B46AE865A39}" name="Data Centre Equipment"/>
    <tableColumn id="15" xr3:uid="{8467F657-B5CD-440A-A2EC-2CB8D9807E3E}" name="Cooking"/>
    <tableColumn id="16" xr3:uid="{D4598F7C-D482-42B1-959B-6132C6996ECB}" name="Elevators/ Escalators"/>
    <tableColumn id="17" xr3:uid="{F3E72520-2CC9-4F64-89CA-5C2646EE1945}" name="Heat Rejection"/>
    <tableColumn id="18" xr3:uid="{A6E3FED9-776D-4282-8294-3A83E5D545BC}" name="Combined Heat and Power"/>
    <tableColumn id="19" xr3:uid="{E9B84670-B1CB-42DA-8C0D-E682223D2E67}" name="Humidification"/>
    <tableColumn id="20" xr3:uid="{5DE629DD-B8FD-4F6E-BD90-38BB68F32674}" name="Other Processe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A58E9D1D-B8C2-4A0A-9793-7C8A7E96FA22}" name="ECMData_ECM7" displayName="ECMData_ECM7" ref="A94:T98" totalsRowShown="0" headerRowDxfId="242" headerRowBorderDxfId="241" tableBorderDxfId="240" totalsRowBorderDxfId="239">
  <autoFilter ref="A94:T98" xr:uid="{A58E9D1D-B8C2-4A0A-9793-7C8A7E96FA22}"/>
  <tableColumns count="20">
    <tableColumn id="1" xr3:uid="{DFF17AD7-3C3F-4A0B-BD77-F0471B63112E}" name="Energy" dataDxfId="238"/>
    <tableColumn id="2" xr3:uid="{9C543617-23C3-4D23-A700-027F0361FFCA}" name="Internal Lighting"/>
    <tableColumn id="3" xr3:uid="{1A7B0DDE-F5E2-4913-A9F6-6B5F93029C0A}" name="External Lighting"/>
    <tableColumn id="4" xr3:uid="{02644698-4359-4AE7-8629-B0C67C44348A}" name="Space Heating"/>
    <tableColumn id="5" xr3:uid="{F3561D56-D9AF-4296-94C1-F18175AED164}" name="Space Cooling"/>
    <tableColumn id="6" xr3:uid="{86781AF0-3011-4BF2-97B2-D4AD4BA4B93A}" name="Pumps"/>
    <tableColumn id="7" xr3:uid="{670BF149-EBC1-4CFD-BF9D-51006A2EF131}" name="Fans Process"/>
    <tableColumn id="8" xr3:uid="{4A0C750F-ED22-4D62-90A2-C23503D56C83}" name="Fans Interior"/>
    <tableColumn id="9" xr3:uid="{A7CC8E23-B581-4C2E-BC3E-F1756A9B8481}" name="Fans Parking Garage"/>
    <tableColumn id="10" xr3:uid="{4C364586-502F-41A7-BCF3-90CDC95F75BC}" name="Service Water Heating"/>
    <tableColumn id="11" xr3:uid="{54F28B3F-FEBD-4466-8D7B-8C24F10673AD}" name="Receptacle Equipment"/>
    <tableColumn id="12" xr3:uid="{DF7C687A-3EC8-4072-A8CE-78DC5C68E163}" name="Interior Lighting Process"/>
    <tableColumn id="13" xr3:uid="{EF7F7DC7-06F5-4B62-B847-40B1BAA62E96}" name="Refrigeration"/>
    <tableColumn id="14" xr3:uid="{9C580CD9-5458-457E-8709-F3956F8A559C}" name="Data Centre Equipment"/>
    <tableColumn id="15" xr3:uid="{702655F5-88EC-4D01-AB4C-5554EFFC0AEB}" name="Cooking"/>
    <tableColumn id="16" xr3:uid="{51CC263A-B4B7-4653-A77B-2A59F133768A}" name="Elevators/ Escalators"/>
    <tableColumn id="17" xr3:uid="{59E08339-730D-4BC0-A56D-3B38B1B6DEB1}" name="Heat Rejection"/>
    <tableColumn id="18" xr3:uid="{25EEC6CE-1290-4FD3-B2AB-FE75F8C2A23B}" name="Combined Heat and Power"/>
    <tableColumn id="19" xr3:uid="{3291D0F2-454A-4D4F-ACAD-F85D29847BAA}" name="Humidification"/>
    <tableColumn id="20" xr3:uid="{D070663D-AAF0-461B-9EB9-DBD08C6FFB3A}" name="Other Processe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54EA3FE-709D-4A59-B741-7F721BCA7828}" name="Table19" displayName="Table19" ref="A2:C9" totalsRowShown="0" headerRowDxfId="237" headerRowBorderDxfId="236" tableBorderDxfId="235">
  <autoFilter ref="A2:C9" xr:uid="{7BCC408D-49EB-4478-909F-C7309C95E96A}"/>
  <tableColumns count="3">
    <tableColumn id="1" xr3:uid="{89947DAB-4FF7-4649-93DC-1FA16D79DC52}" name="Measures" dataDxfId="234"/>
    <tableColumn id="2" xr3:uid="{8634B212-32BC-4474-BC5F-88258FAF09E3}" name="Name" dataDxfId="233"/>
    <tableColumn id="3" xr3:uid="{AC4AFA21-93C0-4F65-9DE5-7B1FFCBA5AF8}" name="Description" dataDxfId="232"/>
  </tableColumns>
  <tableStyleInfo name="TableStyleLight1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9722921-9FB0-4E73-B13E-278B357D30BB}" name="ProposedAirside" displayName="ProposedAirside" ref="A17:AE29" totalsRowShown="0" headerRowDxfId="231" dataDxfId="230">
  <autoFilter ref="A17:AE29" xr:uid="{B921358E-411B-4096-8E86-180BBCEBA07B}"/>
  <tableColumns count="31">
    <tableColumn id="1" xr3:uid="{09A92E68-E31E-47CB-A544-4ADB2F8042DF}" name="System Name" dataDxfId="229"/>
    <tableColumn id="2" xr3:uid="{2E7B6C37-ECDB-493C-ADC1-22A8CF1FE8FB}" name="Location" dataDxfId="228"/>
    <tableColumn id="3" xr3:uid="{CCD0DEEE-A206-4977-8257-19B0B191A11E}" name="Service" dataDxfId="227"/>
    <tableColumn id="4" xr3:uid="{001E6AF4-FBA9-4C44-A764-CCA308CE7DB4}" name="Design Airflow [CFM]" dataDxfId="226"/>
    <tableColumn id="5" xr3:uid="{3FBB8454-36C2-433A-A57C-68929038AF03}" name="Design Outdoor Airflow [CFM]" dataDxfId="225">
      <calculatedColumnFormula>ProposedAirside[[#This Row],[Design Airflow '[CFM']]]</calculatedColumnFormula>
    </tableColumn>
    <tableColumn id="6" xr3:uid="{C1A84ADF-1C44-4C39-8AB1-0F01FF1AAC63}" name="Fan QTY" dataDxfId="224"/>
    <tableColumn id="7" xr3:uid="{4A17C564-326C-4857-B55C-813D834E035D}" name="TSP [&quot;WG]" dataDxfId="223"/>
    <tableColumn id="8" xr3:uid="{AAF417CC-EF02-4345-B221-04E8CDE87B3C}" name="ESP [&quot;EG]" dataDxfId="222"/>
    <tableColumn id="27" xr3:uid="{124900E1-1034-499B-8D1B-8EB8C7584761}" name="Fan Power [HP]" dataDxfId="221"/>
    <tableColumn id="26" xr3:uid="{C82090B6-59F8-4047-9D88-52FC6E5F58BB}" name="Fan Efficiency [%]" dataDxfId="220"/>
    <tableColumn id="25" xr3:uid="{0F7EEF8E-A130-4181-800C-7902B769DD76}" name="Fan Power [BHP]" dataDxfId="219"/>
    <tableColumn id="9" xr3:uid="{79B91736-D392-4C71-ABCA-DB89CD65B73D}" name="IES Fan Power [kW]" dataDxfId="218">
      <calculatedColumnFormula>IF(ISBLANK(ProposedAirside[[#This Row],[Fan Power '[BHP']]]),"",ProposedAirside[[#This Row],[Fan Power '[BHP']]]*0.746*ProposedAirside[[#This Row],[Fan QTY]])</calculatedColumnFormula>
    </tableColumn>
    <tableColumn id="24" xr3:uid="{DE98D453-D87D-4096-8E32-4441A005D72C}" name="IES Fan Power/CFM_x000a_[W/CFM]" dataDxfId="217">
      <calculatedColumnFormula>IFERROR(ProposedAirside[[#This Row],[IES Fan Power '[kW']]]*1000/ProposedAirside[[#This Row],[Design Airflow '[CFM']]],"")</calculatedColumnFormula>
    </tableColumn>
    <tableColumn id="10" xr3:uid="{A7D611CF-FA50-40F5-A481-A56EEF43CAC7}" name="Heating Type" dataDxfId="216"/>
    <tableColumn id="11" xr3:uid="{53EEEFA8-A94C-436A-BB0C-F4FB3E226CFF}" name="Heating EAT [F]" dataDxfId="215"/>
    <tableColumn id="12" xr3:uid="{F7A42341-84EA-459E-9C87-25945DBC888B}" name="Heating LAT [F]" dataDxfId="214"/>
    <tableColumn id="13" xr3:uid="{FEF6229B-068E-4E55-8BE9-34CF8973A9F1}" name="Heating Capacity [MBH]" dataDxfId="213"/>
    <tableColumn id="28" xr3:uid="{43EB9F77-BB73-498D-B4D7-D6D8BFC652B7}" name="Heating Capacity Check (Formula) [kBtu/h]" dataDxfId="212">
      <calculatedColumnFormula>IF(ISBLANK(ProposedAirside[[#This Row],[Design Outdoor Airflow '[CFM']]]),"",1.08*(ProposedAirside[[#This Row],[Heating LAT '[F']]]-ProposedAirside[[#This Row],[Heating EAT '[F']]])*ProposedAirside[[#This Row],[Design Outdoor Airflow '[CFM']]]/1000)</calculatedColumnFormula>
    </tableColumn>
    <tableColumn id="14" xr3:uid="{6775A809-1EEC-4B9B-91A8-CF5FDA16815F}" name="Heating Water Flow [GPM]" dataDxfId="211"/>
    <tableColumn id="30" xr3:uid="{A99AEE81-965B-430B-9A32-B98B6B9AC896}" name="Heating EWT [F]" dataDxfId="210"/>
    <tableColumn id="15" xr3:uid="{537BC4D3-A7B3-416D-82B9-BB920A0B73FD}" name="Assigned Heating System (IES)" dataDxfId="209"/>
    <tableColumn id="16" xr3:uid="{440EC937-84E7-46EA-8F41-120993037CC7}" name="Cooling Type" dataDxfId="208"/>
    <tableColumn id="17" xr3:uid="{39AABE28-AB79-40D5-8E58-7AAF6FC464E1}" name="Cooling EAT - DB [F]" dataDxfId="207"/>
    <tableColumn id="18" xr3:uid="{4ED72833-FDA7-441A-9ACD-B0F868B31CAD}" name="Cooling EAT - WB [F]" dataDxfId="206"/>
    <tableColumn id="19" xr3:uid="{3444B5A3-0CAF-4A70-BF55-807FB7479BC8}" name="Cooling LAT - DB [F]" dataDxfId="205"/>
    <tableColumn id="20" xr3:uid="{3C45D957-1FB1-4EDF-B7E8-2EA07FA416E0}" name="Cooling LAT - WB [F]" dataDxfId="204"/>
    <tableColumn id="21" xr3:uid="{48814D1A-BAE6-482C-A0D7-7C0803FB9380}" name="Cooling Capacity (Sensible) [MBH]" dataDxfId="203"/>
    <tableColumn id="29" xr3:uid="{AF5F91E4-E522-482E-B93A-8E8B4D281454}" name="Cooling Capacity Check (Formula) [kBtu/h]" dataDxfId="202">
      <calculatedColumnFormula>IF(ISBLANK(ProposedAirside[[#This Row],[Design Airflow '[CFM']]]),"",1.1*(ProposedAirside[[#This Row],[Cooling EAT - DB '[F']]]-ProposedAirside[[#This Row],[Cooling LAT - DB '[F']]])*ProposedAirside[[#This Row],[Design Outdoor Airflow '[CFM']]]/1000)</calculatedColumnFormula>
    </tableColumn>
    <tableColumn id="22" xr3:uid="{EE36F87E-ECFC-40D8-8EF8-C9FD458208E3}" name="Cooling Water Flow [GPM]" dataDxfId="201"/>
    <tableColumn id="31" xr3:uid="{291EC119-3BCD-413F-BE98-76CA39F6A6A0}" name="Cooling EWT [F]" dataDxfId="200"/>
    <tableColumn id="23" xr3:uid="{7DBE50BD-2FC2-491B-B599-A5F8110324E0}" name="Assigned Cooling System" dataDxfId="199"/>
  </tableColumns>
  <tableStyleInfo name="TableStyleLight2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8693969-D21B-45F5-9BFA-6908A56BF482}" name="Table7" displayName="Table7" ref="A61:K65" totalsRowShown="0" headerRowDxfId="198" dataDxfId="197">
  <autoFilter ref="A61:K65" xr:uid="{AD110903-E2E6-4005-9BFF-8A0D2AEBC192}"/>
  <tableColumns count="11">
    <tableColumn id="1" xr3:uid="{0C37E665-C3FC-413D-AE08-BCB3BC03ECE8}" name="System Name" dataDxfId="196"/>
    <tableColumn id="2" xr3:uid="{9F873CFA-FED9-4BC9-B9EC-6DB9B917FDAD}" name="Location" dataDxfId="195"/>
    <tableColumn id="3" xr3:uid="{C636B133-5CBB-4BC8-AD32-DACE523D9689}" name="Service" dataDxfId="194"/>
    <tableColumn id="4" xr3:uid="{9C3A6750-6C2E-4649-9C56-90F5AE2D4E45}" name="Design Airflow [CFM]" dataDxfId="193"/>
    <tableColumn id="5" xr3:uid="{1D4D620D-1A03-4FC4-B356-3934A74159B6}" name="Total Capcity [MBH]" dataDxfId="192"/>
    <tableColumn id="6" xr3:uid="{84D83571-98C1-4975-A2BF-A5F2A434A423}" name="Sensible Heat Effectiveness [%]" dataDxfId="191" dataCellStyle="Percent"/>
    <tableColumn id="7" xr3:uid="{5E094A15-BE61-4944-8537-429D2B21712A}" name="Latent Heat Effectiveness [%]" dataDxfId="190" dataCellStyle="Percent"/>
    <tableColumn id="11" xr3:uid="{7506536F-5D0C-4717-8843-725DD6A8B437}" name="Water Flow Rate_x000a_[GPM]" dataDxfId="189" dataCellStyle="Percent"/>
    <tableColumn id="10" xr3:uid="{F63E7E44-EA34-4397-8E3A-282D65781418}" name="Fluid Head_x000a_[ft]" dataDxfId="188" dataCellStyle="Percent"/>
    <tableColumn id="9" xr3:uid="{24A9EBC8-8689-45BE-B6A5-6BE70E3123C0}" name="Pump/Motor Efficiency [%]" dataDxfId="187" dataCellStyle="Percent">
      <calculatedColumnFormula>0.8*0.9</calculatedColumnFormula>
    </tableColumn>
    <tableColumn id="8" xr3:uid="{99C9F71C-68B5-421F-836F-C585641C7B34}" name="Power for Wheel, Pump, etc. [kW]" dataDxfId="186">
      <calculatedColumnFormula>IFERROR(Table7[[#This Row],[Water Flow Rate
'[GPM']]]*Table7[[#This Row],[Fluid Head
'[ft']]]/(3960*Table7[[#This Row],[Pump/Motor Efficiency '[%']]]),"")</calculatedColumnFormula>
    </tableColumn>
  </tableColumns>
  <tableStyleInfo name="TableStyleLight1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1626B3C-1948-4DF8-A322-8223686F6CBA}" name="Table17" displayName="Table17" ref="A32:N54" totalsRowShown="0" headerRowDxfId="185" dataDxfId="183" headerRowBorderDxfId="184" tableBorderDxfId="182" totalsRowBorderDxfId="181">
  <autoFilter ref="A32:N54" xr:uid="{60FB2F57-B3A4-439C-8AED-F7721BA6E13B}"/>
  <tableColumns count="14">
    <tableColumn id="1" xr3:uid="{A6D702E1-1D25-403B-B023-6E9AA117437A}" name="System Name" dataDxfId="180"/>
    <tableColumn id="2" xr3:uid="{43CBE9D4-01ED-4850-84D3-32F57E8A327F}" name="Location" dataDxfId="179"/>
    <tableColumn id="3" xr3:uid="{367C1A63-3409-4F4C-9C6B-064594CC103D}" name="Service" dataDxfId="178"/>
    <tableColumn id="4" xr3:uid="{66076A33-B4A4-4E05-A9BE-AB715C3DA9D1}" name="Design Airflow [CFM]" dataDxfId="177"/>
    <tableColumn id="6" xr3:uid="{3294765F-F0F6-4ABA-A2F7-208F91DB7547}" name="Fan QTY" dataDxfId="176"/>
    <tableColumn id="7" xr3:uid="{B9E24E18-2D27-40B0-B615-8B9846A0539F}" name="TSP [&quot;WG]" dataDxfId="175"/>
    <tableColumn id="8" xr3:uid="{859B13E4-CD97-4E83-97B9-ABF3DCBB9FAB}" name="ESP [&quot;EG]" dataDxfId="174"/>
    <tableColumn id="9" xr3:uid="{E0E818B1-F837-4A52-93A7-E8645EC7CCBD}" name="Fan Power [HP]" dataDxfId="173"/>
    <tableColumn id="5" xr3:uid="{F27408D5-C0A6-42D7-ACBF-1CC2E97BF158}" name="Motor Efficiency [%]" dataDxfId="172" dataCellStyle="Percent"/>
    <tableColumn id="10" xr3:uid="{6354079B-254B-4042-A39F-2D0D0B9007CD}" name="Fan Efficiency [%]" dataDxfId="171" dataCellStyle="Percent"/>
    <tableColumn id="14" xr3:uid="{2D653B77-D690-4402-A063-BB9F6E512528}" name="Calculate BHP from TSP or HP?" dataDxfId="170" dataCellStyle="Percent"/>
    <tableColumn id="11" xr3:uid="{14FEA026-2D31-47B0-B323-EA3375BA7E81}" name="Fan Power [BHP]" dataDxfId="169">
      <calculatedColumnFormula>IF(Table17[[#This Row],[Design Airflow '[CFM']]]="","",IF(Table17[[#This Row],[Calculate BHP from TSP or HP?]]="TSP",Table17[[#This Row],[Design Airflow '[CFM']]]*Table17[[#This Row],[TSP '["WG']]]/(6340*Table17[[#This Row],[Fan Efficiency '[%']]]*Table17[[#This Row],[Fan QTY]]),Table17[[#This Row],[Fan Power '[HP']]]*Table17[[#This Row],[Motor Efficiency '[%']]]))</calculatedColumnFormula>
    </tableColumn>
    <tableColumn id="12" xr3:uid="{676A236A-2F4D-41AC-8998-902D2272A7E8}" name="IES Fan Power [kW]" dataDxfId="168">
      <calculatedColumnFormula>IF(Table17[[#This Row],[Fan Power '[BHP']]]="","",Table17[[#This Row],[Fan Power '[BHP']]]*0.746*Table17[[#This Row],[Fan QTY]])</calculatedColumnFormula>
    </tableColumn>
    <tableColumn id="13" xr3:uid="{B463C49A-91E9-4B45-A88B-B285E68ECA5C}" name="IES Fan Power/CFM_x000a_[W/CFM]" dataDxfId="167">
      <calculatedColumnFormula>IFERROR(Table17[[#This Row],[IES Fan Power '[kW']]]*1000/Table17[[#This Row],[Design Airflow '[CFM']]],"")</calculatedColumnFormula>
    </tableColumn>
  </tableColumns>
  <tableStyleInfo name="TableStyleLight2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E3B2A7-303D-4938-A5BF-6325B722FD0B}" name="Table79" displayName="Table79" ref="A31:F36" totalsRowShown="0" headerRowDxfId="166" dataDxfId="165">
  <autoFilter ref="A31:F36" xr:uid="{9E22F8E2-5C20-47DA-A80F-B7D6909B36A0}"/>
  <tableColumns count="6">
    <tableColumn id="1" xr3:uid="{29291223-7A9A-4C2C-B0CE-D6409EFFA1BB}" name="Equipment Name" dataDxfId="164"/>
    <tableColumn id="2" xr3:uid="{A39CA4A3-8074-440B-92B9-1B978C845999}" name="Location" dataDxfId="163"/>
    <tableColumn id="12" xr3:uid="{BE634045-CDCF-4BA0-899A-FDD41BCD1687}" name="Type" dataDxfId="162"/>
    <tableColumn id="13" xr3:uid="{805030BD-1F5C-4DE9-B438-9CFD6076A615}" name="Nominal Capacity_x000a_[kBtuh]" dataDxfId="161"/>
    <tableColumn id="6" xr3:uid="{77793682-66BF-47C2-BF4E-C17E236E306F}" name="Sensible Heat Effectiveness [%]" dataDxfId="160" dataCellStyle="Percent"/>
    <tableColumn id="11" xr3:uid="{C29FAD06-55DC-4CDF-8A0A-74790C3E18C1}" name="Water Flow Rate_x000a_[GPM]" dataDxfId="159" dataCellStyle="Percent"/>
  </tableColumns>
  <tableStyleInfo name="TableStyleLight1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84B86A9-BAA8-4965-AEC3-C18E35CBE523}" name="Table7914" displayName="Table7914" ref="A17:P20" totalsRowShown="0" headerRowDxfId="158" dataDxfId="157">
  <autoFilter ref="A17:P20" xr:uid="{766C44C5-5897-4DBD-98AC-4C9CBF685BDE}"/>
  <tableColumns count="16">
    <tableColumn id="1" xr3:uid="{5ED3A267-444B-4336-A7F1-DEC4026C3A85}" name="Equipment Name" dataDxfId="156"/>
    <tableColumn id="2" xr3:uid="{11C5392D-9482-48DB-9AFF-96FB242E5A39}" name="Location" dataDxfId="155"/>
    <tableColumn id="12" xr3:uid="{D58B7715-4617-44F8-B25C-488A363C08E2}" name="Type" dataDxfId="154"/>
    <tableColumn id="13" xr3:uid="{8C8ADFFF-4A05-4646-B2B8-545F42463593}" name="Nominal Capacity_x000a_[Tons]" dataDxfId="153"/>
    <tableColumn id="3" xr3:uid="{2D45AE03-3F4A-4CF1-B116-BFB5FB2EDD9B}" name="Latent Capacity_x000a_[Tons]" dataDxfId="152"/>
    <tableColumn id="4" xr3:uid="{D3957FB8-412B-4B9E-8F1B-D894259A3CA3}" name="kW/Ton" dataDxfId="151"/>
    <tableColumn id="5" xr3:uid="{C983929A-900C-42C7-A614-F81B733F4C21}" name="Cooling COP" dataDxfId="150">
      <calculatedColumnFormula>IFERROR(12/Table7914[[#This Row],[kW/Ton]]/3.412,"")</calculatedColumnFormula>
    </tableColumn>
    <tableColumn id="11" xr3:uid="{A049C52C-EB67-409C-9F50-54F1D7D7B953}" name="Evap Flow Rate_x000a_(GPM)" dataDxfId="149" dataCellStyle="Percent"/>
    <tableColumn id="14" xr3:uid="{A0EF4729-5124-4D3A-AE57-CCB6AA983A26}" name="Evap Entering Water Temp_x000a_[F]" dataDxfId="148" dataCellStyle="Percent"/>
    <tableColumn id="6" xr3:uid="{B58053B8-7E89-43FB-A87A-A41B18AEFE27}" name="Evap Leaving Water Temp_x000a_[F]" dataDxfId="147" dataCellStyle="Percent"/>
    <tableColumn id="15" xr3:uid="{B38BCC69-8D7B-41D3-86FF-C1730BB53DAF}" name="Evap Delta P_x000a_[PSI]" dataDxfId="146" dataCellStyle="Percent"/>
    <tableColumn id="16" xr3:uid="{00B74749-8977-4C81-B0B8-F5E34684EB2F}" name="Cond Flow Rate_x000a_[GPM]" dataDxfId="145" dataCellStyle="Percent"/>
    <tableColumn id="10" xr3:uid="{851E18CF-D4E3-4AD9-A419-5548DEAA3DE6}" name="Cond Entering Temp_x000a_[F]" dataDxfId="144" dataCellStyle="Percent"/>
    <tableColumn id="7" xr3:uid="{6A16808A-9101-4F38-BE59-86948DB75729}" name="Cond Leaving Temp_x000a_[F]" dataDxfId="143" dataCellStyle="Percent"/>
    <tableColumn id="9" xr3:uid="{9B694C83-7C17-455F-ACCF-4664D3D09D07}" name="Cond Delta P_x000a_[PSI]" dataDxfId="142" dataCellStyle="Percent">
      <calculatedColumnFormula>0.8*0.9</calculatedColumnFormula>
    </tableColumn>
    <tableColumn id="8" xr3:uid="{1A28935B-0B9B-41C5-AF9E-656F8A832C13}" name="Notes" dataDxfId="141" dataCellStyle="Percent"/>
  </tableColumns>
  <tableStyleInfo name="TableStyleLight20"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AEBAAC9-B140-4FC8-BC68-8ECBAE44F3D6}" name="Table7915" displayName="Table7915" ref="A24:P27" totalsRowShown="0" headerRowDxfId="140" dataDxfId="139">
  <autoFilter ref="A24:P27" xr:uid="{8F5EFD0E-CCC2-455E-AB23-03788BA96A6F}"/>
  <tableColumns count="16">
    <tableColumn id="1" xr3:uid="{825A37C6-E819-4290-AFB4-7E385485820F}" name="Equipment Name" dataDxfId="138"/>
    <tableColumn id="2" xr3:uid="{C84C723D-9F98-4353-B003-4C530956D7BF}" name="Location" dataDxfId="137"/>
    <tableColumn id="12" xr3:uid="{3FFA7697-7B50-4F3A-B092-4C5C11E70486}" name="Type" dataDxfId="136"/>
    <tableColumn id="13" xr3:uid="{87FD917C-258B-4844-9CD9-C86110D41333}" name="Cooling Capacity_x000a_[Tons]" dataDxfId="135"/>
    <tableColumn id="3" xr3:uid="{9CC3A54C-19CA-48A9-BF3D-17F36DE6C1F1}" name="Heating Capacity_x000a_[MBH]" dataDxfId="134"/>
    <tableColumn id="4" xr3:uid="{031A2675-645A-4A72-97A0-BFA3E5D906F0}" name="Cooling COP" dataDxfId="133"/>
    <tableColumn id="5" xr3:uid="{A2A15363-6DB1-4136-8EE5-5F7421615DFF}" name="Heating COP" dataDxfId="132"/>
    <tableColumn id="6" xr3:uid="{E7B307D2-EEB9-44E5-9890-2C29066B9ACD}" name="Cooling Flow_x000a_[GPM]" dataDxfId="131" dataCellStyle="Percent"/>
    <tableColumn id="7" xr3:uid="{9ADAFA18-94ED-413F-BEDD-1251DA1CE8F4}" name="Cooling EWT_x000a_[F]" dataDxfId="130" dataCellStyle="Percent"/>
    <tableColumn id="11" xr3:uid="{42309F5A-61DB-4350-83EC-9494D2B490BC}" name="Cooling LWT_x000a_[F]" dataDxfId="129" dataCellStyle="Percent"/>
    <tableColumn id="10" xr3:uid="{CE3DA1F2-7C98-45EF-824C-E3852C63C4C8}" name="Cooling Max PD_x000a_[PSI]" dataDxfId="128" dataCellStyle="Percent"/>
    <tableColumn id="16" xr3:uid="{63FB6AEE-FBF4-4C95-A0FC-8C385D50251E}" name="Heating Flow_x000a_[GPM]" dataDxfId="127" dataCellStyle="Percent"/>
    <tableColumn id="17" xr3:uid="{CF2AD9BC-C7BF-4C07-8C44-F78DED73FBCC}" name="Heating EWT_x000a_[F]" dataDxfId="126" dataCellStyle="Percent"/>
    <tableColumn id="14" xr3:uid="{328C5F8B-011A-4FEC-A164-99ED203C0C37}" name="Heating LWT_x000a_[F]" dataDxfId="125" dataCellStyle="Percent"/>
    <tableColumn id="15" xr3:uid="{2DEC532E-4FEF-4571-9CCA-89D2217FB847}" name="Heating Max PD_x000a_[PSI]" dataDxfId="124" dataCellStyle="Percent"/>
    <tableColumn id="8" xr3:uid="{151DA33B-78E2-4898-90A1-008630A4A1DE}" name="Notes" dataDxfId="123"/>
  </tableColumns>
  <tableStyleInfo name="TableStyleLight2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384FA3C-2D01-4C0E-9C78-94292808451A}" name="Table7916" displayName="Table7916" ref="A40:L56" totalsRowShown="0" headerRowDxfId="122" dataDxfId="121">
  <autoFilter ref="A40:L56" xr:uid="{26256905-A5F0-48E5-AFC9-B854AEAA26AF}"/>
  <tableColumns count="12">
    <tableColumn id="1" xr3:uid="{A9FA2530-2894-451E-A5CD-7C63EB7ECE21}" name="Equipment Name" dataDxfId="120"/>
    <tableColumn id="2" xr3:uid="{EAD512B4-56BE-41B5-A9D9-58F5A0D261A9}" name="Location" dataDxfId="119"/>
    <tableColumn id="12" xr3:uid="{8625ABD1-D08C-467A-963E-5126F56BD9A5}" name="Service" dataDxfId="118"/>
    <tableColumn id="13" xr3:uid="{EEC5FDBB-0DBA-4D49-BCAD-36FE507DDC6C}" name="Type" dataDxfId="117"/>
    <tableColumn id="3" xr3:uid="{FFF08A76-7372-4C35-85E2-1EC29B7BA160}" name="Design Flow (GPM)" dataDxfId="116"/>
    <tableColumn id="4" xr3:uid="{487B4ABE-2A5D-4D45-85B1-B681F562AD23}" name="Head (Ft)" dataDxfId="115"/>
    <tableColumn id="5" xr3:uid="{9D38B22D-2908-4975-900F-9721766DD3B4}" name="Minimum Efficiency2" dataDxfId="114" dataCellStyle="Percent"/>
    <tableColumn id="6" xr3:uid="{DF96BE45-73AC-4A9E-B710-FE2C2055E2B2}" name="BHP" dataDxfId="113" dataCellStyle="Percent">
      <calculatedColumnFormula>IF(Table7916[[#This Row],[HP]]="","",(Table7916[[#This Row],[Design Flow (GPM)]]*Table7916[[#This Row],[Head (Ft)]]/(3960/Table7916[[#This Row],[Minimum Efficiency2]])))</calculatedColumnFormula>
    </tableColumn>
    <tableColumn id="7" xr3:uid="{42C265A0-571D-433F-882C-43A6A811E34C}" name="HP" dataDxfId="112" dataCellStyle="Percent"/>
    <tableColumn id="11" xr3:uid="{3656496B-65F1-4FFB-87D4-B24A154DCA05}" name="IES Pump Power_x000a_[W/GPM]" dataDxfId="111" dataCellStyle="Percent">
      <calculatedColumnFormula>IFERROR((Table7916[[#This Row],[BHP]]*746/Table7916[[#This Row],[Minimum Efficiency2]])/Table7916[[#This Row],[Design Flow (GPM)]],"")</calculatedColumnFormula>
    </tableColumn>
    <tableColumn id="14" xr3:uid="{7D13942F-430A-47DA-9D21-1422443250DA}" name="VFD?" dataDxfId="110" dataCellStyle="Percent"/>
    <tableColumn id="8" xr3:uid="{BA70D9A9-03DA-4B13-BD52-5E435030111E}" name="Notes" dataDxfId="109" dataCellStyle="Percent"/>
  </tableColumns>
  <tableStyleInfo name="TableStyleLight18"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F8E3161-2ACC-4E27-9F7B-9B5CFE12786A}" name="eQuest_Schedule_Importer" displayName="eQuest_Schedule_Importer" ref="A1:AK80" totalsRowShown="0" headerRowDxfId="108">
  <autoFilter ref="A1:AK80" xr:uid="{8F8E3161-2ACC-4E27-9F7B-9B5CFE12786A}"/>
  <tableColumns count="37">
    <tableColumn id="1" xr3:uid="{C7A6DE8C-E2D9-4B7C-8048-493877F79151}" name="Schedule Name"/>
    <tableColumn id="2" xr3:uid="{58748D4C-592C-42B1-85D9-6076A796729B}" name="Schedule Type"/>
    <tableColumn id="3" xr3:uid="{C1569A9D-1A30-4074-90E2-56E8D905C289}" name="Sunday"/>
    <tableColumn id="4" xr3:uid="{093585FA-7516-4A18-A99F-FF148B5AEE0D}" name="Monday"/>
    <tableColumn id="5" xr3:uid="{8829BE11-9AF5-4371-9889-09E81E8D65D6}" name="Tuesday"/>
    <tableColumn id="6" xr3:uid="{26A4E1C4-C380-4A5D-AA95-C438E775F6AC}" name="Wednesday"/>
    <tableColumn id="7" xr3:uid="{4935706C-DD47-45DB-8D1F-7ED5D40BCBE0}" name="Thursday"/>
    <tableColumn id="8" xr3:uid="{DDA08DE5-0A4D-40E1-9664-E29428388837}" name="Friday"/>
    <tableColumn id="9" xr3:uid="{EC7F9E1A-65C7-4928-B929-1E119D266DC8}" name="Saturday"/>
    <tableColumn id="37" xr3:uid="{4A199660-013B-42DC-A0B1-465C5406ABC4}" name="Holiday"/>
    <tableColumn id="10" xr3:uid="{99BEFFDC-4E2E-40C0-B704-5C31FB0589C7}" name="Weekday" dataDxfId="107">
      <calculatedColumnFormula>IF(COUNTIF(eQuest_Schedule_Importer[[#This Row],[Monday]:[Friday]],"X")&gt;=1,"TRUE","")</calculatedColumnFormula>
    </tableColumn>
    <tableColumn id="11" xr3:uid="{B9ABDD26-B3B8-4774-9DA9-A465C4FA0F48}" name="Weekend" dataDxfId="106">
      <calculatedColumnFormula>IF(SUM(COUNTIF(eQuest_Schedule_Importer[[#This Row],[Sunday]],"X"),COUNTIF(eQuest_Schedule_Importer[[#This Row],[Saturday]],"X"))&gt;=1,"TRUE","")</calculatedColumnFormula>
    </tableColumn>
    <tableColumn id="12" xr3:uid="{63C2DC33-0592-4B43-8E3D-B7A2A10C7D63}" name="Holiday Check" dataDxfId="105">
      <calculatedColumnFormula>IF(eQuest_Schedule_Importer[[#This Row],[Holiday]]="X","TRUE","")</calculatedColumnFormula>
    </tableColumn>
    <tableColumn id="13" xr3:uid="{0BC4C264-9441-4DF1-986B-77CB4DEB1887}" name="1 AM" dataCellStyle="Percent"/>
    <tableColumn id="14" xr3:uid="{3E0FB2ED-0D23-49F6-941C-C46329DB1D85}" name="2 AM" dataCellStyle="Percent"/>
    <tableColumn id="15" xr3:uid="{F35B67C7-E11C-4147-A79C-B77430B3B7A4}" name="3 AM" dataCellStyle="Percent"/>
    <tableColumn id="16" xr3:uid="{F717D203-B6A7-4B04-9B5B-3A177CC71D70}" name="4 AM" dataCellStyle="Percent"/>
    <tableColumn id="17" xr3:uid="{D618ECB2-40D7-4D0E-B801-1C499033BF86}" name="5 AM" dataCellStyle="Percent"/>
    <tableColumn id="18" xr3:uid="{70C5051B-153A-4CE0-A99B-BA02BCF0D836}" name="6 AM" dataCellStyle="Percent"/>
    <tableColumn id="19" xr3:uid="{31E6DB49-B259-4098-9708-1A15BC5FF76F}" name="7 AM" dataCellStyle="Percent"/>
    <tableColumn id="20" xr3:uid="{150DED9A-2CA5-4364-983E-7C63710B63B3}" name="8 AM" dataCellStyle="Percent"/>
    <tableColumn id="21" xr3:uid="{998D1E74-8464-41D0-B837-9BA800DBA02D}" name="9 AM" dataCellStyle="Percent"/>
    <tableColumn id="22" xr3:uid="{B5429D7B-6CF2-481F-848D-255A08B18771}" name="10 AM" dataCellStyle="Percent"/>
    <tableColumn id="23" xr3:uid="{2FD3C377-D9C6-41DC-855C-9ABFA47B6F97}" name="11 AM" dataCellStyle="Percent"/>
    <tableColumn id="24" xr3:uid="{58D8AB3B-4646-4E15-A26E-54244A7440B7}" name="12 PM" dataCellStyle="Percent"/>
    <tableColumn id="25" xr3:uid="{272CDC6E-0B8F-4286-AB07-C87B3014C3E1}" name="13 PM" dataCellStyle="Percent"/>
    <tableColumn id="26" xr3:uid="{CAC6FD4C-1941-4A3D-BE7F-7D5DB77308DD}" name="14 PM" dataCellStyle="Percent"/>
    <tableColumn id="27" xr3:uid="{FC49D0E1-F33D-4132-96CB-0321DB4B7D04}" name="15 PM" dataCellStyle="Percent"/>
    <tableColumn id="28" xr3:uid="{EFAA9414-E185-4F10-8445-3426C682B737}" name="16 PM" dataCellStyle="Percent"/>
    <tableColumn id="29" xr3:uid="{152D8015-DF68-4677-BF1D-39598ABF6606}" name="17 PM" dataCellStyle="Percent"/>
    <tableColumn id="30" xr3:uid="{2072B958-3352-4DEA-A11E-2AEC6AA1C970}" name="18 PM" dataCellStyle="Percent"/>
    <tableColumn id="31" xr3:uid="{26201A8A-948E-4447-BB5B-3DE894DD8199}" name="19 PM" dataCellStyle="Percent"/>
    <tableColumn id="32" xr3:uid="{11365A51-5D7B-44A1-BECD-F8338E3F481E}" name="20 PM" dataCellStyle="Percent"/>
    <tableColumn id="33" xr3:uid="{DC5A8B76-40AC-4ED8-A0A8-1F24D47295B7}" name="21 PM" dataCellStyle="Percent"/>
    <tableColumn id="34" xr3:uid="{B6BBFDA9-DBBA-4F30-98AB-32411EC0A6D3}" name="22 PM" dataCellStyle="Percent"/>
    <tableColumn id="35" xr3:uid="{4FC4D879-D313-4309-AE96-8B500FE53F9E}" name="23 PM" dataCellStyle="Percent"/>
    <tableColumn id="36" xr3:uid="{9EB07D83-1722-4EA3-A067-D375D8BCCD09}" name="24 AM" dataCellStyle="Percent"/>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39181F8-D22C-42A9-867E-D24141EA8A1F}" name="LEEDHVACcheck" displayName="LEEDHVACcheck" ref="A10:AS43" totalsRowShown="0" headerRowDxfId="104" dataDxfId="103">
  <autoFilter ref="A10:AS43" xr:uid="{6341BBF9-4974-498C-8DB6-2AF843757A62}"/>
  <tableColumns count="45">
    <tableColumn id="1" xr3:uid="{70504144-735B-46E4-960A-577B80522EF0}" name="System Name" dataDxfId="102"/>
    <tableColumn id="2" xr3:uid="{DD78E915-ACB8-4CB2-9EA0-6E5270820ADB}" name="System Type" dataDxfId="101"/>
    <tableColumn id="3" xr3:uid="{003F1B22-8E0C-4DB0-914A-53ADA43C5730}" name="Weekdays - Start" dataDxfId="100"/>
    <tableColumn id="4" xr3:uid="{267320E0-9022-4809-B32D-14901FCD0D22}" name="Weekdays - End" dataDxfId="99"/>
    <tableColumn id="5" xr3:uid="{45641E66-B631-4EC9-8EA3-1E84EAD936F1}" name="Weekend - Start" dataDxfId="98"/>
    <tableColumn id="6" xr3:uid="{24735D2A-61A5-4AEA-BC86-E7F812F6D417}" name="Weekend - End" dataDxfId="97"/>
    <tableColumn id="7" xr3:uid="{A663C183-0D47-4454-913B-F4430EA000F5}" name="Holidays - Start" dataDxfId="96"/>
    <tableColumn id="8" xr3:uid="{70659040-E78E-4331-A2AA-4F9EE40A04FB}" name="Holidays - End" dataDxfId="95"/>
    <tableColumn id="9" xr3:uid="{F10B457D-569D-4A83-83D6-339072ED30BA}" name="Match Proposed?" dataDxfId="94"/>
    <tableColumn id="10" xr3:uid="{95B1CC71-075F-46A4-AC63-44A943B3FE00}" name="Oversized Cooling Capacity" dataDxfId="93" dataCellStyle="Percent">
      <calculatedColumnFormula>IF(LEEDHVACcheck[[#This Row],[System Name]]="","",0.15)</calculatedColumnFormula>
    </tableColumn>
    <tableColumn id="11" xr3:uid="{563E1DC1-B7DB-484A-8AC1-83A22118CA34}" name="Total Cooling Capacity [Btu/h]" dataDxfId="92"/>
    <tableColumn id="12" xr3:uid="{8EB0BBE9-2EAE-45BC-BDBC-7E1E1B2FCDD5}" name="Unitary Cooling Efficiency" dataDxfId="91"/>
    <tableColumn id="13" xr3:uid="{01E527E3-9DD1-4583-8DB6-39D4CFD4A052}" name="Unitary Cooling Efficiency Units" dataDxfId="90"/>
    <tableColumn id="14" xr3:uid="{FECC8AAE-17A7-41D2-879B-FDB77B37251D}" name="Unitary Cooling Part-Load Efficiency" dataDxfId="89"/>
    <tableColumn id="15" xr3:uid="{E31011E0-1B83-4735-970E-72B678381C82}" name="Unitary Cooling Part-Load Efficiency Units" dataDxfId="88"/>
    <tableColumn id="16" xr3:uid="{F506BD3B-F0BE-4B34-B402-B342CAB96F33}" name="Oversized Heating Capacity " dataDxfId="87" dataCellStyle="Percent">
      <calculatedColumnFormula>IF(LEEDHVACcheck[[#This Row],[System Name]]="","",0.25)</calculatedColumnFormula>
    </tableColumn>
    <tableColumn id="17" xr3:uid="{D4ECF936-C0B4-4CA9-85EC-5AEB04ACAFFA}" name="Total Heating Capacity [Btu/h]" dataDxfId="86"/>
    <tableColumn id="18" xr3:uid="{F50303F6-10E1-49AE-8075-B398D185C455}" name="Unitary Heating Efficiency" dataDxfId="85"/>
    <tableColumn id="19" xr3:uid="{6651D6D2-D767-4F71-B8B6-71B952F35F44}" name="Unitary Heating Efficiency Units" dataDxfId="84"/>
    <tableColumn id="20" xr3:uid="{8B5E6B36-0CB2-45E6-8ED2-191AF6559860}" name="System Supply Design Flow (CFM)" dataDxfId="83"/>
    <tableColumn id="21" xr3:uid="{A80BF832-B707-4884-9348-30FFF8F90D55}" name="System Outdoor Air Design Flor (CFM)" dataDxfId="82"/>
    <tableColumn id="22" xr3:uid="{D76CB6DA-CD6F-42D3-8AC7-581B7427D3DE}" name="100% Outdoor Air?" dataDxfId="81"/>
    <tableColumn id="44" xr3:uid="{10C2999A-4299-448A-BF09-1EDE2A2FCEF2}" name="System Exhaust Design Flow_x000a_[CFM]" dataDxfId="80"/>
    <tableColumn id="23" xr3:uid="{A88109D8-B750-453A-9042-99A872C93DA6}" name="Economizer High Limit [F]" dataDxfId="79"/>
    <tableColumn id="24" xr3:uid="{7639C5CE-EB43-49AB-B79D-AAD346650C0E}" name="System Air Temperature Reset [F]" dataDxfId="78">
      <calculatedColumnFormula>IF(LEEDHVACcheck[[#This Row],[System Name]]="","",5)</calculatedColumnFormula>
    </tableColumn>
    <tableColumn id="25" xr3:uid="{B84AC275-AFC0-4F50-A618-0BF87C6E9023}" name="VAV Minimum Turndown Ratio [%]" dataDxfId="77">
      <calculatedColumnFormula>IF(LEEDHVACcheck[[#This Row],[System Name]]="","",0.3)</calculatedColumnFormula>
    </tableColumn>
    <tableColumn id="26" xr3:uid="{74BE47AE-C25A-480D-A268-B538D68F9FA6}" name="Energy Recovery Preconditioning of Outdoor Air" dataDxfId="76"/>
    <tableColumn id="27" xr3:uid="{D406CE06-5203-4FC8-8425-31A5E539E661}" name="Sensible Heat Effectiveness" dataDxfId="75"/>
    <tableColumn id="28" xr3:uid="{5FD7A4C9-0BD2-41ED-B3B7-E954B7F044FC}" name="Latent Heat Effectiveness" dataDxfId="74"/>
    <tableColumn id="29" xr3:uid="{0DAD0D17-1A3D-496C-9DE2-991A617B22B9}" name="Power for Wheel, Pump, Etc [kW]" dataDxfId="73" dataCellStyle="Percent"/>
    <tableColumn id="30" xr3:uid="{16B97C16-3EF6-4781-AD81-48F6EDE26F86}" name="Supply Fan Efficiency [%]" dataDxfId="72">
      <calculatedColumnFormula>IFERROR(INDEX($A$77:$G$98,MATCH($AH11,$A$77:$A$98,1),6)/100,"")</calculatedColumnFormula>
    </tableColumn>
    <tableColumn id="31" xr3:uid="{CE0897C7-37F4-4FD3-A9D7-EB285B9A23C8}" name="SupplyFan Power [kW]" dataDxfId="71">
      <calculatedColumnFormula>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calculatedColumnFormula>
    </tableColumn>
    <tableColumn id="32" xr3:uid="{F3F48F03-45C2-4B89-AF86-C621156E17AF}" name="Supply Fan Control" dataDxfId="70"/>
    <tableColumn id="33" xr3:uid="{A0B820C9-E219-40B0-89BE-65CD83CD9B2D}" name="Allowable Supply Nameplate Motor [HP]" dataDxfId="69">
      <calculatedColumnFormula>IFERROR(IF(LEEDHVACcheck[[#This Row],[Supply Fan Control]]="VAV",LEEDHVACcheck[[#This Row],[System Supply Design Flow (CFM)]]*0.0015,IF(LEEDHVACcheck[[#This Row],[Supply Fan Control]]="CAV",LEEDHVACcheck[[#This Row],[System Supply Design Flow (CFM)]]*0.0011,"")),"")</calculatedColumnFormula>
    </tableColumn>
    <tableColumn id="34" xr3:uid="{19DE7E25-F71A-42BA-A854-9CCAEF484661}" name="Allowable Supply Fan System [BHP]" dataDxfId="68">
      <calculatedColumnFormula>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calculatedColumnFormula>
    </tableColumn>
    <tableColumn id="45" xr3:uid="{2C4F52DB-A15E-426D-AFDE-C6F3864933EE}" name="Supply - A [PD*CFM/11]" dataDxfId="67">
      <calculatedColumnFormula>LEEDHVACcheck[[#This Row],[Sum of Pressure Drop Adjustment
(USE MEPC) '[in. w.c.']]]*LEEDHVACcheck[[#This Row],[System Supply Design Flow (CFM)]]/4131</calculatedColumnFormula>
    </tableColumn>
    <tableColumn id="39" xr3:uid="{85B5938B-88AE-43E3-BE80-CED4A22EA805}" name="Exhaust Fan Efficiency [%]" dataDxfId="66">
      <calculatedColumnFormula>IFERROR(INDEX($A$77:$G$98,MATCH($AN11,$A$77:$A$98,1),6)/100,"")</calculatedColumnFormula>
    </tableColumn>
    <tableColumn id="40" xr3:uid="{B210B67C-F2C3-45FF-A6A7-1322C1E3815F}" name="ExhaustFan Power [kW]" dataDxfId="65">
      <calculatedColumnFormula>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calculatedColumnFormula>
    </tableColumn>
    <tableColumn id="41" xr3:uid="{F48F1EC6-4F1D-42E5-8F08-2014ADDE01C7}" name="Exhaust Fan Control" dataDxfId="64"/>
    <tableColumn id="42" xr3:uid="{36571DFE-A6FA-4B5B-9722-9908C2D5964E}" name="Allowable Exhaust Nameplate Motor [HP]" dataDxfId="63">
      <calculatedColumnFormula>IFERROR(IF(LEEDHVACcheck[[#This Row],[Exhaust Fan Control]]="VAV",LEEDHVACcheck[[#This Row],[System Exhaust Design Flow
'[CFM']]]*0.0015,IF(LEEDHVACcheck[[#This Row],[Exhaust Fan Control]]="CAV",LEEDHVACcheck[[#This Row],[System Exhaust Design Flow
'[CFM']]]*0.0011,"")),"")</calculatedColumnFormula>
    </tableColumn>
    <tableColumn id="43" xr3:uid="{15BE1002-EA36-4E0C-8765-D13388C10C1E}" name="Allowable Exhaust Fan System [BHP]" dataDxfId="62">
      <calculatedColumnFormula>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calculatedColumnFormula>
    </tableColumn>
    <tableColumn id="35" xr3:uid="{A0F0A19E-2D08-44FA-96C4-E2FC30AD218B}" name="Exhaust - A [PD*CFM/11]" dataDxfId="61">
      <calculatedColumnFormula>LEEDHVACcheck[[#This Row],[Sum of Pressure Drop Adjustment
(USE MEPC) '[in. w.c.']]]*LEEDHVACcheck[[#This Row],[System Exhaust Design Flow
'[CFM']]]/4131</calculatedColumnFormula>
    </tableColumn>
    <tableColumn id="36" xr3:uid="{32700734-86F0-4511-89BD-1569E6D19B34}" name="Sum of Pressure Drop Adjustment_x000a_(USE MEPC) [in. w.c.]" dataDxfId="60"/>
    <tableColumn id="37" xr3:uid="{BE785CFE-6CAE-4A30-9B68-28ECA7DB08B6}" name="Chilled Water Loop" dataDxfId="59"/>
    <tableColumn id="38" xr3:uid="{7364D4C0-4BAC-44DA-90CF-975D250EEAE9}" name="Hot Water Loop" dataDxfId="58"/>
  </tableColumns>
  <tableStyleInfo name="TableStyleLight2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90FBB9-BAC9-4DDF-81A9-A66A5A10DABA}" name="BaselineSystemType" displayName="BaselineSystemType" ref="A100:A110" totalsRowShown="0">
  <autoFilter ref="A100:A110" xr:uid="{A2ADA6B6-BB1C-44F4-B052-ED686B8C48E8}"/>
  <tableColumns count="1">
    <tableColumn id="1" xr3:uid="{FCD1D02B-C5B7-4D44-A48C-833AA4495DC6}" name="System Types Lookup Table"/>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DBB5EC-EFA5-42E0-9A59-EBC49EB92C27}" name="Table11" displayName="Table11" ref="A47:M52" totalsRowShown="0" headerRowDxfId="57">
  <autoFilter ref="A47:M52" xr:uid="{2627926A-79F9-477D-BF5D-92027E9D3B66}"/>
  <tableColumns count="13">
    <tableColumn id="1" xr3:uid="{9B4C081B-CE03-4223-B426-FD916E7619F1}" name="System Name" dataDxfId="56"/>
    <tableColumn id="9" xr3:uid="{9856EDDB-D3C4-40DB-A8E7-FF0409B00BF2}" name="Associated HVAC System Type" dataDxfId="55"/>
    <tableColumn id="2" xr3:uid="{5B628EDE-211B-4021-80B5-9DB6A9870390}" name="Is District Heating Used?" dataDxfId="54"/>
    <tableColumn id="3" xr3:uid="{EF86665F-34B8-4B67-A7D4-5FA7E03CF478}" name="Is District Cooling Used?" dataDxfId="53"/>
    <tableColumn id="4" xr3:uid="{A6EECD91-A8B9-4BD7-817E-896E8D2D373B}" name="Boiler Type" dataDxfId="52">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calculatedColumnFormula>
    </tableColumn>
    <tableColumn id="5" xr3:uid="{5ADD2BA1-AEE9-4AFF-971A-0E8487990154}" name="Boiler HW Supply Temp_x000a_[F]" dataDxfId="51">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calculatedColumnFormula>
    </tableColumn>
    <tableColumn id="6" xr3:uid="{32A778DC-06CC-4292-8161-19447C93CDE1}" name="Boiler HW Delta T_x000a_[F]" dataDxfId="50">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calculatedColumnFormula>
    </tableColumn>
    <tableColumn id="7" xr3:uid="{A3AF051B-5882-4B35-9AD7-150A0BA3ECD7}" name="Boiler HW Return Temp_x000a_[F]" dataDxfId="49">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calculatedColumnFormula>
    </tableColumn>
    <tableColumn id="8" xr3:uid="{4A1B3B42-B2B7-4B60-820B-866ADB819AF8}" name="Boiler Reset Schedule" dataDxfId="48">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calculatedColumnFormula>
    </tableColumn>
    <tableColumn id="10" xr3:uid="{7B7D6348-74BE-4762-9899-3049F3689BE8}" name="Boiler Heating Capacity_x000a_[Btuh]" dataDxfId="47"/>
    <tableColumn id="11" xr3:uid="{B6211AC1-EA1A-43B3-8E1E-C01B775EED70}" name="Boiler Flow_x000a_[GPM]" dataDxfId="46"/>
    <tableColumn id="12" xr3:uid="{5800AF64-5AD5-4865-81DC-B93E311C5F47}" name="Boiler Pump Power_x000a_[W/gpm]" dataDxfId="45">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calculatedColumnFormula>
    </tableColumn>
    <tableColumn id="13" xr3:uid="{E348B41C-D72E-4EBB-B12B-02A8F0EE3DA1}" name="Boiler Efficiency_x000a_[%]" dataDxfId="44">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calculatedColumnFormula>
    </tableColumn>
  </tableColumns>
  <tableStyleInfo name="TableStyleLight1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BEE47AD-A412-4D19-96D7-D5D2D70B9256}" name="Table16" displayName="Table16" ref="A57:D62" totalsRowShown="0" headerRowDxfId="43">
  <autoFilter ref="A57:D62" xr:uid="{CE833644-F7FB-4175-A50A-57E97F899162}"/>
  <tableColumns count="4">
    <tableColumn id="1" xr3:uid="{B6053180-015C-4C94-8CB7-304B0D1F252D}" name="System Name"/>
    <tableColumn id="2" xr3:uid="{19D5C9B9-E5F6-4BB2-A0CB-04FFDA654332}" name="Associated HVAC System Type"/>
    <tableColumn id="3" xr3:uid="{9D45B575-22E5-4ADC-BAE0-E8D44F33F643}" name="Is Distric Heating Used?" dataDxfId="42"/>
    <tableColumn id="4" xr3:uid="{A86ECEB8-386E-4A1A-82DE-9A3BB11E8527}" name="Is District Cooling Used?" dataDxfId="41"/>
  </tableColumns>
  <tableStyleInfo name="TableStyleLight1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9F70ED-4A71-4363-ACCD-6D1370F642BB}" name="space_classification" displayName="space_classification" ref="A6:T184" totalsRowShown="0" headerRowDxfId="40" dataDxfId="38" headerRowBorderDxfId="39" tableBorderDxfId="37">
  <autoFilter ref="A6:T184" xr:uid="{3E4B58E5-A0B4-4820-BCB1-FB0C057AEE30}"/>
  <sortState xmlns:xlrd2="http://schemas.microsoft.com/office/spreadsheetml/2017/richdata2" ref="A7:AO174">
    <sortCondition ref="A6:A176"/>
  </sortState>
  <tableColumns count="20">
    <tableColumn id="2" xr3:uid="{4D36EC67-68DB-4906-8B42-503524DCE9FE}" name="Space Function" dataDxfId="36"/>
    <tableColumn id="3" xr3:uid="{A68F18D5-255D-43D1-9D40-A85A0FB3DCF7}" name="Lighting (A90.1 -2010)" dataDxfId="35"/>
    <tableColumn id="12" xr3:uid="{9E88BB55-BE31-4489-8F41-23C2C4044534}" name="Lighting" dataDxfId="34">
      <calculatedColumnFormula>space_classification[[#This Row],[Lighting (A90.1 -2010)]]*0.85</calculatedColumnFormula>
    </tableColumn>
    <tableColumn id="4" xr3:uid="{E876052B-D329-496F-B5C7-8E1CFB91DA36}" name="Equipment" dataDxfId="33"/>
    <tableColumn id="5" xr3:uid="{B3C79C8B-CB97-49D0-AF5F-1C181055DAB7}" name="Occ Sens" dataDxfId="32"/>
    <tableColumn id="6" xr3:uid="{17F9EB16-F2E3-4F81-9A9B-CF6A690755B4}" name="Occ Lat" dataDxfId="31"/>
    <tableColumn id="23" xr3:uid="{CDB637CA-60A7-424B-B6D6-D6AD9D3B0BE0}" name="CMC Min OA" dataDxfId="30"/>
    <tableColumn id="24" xr3:uid="{91B7CF78-85F8-4CF5-A752-D9D8692FB1F8}" name="CMC Min SA" dataDxfId="29"/>
    <tableColumn id="25" xr3:uid="{EEB1CA3D-9868-40BC-B1E1-B155CCB0B2A2}" name="CMC Min EA" dataDxfId="28"/>
    <tableColumn id="26" xr3:uid="{148EFF01-E773-4E24-AE7D-500A928AF670}" name="CMC PR" dataDxfId="27"/>
    <tableColumn id="16" xr3:uid="{9728419C-145C-4950-9188-87F55999F255}" name="A62.1-10 Occ Dens" dataDxfId="26"/>
    <tableColumn id="14" xr3:uid="{0F1937DE-2C3F-4FE3-930A-814894B07E90}" name="A62.1-10 Occ Vent" dataDxfId="25"/>
    <tableColumn id="15" xr3:uid="{60F100DF-64FE-4DD4-A806-7986D469AB24}" name="A62.1-10 Area Vent" dataDxfId="24"/>
    <tableColumn id="17" xr3:uid="{01B5D7FA-5985-42EB-9707-EE078231A908}" name="A62.1-10 Exh" dataDxfId="23"/>
    <tableColumn id="18" xr3:uid="{A0150368-F45B-4D8F-BF6A-136E32681A6C}" name="A62.1-10 Fixture Exh" dataDxfId="22"/>
    <tableColumn id="34" xr3:uid="{0BBC9258-7738-4F9A-8E67-D324F2266407}" name="T24 Occ Dens" dataDxfId="21"/>
    <tableColumn id="32" xr3:uid="{F79DBEE7-1974-42E7-AF26-B4B4E08F931B}" name="T24 Occ Vent" dataDxfId="20"/>
    <tableColumn id="33" xr3:uid="{D0F90744-3A30-4942-950D-F2D02B591899}" name="T24 Area Vent" dataDxfId="19"/>
    <tableColumn id="35" xr3:uid="{901E4BA5-0B8C-4EB7-A1F3-DB2FE186D9C3}" name="T24 Exh" dataDxfId="18"/>
    <tableColumn id="36" xr3:uid="{8F7E03F4-6447-4E3F-874E-435A1BF632B3}" name="T24 Fixture Exh" dataDxfId="17"/>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62" dT="2021-09-08T20:54:42.70" personId="{ED8EA72E-BAB2-459C-922A-FF3D5D870467}" id="{E1B580E3-A6A5-49C9-9646-8F7862B81A8C}">
    <text>Currently using typical values. Haakon cutsheets do not show the effectiveness</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printerSettings" Target="../printerSettings/printerSettings2.bin"/><Relationship Id="rId7" Type="http://schemas.openxmlformats.org/officeDocument/2006/relationships/ctrlProp" Target="../ctrlProps/ctrlProp3.xml"/><Relationship Id="rId2" Type="http://schemas.openxmlformats.org/officeDocument/2006/relationships/hyperlink" Target="https://efiling.energy.ca.gov/GetDocument.aspx?tn=223245-3&amp;DocumentContentId=27695" TargetMode="External"/><Relationship Id="rId1" Type="http://schemas.openxmlformats.org/officeDocument/2006/relationships/hyperlink" Target="http://ashrae-meteo.info/v2.0/" TargetMode="External"/><Relationship Id="rId6" Type="http://schemas.openxmlformats.org/officeDocument/2006/relationships/ctrlProp" Target="../ctrlProps/ctrlProp2.xml"/><Relationship Id="rId5" Type="http://schemas.openxmlformats.org/officeDocument/2006/relationships/vmlDrawing" Target="../drawings/vmlDrawing2.vml"/><Relationship Id="rId4" Type="http://schemas.openxmlformats.org/officeDocument/2006/relationships/drawing" Target="../drawings/drawing2.xml"/><Relationship Id="rId9"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3" Type="http://schemas.openxmlformats.org/officeDocument/2006/relationships/vmlDrawing" Target="../drawings/vmlDrawing4.vml"/><Relationship Id="rId7" Type="http://schemas.openxmlformats.org/officeDocument/2006/relationships/image" Target="../media/image3.emf"/><Relationship Id="rId12" Type="http://schemas.openxmlformats.org/officeDocument/2006/relationships/control" Target="../activeX/activeX5.xml"/><Relationship Id="rId2" Type="http://schemas.openxmlformats.org/officeDocument/2006/relationships/drawing" Target="../drawings/drawing4.xml"/><Relationship Id="rId16" Type="http://schemas.openxmlformats.org/officeDocument/2006/relationships/comments" Target="../comments3.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control" Target="../activeX/activeX12.xml"/><Relationship Id="rId3" Type="http://schemas.openxmlformats.org/officeDocument/2006/relationships/control" Target="../activeX/activeX7.xml"/><Relationship Id="rId7" Type="http://schemas.openxmlformats.org/officeDocument/2006/relationships/control" Target="../activeX/activeX9.xml"/><Relationship Id="rId12" Type="http://schemas.openxmlformats.org/officeDocument/2006/relationships/image" Target="../media/image12.emf"/><Relationship Id="rId2" Type="http://schemas.openxmlformats.org/officeDocument/2006/relationships/vmlDrawing" Target="../drawings/vmlDrawing5.vml"/><Relationship Id="rId16" Type="http://schemas.openxmlformats.org/officeDocument/2006/relationships/comments" Target="../comments4.xml"/><Relationship Id="rId1" Type="http://schemas.openxmlformats.org/officeDocument/2006/relationships/drawing" Target="../drawings/drawing5.xml"/><Relationship Id="rId6" Type="http://schemas.openxmlformats.org/officeDocument/2006/relationships/image" Target="../media/image9.emf"/><Relationship Id="rId11" Type="http://schemas.openxmlformats.org/officeDocument/2006/relationships/control" Target="../activeX/activeX11.xml"/><Relationship Id="rId5" Type="http://schemas.openxmlformats.org/officeDocument/2006/relationships/control" Target="../activeX/activeX8.xml"/><Relationship Id="rId15" Type="http://schemas.openxmlformats.org/officeDocument/2006/relationships/table" Target="../tables/table5.xml"/><Relationship Id="rId10" Type="http://schemas.openxmlformats.org/officeDocument/2006/relationships/image" Target="../media/image11.emf"/><Relationship Id="rId4" Type="http://schemas.openxmlformats.org/officeDocument/2006/relationships/image" Target="../media/image8.emf"/><Relationship Id="rId9" Type="http://schemas.openxmlformats.org/officeDocument/2006/relationships/control" Target="../activeX/activeX10.xml"/><Relationship Id="rId14" Type="http://schemas.openxmlformats.org/officeDocument/2006/relationships/image" Target="../media/image13.emf"/></Relationships>
</file>

<file path=xl/worksheets/_rels/sheet6.x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control" Target="../activeX/activeX18.xml"/><Relationship Id="rId3" Type="http://schemas.openxmlformats.org/officeDocument/2006/relationships/control" Target="../activeX/activeX13.xml"/><Relationship Id="rId7" Type="http://schemas.openxmlformats.org/officeDocument/2006/relationships/control" Target="../activeX/activeX15.xml"/><Relationship Id="rId12" Type="http://schemas.openxmlformats.org/officeDocument/2006/relationships/image" Target="../media/image21.emf"/><Relationship Id="rId2" Type="http://schemas.openxmlformats.org/officeDocument/2006/relationships/vmlDrawing" Target="../drawings/vmlDrawing6.vml"/><Relationship Id="rId16" Type="http://schemas.openxmlformats.org/officeDocument/2006/relationships/comments" Target="../comments5.xml"/><Relationship Id="rId1" Type="http://schemas.openxmlformats.org/officeDocument/2006/relationships/drawing" Target="../drawings/drawing6.xml"/><Relationship Id="rId6" Type="http://schemas.openxmlformats.org/officeDocument/2006/relationships/image" Target="../media/image18.emf"/><Relationship Id="rId11" Type="http://schemas.openxmlformats.org/officeDocument/2006/relationships/control" Target="../activeX/activeX17.xml"/><Relationship Id="rId5" Type="http://schemas.openxmlformats.org/officeDocument/2006/relationships/control" Target="../activeX/activeX14.xml"/><Relationship Id="rId15" Type="http://schemas.openxmlformats.org/officeDocument/2006/relationships/table" Target="../tables/table6.xml"/><Relationship Id="rId10" Type="http://schemas.openxmlformats.org/officeDocument/2006/relationships/image" Target="../media/image20.emf"/><Relationship Id="rId4" Type="http://schemas.openxmlformats.org/officeDocument/2006/relationships/image" Target="../media/image17.emf"/><Relationship Id="rId9" Type="http://schemas.openxmlformats.org/officeDocument/2006/relationships/control" Target="../activeX/activeX16.xml"/><Relationship Id="rId14" Type="http://schemas.openxmlformats.org/officeDocument/2006/relationships/image" Target="../media/image22.emf"/></Relationships>
</file>

<file path=xl/worksheets/_rels/sheet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openxmlformats.org/officeDocument/2006/relationships/hyperlink" Target="https://www.usgbc.org/credits/new-construction/v2009/eac1?return=/credits/New%20Construction/v2009/Energy%20&amp;%20atmosphere" TargetMode="External"/><Relationship Id="rId2" Type="http://schemas.openxmlformats.org/officeDocument/2006/relationships/hyperlink" Target="https://www.usgbc.org/credits/core-shell-new-construction/v2009/eap2?return=/credits/New%20Construction/v2009/Energy%20&amp;%20atmosphere" TargetMode="External"/><Relationship Id="rId1" Type="http://schemas.openxmlformats.org/officeDocument/2006/relationships/hyperlink" Target="http://ashrae-meteo.info/v2.0/" TargetMode="External"/><Relationship Id="rId5" Type="http://schemas.openxmlformats.org/officeDocument/2006/relationships/drawing" Target="../drawings/drawing7.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table" Target="../tables/table15.xml"/><Relationship Id="rId7" Type="http://schemas.openxmlformats.org/officeDocument/2006/relationships/table" Target="../tables/table19.xml"/><Relationship Id="rId2" Type="http://schemas.openxmlformats.org/officeDocument/2006/relationships/table" Target="../tables/table14.xml"/><Relationship Id="rId1" Type="http://schemas.openxmlformats.org/officeDocument/2006/relationships/printerSettings" Target="../printerSettings/printerSettings7.bin"/><Relationship Id="rId6" Type="http://schemas.openxmlformats.org/officeDocument/2006/relationships/table" Target="../tables/table18.xml"/><Relationship Id="rId5" Type="http://schemas.openxmlformats.org/officeDocument/2006/relationships/table" Target="../tables/table17.xml"/><Relationship Id="rId10" Type="http://schemas.openxmlformats.org/officeDocument/2006/relationships/table" Target="../tables/table22.xml"/><Relationship Id="rId4" Type="http://schemas.openxmlformats.org/officeDocument/2006/relationships/table" Target="../tables/table16.xml"/><Relationship Id="rId9"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24.xml"/><Relationship Id="rId7" Type="http://schemas.microsoft.com/office/2017/10/relationships/threadedComment" Target="../threadedComments/threadedComment1.xml"/><Relationship Id="rId2" Type="http://schemas.openxmlformats.org/officeDocument/2006/relationships/vmlDrawing" Target="../drawings/vmlDrawing7.vml"/><Relationship Id="rId1" Type="http://schemas.openxmlformats.org/officeDocument/2006/relationships/hyperlink" Target="file:///C:\Users\Kyle%20Garske\AppData\Local\proj\sfo\2021\21695-00\31%20Supporting%20Info%20From%20Others\Architectural\2021-09-21%20SFVA%20Bldg%2040%20Envelope%20Thermal%20Values\20210920_SFVAMC%20Bldg%2040%20-%20Assembly%20performance%20values.pdf" TargetMode="External"/><Relationship Id="rId6" Type="http://schemas.openxmlformats.org/officeDocument/2006/relationships/comments" Target="../comments6.xml"/><Relationship Id="rId5" Type="http://schemas.openxmlformats.org/officeDocument/2006/relationships/table" Target="../tables/table26.xml"/><Relationship Id="rId4" Type="http://schemas.openxmlformats.org/officeDocument/2006/relationships/table" Target="../tables/table25.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vmlDrawing" Target="../drawings/vmlDrawing8.vml"/><Relationship Id="rId6" Type="http://schemas.openxmlformats.org/officeDocument/2006/relationships/comments" Target="../comments7.xml"/><Relationship Id="rId5" Type="http://schemas.openxmlformats.org/officeDocument/2006/relationships/table" Target="../tables/table30.xml"/><Relationship Id="rId4" Type="http://schemas.openxmlformats.org/officeDocument/2006/relationships/table" Target="../tables/table29.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32.xml"/><Relationship Id="rId7"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6" Type="http://schemas.openxmlformats.org/officeDocument/2006/relationships/table" Target="../tables/table35.xml"/><Relationship Id="rId5" Type="http://schemas.openxmlformats.org/officeDocument/2006/relationships/table" Target="../tables/table34.xml"/><Relationship Id="rId4" Type="http://schemas.openxmlformats.org/officeDocument/2006/relationships/table" Target="../tables/table3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7.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36.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F050E-2DC9-48CF-A25C-3FFFB55756D4}">
  <sheetPr codeName="Sheet1">
    <tabColor theme="7" tint="0.79998168889431442"/>
  </sheetPr>
  <dimension ref="A1:Z315"/>
  <sheetViews>
    <sheetView tabSelected="1" zoomScale="80" zoomScaleNormal="80" workbookViewId="0">
      <selection activeCell="Y17" sqref="Y17"/>
    </sheetView>
  </sheetViews>
  <sheetFormatPr defaultRowHeight="15" x14ac:dyDescent="0.25"/>
  <cols>
    <col min="1" max="1" width="14.42578125" customWidth="1"/>
    <col min="2" max="2" width="10.85546875" bestFit="1" customWidth="1"/>
    <col min="3" max="3" width="29.85546875" bestFit="1" customWidth="1"/>
    <col min="4" max="4" width="35.28515625" bestFit="1" customWidth="1"/>
    <col min="5" max="6" width="45.7109375" bestFit="1" customWidth="1"/>
    <col min="7" max="7" width="14.5703125" bestFit="1" customWidth="1"/>
    <col min="8" max="8" width="27.7109375" bestFit="1" customWidth="1"/>
    <col min="9" max="9" width="30.28515625" bestFit="1" customWidth="1"/>
    <col min="10" max="10" width="20.85546875" bestFit="1" customWidth="1"/>
    <col min="11" max="12" width="18.42578125" bestFit="1" customWidth="1"/>
    <col min="13" max="13" width="1.7109375" customWidth="1"/>
    <col min="14" max="14" width="29.28515625" bestFit="1" customWidth="1"/>
    <col min="15" max="15" width="1.7109375" customWidth="1"/>
    <col min="16" max="16" width="3" hidden="1" customWidth="1"/>
    <col min="17" max="17" width="15.42578125" bestFit="1" customWidth="1"/>
    <col min="18" max="18" width="45.7109375" bestFit="1" customWidth="1"/>
    <col min="19" max="19" width="21.7109375" bestFit="1" customWidth="1"/>
    <col min="20" max="20" width="14.85546875" bestFit="1" customWidth="1"/>
    <col min="21" max="22" width="22.140625" bestFit="1" customWidth="1"/>
    <col min="23" max="23" width="22.7109375" bestFit="1" customWidth="1"/>
    <col min="24" max="24" width="20.85546875" bestFit="1" customWidth="1"/>
    <col min="25" max="25" width="17.28515625" bestFit="1" customWidth="1"/>
    <col min="26" max="26" width="17" bestFit="1" customWidth="1"/>
  </cols>
  <sheetData>
    <row r="1" spans="1:26" x14ac:dyDescent="0.25">
      <c r="A1" t="s">
        <v>0</v>
      </c>
      <c r="B1" s="1">
        <v>123456</v>
      </c>
      <c r="C1" t="s">
        <v>1</v>
      </c>
      <c r="D1" s="1" t="s">
        <v>2</v>
      </c>
      <c r="E1" t="s">
        <v>3</v>
      </c>
      <c r="F1" s="1" t="s">
        <v>4</v>
      </c>
      <c r="G1" s="1"/>
      <c r="H1" s="1"/>
      <c r="I1" s="1"/>
      <c r="J1" s="1"/>
      <c r="K1" s="1"/>
      <c r="L1" s="1"/>
      <c r="M1" s="1"/>
      <c r="N1" s="1"/>
      <c r="O1" s="1"/>
      <c r="P1" s="1"/>
      <c r="Q1" s="666"/>
      <c r="R1" s="666"/>
      <c r="S1" s="666"/>
      <c r="T1" s="1"/>
    </row>
    <row r="2" spans="1:26" x14ac:dyDescent="0.25">
      <c r="A2" t="s">
        <v>5</v>
      </c>
      <c r="B2" s="1" t="s">
        <v>6</v>
      </c>
      <c r="C2" t="s">
        <v>7</v>
      </c>
      <c r="D2" s="1" t="s">
        <v>8</v>
      </c>
      <c r="E2" t="s">
        <v>9</v>
      </c>
      <c r="F2" s="1" t="s">
        <v>10</v>
      </c>
      <c r="G2" s="1"/>
      <c r="H2" s="1"/>
      <c r="I2" s="1"/>
      <c r="J2" s="1"/>
      <c r="K2" s="1"/>
      <c r="L2" s="1"/>
      <c r="M2" s="1"/>
      <c r="N2" s="1"/>
      <c r="O2" s="1"/>
      <c r="P2" s="1"/>
      <c r="Q2" s="2" t="s">
        <v>11</v>
      </c>
      <c r="R2" s="3"/>
      <c r="S2" s="3"/>
      <c r="T2" s="1"/>
    </row>
    <row r="3" spans="1:26" ht="15.75" thickBot="1" x14ac:dyDescent="0.3">
      <c r="T3" s="640" t="s">
        <v>867</v>
      </c>
      <c r="U3" s="640" t="s">
        <v>2038</v>
      </c>
    </row>
    <row r="4" spans="1:26" x14ac:dyDescent="0.25">
      <c r="B4" s="4" t="s">
        <v>12</v>
      </c>
      <c r="C4" s="5"/>
      <c r="D4" s="5"/>
      <c r="E4" s="5"/>
      <c r="F4" s="5"/>
      <c r="G4" s="5"/>
      <c r="H4" s="5"/>
      <c r="I4" s="5"/>
      <c r="J4" s="5"/>
      <c r="K4" s="5"/>
      <c r="L4" s="5"/>
      <c r="M4" s="5"/>
      <c r="N4" s="5"/>
      <c r="O4" s="5"/>
      <c r="P4" s="5"/>
      <c r="Q4" s="5"/>
      <c r="R4" s="6"/>
      <c r="T4" t="s">
        <v>749</v>
      </c>
    </row>
    <row r="5" spans="1:26" x14ac:dyDescent="0.25">
      <c r="B5" s="7" t="s">
        <v>13</v>
      </c>
      <c r="C5" s="8"/>
      <c r="D5" s="8"/>
      <c r="E5" s="8"/>
      <c r="F5" s="8"/>
      <c r="G5" s="8"/>
      <c r="H5" s="8"/>
      <c r="I5" s="8"/>
      <c r="J5" s="8"/>
      <c r="K5" s="8"/>
      <c r="L5" s="8"/>
      <c r="M5" s="8"/>
      <c r="N5" s="8"/>
      <c r="O5" s="8"/>
      <c r="P5" s="8"/>
      <c r="Q5" s="8"/>
      <c r="R5" s="9"/>
      <c r="T5" t="s">
        <v>884</v>
      </c>
    </row>
    <row r="6" spans="1:26" x14ac:dyDescent="0.25">
      <c r="B6" s="7" t="s">
        <v>14</v>
      </c>
      <c r="C6" s="8"/>
      <c r="D6" s="8"/>
      <c r="E6" s="8"/>
      <c r="F6" s="8"/>
      <c r="G6" s="8"/>
      <c r="H6" s="8"/>
      <c r="I6" s="8"/>
      <c r="J6" s="8"/>
      <c r="K6" s="8"/>
      <c r="L6" s="8"/>
      <c r="M6" s="8"/>
      <c r="N6" s="8"/>
      <c r="O6" s="8"/>
      <c r="P6" s="8"/>
      <c r="Q6" s="8"/>
      <c r="R6" s="9"/>
      <c r="T6" t="s">
        <v>877</v>
      </c>
    </row>
    <row r="7" spans="1:26" x14ac:dyDescent="0.25">
      <c r="B7" s="7" t="s">
        <v>15</v>
      </c>
      <c r="C7" s="8"/>
      <c r="D7" s="8"/>
      <c r="E7" s="8"/>
      <c r="F7" s="8"/>
      <c r="G7" s="8"/>
      <c r="H7" s="8"/>
      <c r="I7" s="8"/>
      <c r="J7" s="8"/>
      <c r="K7" s="8"/>
      <c r="L7" s="8"/>
      <c r="M7" s="8"/>
      <c r="N7" s="8"/>
      <c r="O7" s="8"/>
      <c r="P7" s="8"/>
      <c r="Q7" s="8"/>
      <c r="R7" s="9"/>
      <c r="T7" t="s">
        <v>878</v>
      </c>
    </row>
    <row r="8" spans="1:26" x14ac:dyDescent="0.25">
      <c r="B8" s="7" t="s">
        <v>16</v>
      </c>
      <c r="C8" s="8"/>
      <c r="D8" s="8"/>
      <c r="E8" s="8"/>
      <c r="F8" s="8"/>
      <c r="G8" s="8"/>
      <c r="H8" s="8"/>
      <c r="I8" s="8"/>
      <c r="J8" s="8"/>
      <c r="K8" s="8"/>
      <c r="L8" s="8"/>
      <c r="M8" s="8"/>
      <c r="N8" s="8"/>
      <c r="O8" s="8"/>
      <c r="P8" s="8"/>
      <c r="Q8" s="8"/>
      <c r="R8" s="9"/>
      <c r="T8" t="s">
        <v>879</v>
      </c>
    </row>
    <row r="9" spans="1:26" x14ac:dyDescent="0.25">
      <c r="B9" s="7" t="s">
        <v>17</v>
      </c>
      <c r="C9" s="8"/>
      <c r="D9" s="8"/>
      <c r="E9" s="8"/>
      <c r="F9" s="8"/>
      <c r="G9" s="8"/>
      <c r="H9" s="8"/>
      <c r="I9" s="8"/>
      <c r="J9" s="8"/>
      <c r="K9" s="8"/>
      <c r="L9" s="8"/>
      <c r="M9" s="8"/>
      <c r="N9" s="8"/>
      <c r="O9" s="8"/>
      <c r="P9" s="8"/>
      <c r="Q9" s="8"/>
      <c r="R9" s="9"/>
      <c r="T9" t="s">
        <v>880</v>
      </c>
    </row>
    <row r="10" spans="1:26" x14ac:dyDescent="0.25">
      <c r="B10" s="7" t="s">
        <v>18</v>
      </c>
      <c r="C10" s="8"/>
      <c r="D10" s="8"/>
      <c r="E10" s="8"/>
      <c r="F10" s="8"/>
      <c r="G10" s="8"/>
      <c r="H10" s="8"/>
      <c r="I10" s="8"/>
      <c r="J10" s="8"/>
      <c r="K10" s="8"/>
      <c r="L10" s="8"/>
      <c r="M10" s="8"/>
      <c r="N10" s="8"/>
      <c r="O10" s="8"/>
      <c r="P10" s="8"/>
      <c r="Q10" s="8"/>
      <c r="R10" s="9"/>
      <c r="T10" t="s">
        <v>881</v>
      </c>
    </row>
    <row r="11" spans="1:26" x14ac:dyDescent="0.25">
      <c r="B11" s="7" t="s">
        <v>19</v>
      </c>
      <c r="C11" s="8"/>
      <c r="D11" s="8"/>
      <c r="E11" s="8"/>
      <c r="F11" s="8"/>
      <c r="G11" s="8"/>
      <c r="H11" s="8"/>
      <c r="I11" s="8"/>
      <c r="J11" s="8"/>
      <c r="K11" s="8"/>
      <c r="L11" s="8"/>
      <c r="M11" s="8"/>
      <c r="N11" s="8"/>
      <c r="O11" s="8"/>
      <c r="P11" s="8"/>
      <c r="Q11" s="8"/>
      <c r="R11" s="9"/>
      <c r="T11" t="s">
        <v>882</v>
      </c>
    </row>
    <row r="12" spans="1:26" ht="15.75" thickBot="1" x14ac:dyDescent="0.3">
      <c r="B12" s="10" t="s">
        <v>20</v>
      </c>
      <c r="C12" s="11"/>
      <c r="D12" s="11"/>
      <c r="E12" s="11"/>
      <c r="F12" s="11"/>
      <c r="G12" s="11"/>
      <c r="H12" s="11"/>
      <c r="I12" s="11"/>
      <c r="J12" s="11"/>
      <c r="K12" s="11"/>
      <c r="L12" s="11"/>
      <c r="M12" s="11"/>
      <c r="N12" s="11"/>
      <c r="O12" s="11"/>
      <c r="P12" s="11"/>
      <c r="Q12" s="11"/>
      <c r="R12" s="12"/>
      <c r="T12" t="s">
        <v>883</v>
      </c>
    </row>
    <row r="13" spans="1:26" ht="15.75" thickBot="1" x14ac:dyDescent="0.3">
      <c r="N13" s="664">
        <f>MAX(MasterRoomList_SpaceTypeSummary[Row])</f>
        <v>50</v>
      </c>
    </row>
    <row r="14" spans="1:26" x14ac:dyDescent="0.25">
      <c r="B14" s="667" t="s">
        <v>21</v>
      </c>
      <c r="C14" s="667"/>
      <c r="D14" s="667"/>
      <c r="E14" s="667"/>
      <c r="F14" s="667"/>
      <c r="G14" s="667"/>
      <c r="H14" s="667"/>
      <c r="I14" s="667"/>
      <c r="J14" s="667"/>
      <c r="K14" s="667"/>
      <c r="L14" s="667"/>
      <c r="N14" s="13" t="s">
        <v>22</v>
      </c>
      <c r="Q14" s="667" t="s">
        <v>23</v>
      </c>
      <c r="R14" s="667"/>
      <c r="S14" s="667"/>
      <c r="T14" s="667"/>
      <c r="U14" s="667"/>
      <c r="V14" s="667"/>
      <c r="W14" s="667"/>
      <c r="X14" s="667"/>
    </row>
    <row r="15" spans="1:26" ht="30.75" thickBot="1" x14ac:dyDescent="0.3">
      <c r="B15" s="149" t="s">
        <v>24</v>
      </c>
      <c r="C15" s="163" t="s">
        <v>25</v>
      </c>
      <c r="D15" s="644" t="s">
        <v>26</v>
      </c>
      <c r="E15" s="163" t="s">
        <v>27</v>
      </c>
      <c r="F15" s="163" t="s">
        <v>28</v>
      </c>
      <c r="G15" s="644" t="s">
        <v>29</v>
      </c>
      <c r="H15" s="644" t="s">
        <v>2040</v>
      </c>
      <c r="I15" s="644" t="s">
        <v>2041</v>
      </c>
      <c r="J15" s="644" t="s">
        <v>2039</v>
      </c>
      <c r="K15" s="644" t="s">
        <v>2163</v>
      </c>
      <c r="L15" s="644" t="s">
        <v>2164</v>
      </c>
      <c r="N15" s="16" cm="1">
        <f t="array" ref="N15">SUMPRODUCT((MasterRoomList_SpaceTypeTable[Space Type]&lt;&gt;"")/COUNTIF(MasterRoomList_SpaceTypeTable[Space Type],MasterRoomList_SpaceTypeTable[Space Type]&amp;""))</f>
        <v>0</v>
      </c>
      <c r="P15">
        <f>MAX(MasterRoomList_SpaceTypeSummary[Row])</f>
        <v>50</v>
      </c>
      <c r="Q15" s="149" t="s">
        <v>24</v>
      </c>
      <c r="R15" s="149" t="s">
        <v>30</v>
      </c>
      <c r="S15" s="149" t="s">
        <v>31</v>
      </c>
      <c r="T15" s="149" t="s">
        <v>32</v>
      </c>
      <c r="U15" s="149" t="s">
        <v>33</v>
      </c>
      <c r="V15" s="149" t="s">
        <v>2040</v>
      </c>
      <c r="W15" s="149" t="s">
        <v>2041</v>
      </c>
      <c r="X15" s="149" t="s">
        <v>2039</v>
      </c>
      <c r="Y15" s="860" t="s">
        <v>2162</v>
      </c>
      <c r="Z15" s="860" t="s">
        <v>2161</v>
      </c>
    </row>
    <row r="16" spans="1:26" x14ac:dyDescent="0.25">
      <c r="B16" s="19">
        <v>1</v>
      </c>
      <c r="E16" s="19"/>
      <c r="G16" s="20"/>
      <c r="H16" s="641"/>
      <c r="I16" s="641"/>
      <c r="J16" s="560"/>
      <c r="K16" s="560"/>
      <c r="L16" s="560"/>
      <c r="Q16" s="19">
        <v>1</v>
      </c>
      <c r="R16" s="19"/>
      <c r="S16" s="19" t="str">
        <f>IFERROR(IF(COUNTIF(MasterRoomList_SpaceTypeTable[Space Type],MasterRoomList_SpaceTypeSummary[[#This Row],[SpaceType]])=0,"",COUNTIF(MasterRoomList_SpaceTypeTable[Space Type],MasterRoomList_SpaceTypeSummary[[#This Row],[SpaceType]])),"")</f>
        <v/>
      </c>
      <c r="T16"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16" s="21" t="str">
        <f>IFERROR(MasterRoomList_SpaceTypeSummary[[#This Row],[Area (sqft)]]/$T$67,"")</f>
        <v/>
      </c>
      <c r="V16"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16"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16"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16" s="859" t="str">
        <f>IFERROR(AVERAGEIF(MasterRoomList_SpaceTypeTable[Space Name],MasterRoomList_SpaceTypeSummary[[#This Row],[SpaceType]],MasterRoomList_SpaceTypeTable[Temperature Setpoint F]),"")</f>
        <v/>
      </c>
      <c r="Z16" s="859" t="str">
        <f>IFERROR(AVERAGEIF(MasterRoomList_SpaceTypeTable[Space Name],MasterRoomList_SpaceTypeSummary[[#This Row],[SpaceType]],MasterRoomList_SpaceTypeTable[Temperature Setback F]),"")</f>
        <v/>
      </c>
    </row>
    <row r="17" spans="2:26" x14ac:dyDescent="0.25">
      <c r="B17" s="19">
        <f>B16+1</f>
        <v>2</v>
      </c>
      <c r="E17" s="19"/>
      <c r="G17" s="20"/>
      <c r="H17" s="641"/>
      <c r="I17" s="641"/>
      <c r="J17" s="560"/>
      <c r="K17" s="560"/>
      <c r="L17" s="560"/>
      <c r="Q17" s="19">
        <v>2</v>
      </c>
      <c r="R17" s="19"/>
      <c r="S17" s="19" t="str">
        <f>IFERROR(IF(COUNTIF(MasterRoomList_SpaceTypeTable[Space Type],MasterRoomList_SpaceTypeSummary[[#This Row],[SpaceType]])=0,"",COUNTIF(MasterRoomList_SpaceTypeTable[Space Type],MasterRoomList_SpaceTypeSummary[[#This Row],[SpaceType]])),"")</f>
        <v/>
      </c>
      <c r="T17"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17" s="643" t="str">
        <f>IFERROR(MasterRoomList_SpaceTypeSummary[[#This Row],[Area (sqft)]]/$T$67,"")</f>
        <v/>
      </c>
      <c r="V17"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17"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17"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17" s="859" t="str">
        <f>IFERROR(AVERAGEIF(MasterRoomList_SpaceTypeTable[Space Name],MasterRoomList_SpaceTypeSummary[[#This Row],[SpaceType]],MasterRoomList_SpaceTypeTable[Temperature Setpoint F]),"")</f>
        <v/>
      </c>
      <c r="Z17" s="859" t="str">
        <f>IFERROR(AVERAGEIF(MasterRoomList_SpaceTypeTable[Space Name],MasterRoomList_SpaceTypeSummary[[#This Row],[SpaceType]],MasterRoomList_SpaceTypeTable[Temperature Setback F]),"")</f>
        <v/>
      </c>
    </row>
    <row r="18" spans="2:26" x14ac:dyDescent="0.25">
      <c r="B18" s="19">
        <f t="shared" ref="B18:B81" si="0">B17+1</f>
        <v>3</v>
      </c>
      <c r="E18" s="19"/>
      <c r="G18" s="20"/>
      <c r="H18" s="641"/>
      <c r="I18" s="641"/>
      <c r="J18" s="560"/>
      <c r="K18" s="560"/>
      <c r="L18" s="560"/>
      <c r="Q18" s="19">
        <v>3</v>
      </c>
      <c r="R18" s="19"/>
      <c r="S18" s="19" t="str">
        <f>IFERROR(IF(COUNTIF(MasterRoomList_SpaceTypeTable[Space Type],MasterRoomList_SpaceTypeSummary[[#This Row],[SpaceType]])=0,"",COUNTIF(MasterRoomList_SpaceTypeTable[Space Type],MasterRoomList_SpaceTypeSummary[[#This Row],[SpaceType]])),"")</f>
        <v/>
      </c>
      <c r="T18"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18" s="643" t="str">
        <f>IFERROR(MasterRoomList_SpaceTypeSummary[[#This Row],[Area (sqft)]]/$T$67,"")</f>
        <v/>
      </c>
      <c r="V18"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18"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18"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18" s="859" t="str">
        <f>IFERROR(AVERAGEIF(MasterRoomList_SpaceTypeTable[Space Name],MasterRoomList_SpaceTypeSummary[[#This Row],[SpaceType]],MasterRoomList_SpaceTypeTable[Temperature Setpoint F]),"")</f>
        <v/>
      </c>
      <c r="Z18" s="859" t="str">
        <f>IFERROR(AVERAGEIF(MasterRoomList_SpaceTypeTable[Space Name],MasterRoomList_SpaceTypeSummary[[#This Row],[SpaceType]],MasterRoomList_SpaceTypeTable[Temperature Setback F]),"")</f>
        <v/>
      </c>
    </row>
    <row r="19" spans="2:26" x14ac:dyDescent="0.25">
      <c r="B19" s="19">
        <f t="shared" si="0"/>
        <v>4</v>
      </c>
      <c r="E19" s="19"/>
      <c r="G19" s="20"/>
      <c r="H19" s="641"/>
      <c r="I19" s="641"/>
      <c r="J19" s="560"/>
      <c r="K19" s="560"/>
      <c r="L19" s="560"/>
      <c r="Q19" s="19">
        <v>4</v>
      </c>
      <c r="R19" s="19"/>
      <c r="S19" s="19" t="str">
        <f>IFERROR(IF(COUNTIF(MasterRoomList_SpaceTypeTable[Space Type],MasterRoomList_SpaceTypeSummary[[#This Row],[SpaceType]])=0,"",COUNTIF(MasterRoomList_SpaceTypeTable[Space Type],MasterRoomList_SpaceTypeSummary[[#This Row],[SpaceType]])),"")</f>
        <v/>
      </c>
      <c r="T19"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19" s="643" t="str">
        <f>IFERROR(MasterRoomList_SpaceTypeSummary[[#This Row],[Area (sqft)]]/$T$67,"")</f>
        <v/>
      </c>
      <c r="V19"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19"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19"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19" s="859" t="str">
        <f>IFERROR(AVERAGEIF(MasterRoomList_SpaceTypeTable[Space Name],MasterRoomList_SpaceTypeSummary[[#This Row],[SpaceType]],MasterRoomList_SpaceTypeTable[Temperature Setpoint F]),"")</f>
        <v/>
      </c>
      <c r="Z19" s="859" t="str">
        <f>IFERROR(AVERAGEIF(MasterRoomList_SpaceTypeTable[Space Name],MasterRoomList_SpaceTypeSummary[[#This Row],[SpaceType]],MasterRoomList_SpaceTypeTable[Temperature Setback F]),"")</f>
        <v/>
      </c>
    </row>
    <row r="20" spans="2:26" x14ac:dyDescent="0.25">
      <c r="B20" s="19">
        <f t="shared" si="0"/>
        <v>5</v>
      </c>
      <c r="E20" s="19"/>
      <c r="G20" s="20"/>
      <c r="H20" s="641"/>
      <c r="I20" s="641"/>
      <c r="J20" s="560"/>
      <c r="K20" s="560"/>
      <c r="L20" s="560"/>
      <c r="Q20" s="19">
        <v>5</v>
      </c>
      <c r="R20" s="19"/>
      <c r="S20" s="19" t="str">
        <f>IFERROR(IF(COUNTIF(MasterRoomList_SpaceTypeTable[Space Type],MasterRoomList_SpaceTypeSummary[[#This Row],[SpaceType]])=0,"",COUNTIF(MasterRoomList_SpaceTypeTable[Space Type],MasterRoomList_SpaceTypeSummary[[#This Row],[SpaceType]])),"")</f>
        <v/>
      </c>
      <c r="T20"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20" s="643" t="str">
        <f>IFERROR(MasterRoomList_SpaceTypeSummary[[#This Row],[Area (sqft)]]/$T$67,"")</f>
        <v/>
      </c>
      <c r="V20"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20"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20"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20" s="859" t="str">
        <f>IFERROR(AVERAGEIF(MasterRoomList_SpaceTypeTable[Space Name],MasterRoomList_SpaceTypeSummary[[#This Row],[SpaceType]],MasterRoomList_SpaceTypeTable[Temperature Setpoint F]),"")</f>
        <v/>
      </c>
      <c r="Z20" s="859" t="str">
        <f>IFERROR(AVERAGEIF(MasterRoomList_SpaceTypeTable[Space Name],MasterRoomList_SpaceTypeSummary[[#This Row],[SpaceType]],MasterRoomList_SpaceTypeTable[Temperature Setback F]),"")</f>
        <v/>
      </c>
    </row>
    <row r="21" spans="2:26" x14ac:dyDescent="0.25">
      <c r="B21" s="19">
        <f t="shared" si="0"/>
        <v>6</v>
      </c>
      <c r="E21" s="19"/>
      <c r="G21" s="20"/>
      <c r="H21" s="641"/>
      <c r="I21" s="641"/>
      <c r="J21" s="560"/>
      <c r="K21" s="560"/>
      <c r="L21" s="560"/>
      <c r="Q21" s="19">
        <v>6</v>
      </c>
      <c r="R21" s="19"/>
      <c r="S21" s="19" t="str">
        <f>IFERROR(IF(COUNTIF(MasterRoomList_SpaceTypeTable[Space Type],MasterRoomList_SpaceTypeSummary[[#This Row],[SpaceType]])=0,"",COUNTIF(MasterRoomList_SpaceTypeTable[Space Type],MasterRoomList_SpaceTypeSummary[[#This Row],[SpaceType]])),"")</f>
        <v/>
      </c>
      <c r="T21"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21" s="643" t="str">
        <f>IFERROR(MasterRoomList_SpaceTypeSummary[[#This Row],[Area (sqft)]]/$T$67,"")</f>
        <v/>
      </c>
      <c r="V21"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21"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21"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21" s="859" t="str">
        <f>IFERROR(AVERAGEIF(MasterRoomList_SpaceTypeTable[Space Name],MasterRoomList_SpaceTypeSummary[[#This Row],[SpaceType]],MasterRoomList_SpaceTypeTable[Temperature Setpoint F]),"")</f>
        <v/>
      </c>
      <c r="Z21" s="859" t="str">
        <f>IFERROR(AVERAGEIF(MasterRoomList_SpaceTypeTable[Space Name],MasterRoomList_SpaceTypeSummary[[#This Row],[SpaceType]],MasterRoomList_SpaceTypeTable[Temperature Setback F]),"")</f>
        <v/>
      </c>
    </row>
    <row r="22" spans="2:26" x14ac:dyDescent="0.25">
      <c r="B22" s="19">
        <f t="shared" si="0"/>
        <v>7</v>
      </c>
      <c r="E22" s="19"/>
      <c r="G22" s="20"/>
      <c r="H22" s="641"/>
      <c r="I22" s="641"/>
      <c r="J22" s="560"/>
      <c r="K22" s="560"/>
      <c r="L22" s="560"/>
      <c r="Q22" s="19">
        <v>7</v>
      </c>
      <c r="R22" s="19"/>
      <c r="S22" s="19" t="str">
        <f>IFERROR(IF(COUNTIF(MasterRoomList_SpaceTypeTable[Space Type],MasterRoomList_SpaceTypeSummary[[#This Row],[SpaceType]])=0,"",COUNTIF(MasterRoomList_SpaceTypeTable[Space Type],MasterRoomList_SpaceTypeSummary[[#This Row],[SpaceType]])),"")</f>
        <v/>
      </c>
      <c r="T22"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22" s="643" t="str">
        <f>IFERROR(MasterRoomList_SpaceTypeSummary[[#This Row],[Area (sqft)]]/$T$67,"")</f>
        <v/>
      </c>
      <c r="V22"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22"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22"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22" s="859" t="str">
        <f>IFERROR(AVERAGEIF(MasterRoomList_SpaceTypeTable[Space Name],MasterRoomList_SpaceTypeSummary[[#This Row],[SpaceType]],MasterRoomList_SpaceTypeTable[Temperature Setpoint F]),"")</f>
        <v/>
      </c>
      <c r="Z22" s="859" t="str">
        <f>IFERROR(AVERAGEIF(MasterRoomList_SpaceTypeTable[Space Name],MasterRoomList_SpaceTypeSummary[[#This Row],[SpaceType]],MasterRoomList_SpaceTypeTable[Temperature Setback F]),"")</f>
        <v/>
      </c>
    </row>
    <row r="23" spans="2:26" x14ac:dyDescent="0.25">
      <c r="B23" s="19">
        <f t="shared" si="0"/>
        <v>8</v>
      </c>
      <c r="E23" s="19"/>
      <c r="G23" s="20"/>
      <c r="H23" s="641"/>
      <c r="I23" s="641"/>
      <c r="J23" s="560"/>
      <c r="K23" s="560"/>
      <c r="L23" s="560"/>
      <c r="Q23" s="19">
        <v>8</v>
      </c>
      <c r="R23" s="19"/>
      <c r="S23" s="19" t="str">
        <f>IFERROR(IF(COUNTIF(MasterRoomList_SpaceTypeTable[Space Type],MasterRoomList_SpaceTypeSummary[[#This Row],[SpaceType]])=0,"",COUNTIF(MasterRoomList_SpaceTypeTable[Space Type],MasterRoomList_SpaceTypeSummary[[#This Row],[SpaceType]])),"")</f>
        <v/>
      </c>
      <c r="T23"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23" s="643" t="str">
        <f>IFERROR(MasterRoomList_SpaceTypeSummary[[#This Row],[Area (sqft)]]/$T$67,"")</f>
        <v/>
      </c>
      <c r="V23"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23"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23"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23" s="859" t="str">
        <f>IFERROR(AVERAGEIF(MasterRoomList_SpaceTypeTable[Space Name],MasterRoomList_SpaceTypeSummary[[#This Row],[SpaceType]],MasterRoomList_SpaceTypeTable[Temperature Setpoint F]),"")</f>
        <v/>
      </c>
      <c r="Z23" s="859" t="str">
        <f>IFERROR(AVERAGEIF(MasterRoomList_SpaceTypeTable[Space Name],MasterRoomList_SpaceTypeSummary[[#This Row],[SpaceType]],MasterRoomList_SpaceTypeTable[Temperature Setback F]),"")</f>
        <v/>
      </c>
    </row>
    <row r="24" spans="2:26" x14ac:dyDescent="0.25">
      <c r="B24" s="19">
        <f t="shared" si="0"/>
        <v>9</v>
      </c>
      <c r="E24" s="19"/>
      <c r="G24" s="20"/>
      <c r="H24" s="641"/>
      <c r="I24" s="641"/>
      <c r="J24" s="560"/>
      <c r="K24" s="560"/>
      <c r="L24" s="560"/>
      <c r="Q24" s="19">
        <v>9</v>
      </c>
      <c r="R24" s="19"/>
      <c r="S24" s="19" t="str">
        <f>IFERROR(IF(COUNTIF(MasterRoomList_SpaceTypeTable[Space Type],MasterRoomList_SpaceTypeSummary[[#This Row],[SpaceType]])=0,"",COUNTIF(MasterRoomList_SpaceTypeTable[Space Type],MasterRoomList_SpaceTypeSummary[[#This Row],[SpaceType]])),"")</f>
        <v/>
      </c>
      <c r="T24"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24" s="643" t="str">
        <f>IFERROR(MasterRoomList_SpaceTypeSummary[[#This Row],[Area (sqft)]]/$T$67,"")</f>
        <v/>
      </c>
      <c r="V24"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24"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24"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24" s="859" t="str">
        <f>IFERROR(AVERAGEIF(MasterRoomList_SpaceTypeTable[Space Name],MasterRoomList_SpaceTypeSummary[[#This Row],[SpaceType]],MasterRoomList_SpaceTypeTable[Temperature Setpoint F]),"")</f>
        <v/>
      </c>
      <c r="Z24" s="859" t="str">
        <f>IFERROR(AVERAGEIF(MasterRoomList_SpaceTypeTable[Space Name],MasterRoomList_SpaceTypeSummary[[#This Row],[SpaceType]],MasterRoomList_SpaceTypeTable[Temperature Setback F]),"")</f>
        <v/>
      </c>
    </row>
    <row r="25" spans="2:26" x14ac:dyDescent="0.25">
      <c r="B25" s="19">
        <f t="shared" si="0"/>
        <v>10</v>
      </c>
      <c r="E25" s="19"/>
      <c r="G25" s="20"/>
      <c r="H25" s="641"/>
      <c r="I25" s="641"/>
      <c r="J25" s="560"/>
      <c r="K25" s="560"/>
      <c r="L25" s="560"/>
      <c r="Q25" s="19">
        <v>10</v>
      </c>
      <c r="R25" s="19"/>
      <c r="S25" s="19" t="str">
        <f>IFERROR(IF(COUNTIF(MasterRoomList_SpaceTypeTable[Space Type],MasterRoomList_SpaceTypeSummary[[#This Row],[SpaceType]])=0,"",COUNTIF(MasterRoomList_SpaceTypeTable[Space Type],MasterRoomList_SpaceTypeSummary[[#This Row],[SpaceType]])),"")</f>
        <v/>
      </c>
      <c r="T25"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25" s="643" t="str">
        <f>IFERROR(MasterRoomList_SpaceTypeSummary[[#This Row],[Area (sqft)]]/$T$67,"")</f>
        <v/>
      </c>
      <c r="V25"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25"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25"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25" s="859" t="str">
        <f>IFERROR(AVERAGEIF(MasterRoomList_SpaceTypeTable[Space Name],MasterRoomList_SpaceTypeSummary[[#This Row],[SpaceType]],MasterRoomList_SpaceTypeTable[Temperature Setpoint F]),"")</f>
        <v/>
      </c>
      <c r="Z25" s="859" t="str">
        <f>IFERROR(AVERAGEIF(MasterRoomList_SpaceTypeTable[Space Name],MasterRoomList_SpaceTypeSummary[[#This Row],[SpaceType]],MasterRoomList_SpaceTypeTable[Temperature Setback F]),"")</f>
        <v/>
      </c>
    </row>
    <row r="26" spans="2:26" x14ac:dyDescent="0.25">
      <c r="B26" s="19">
        <f t="shared" si="0"/>
        <v>11</v>
      </c>
      <c r="E26" s="19"/>
      <c r="G26" s="20"/>
      <c r="H26" s="641"/>
      <c r="I26" s="641"/>
      <c r="J26" s="560"/>
      <c r="K26" s="560"/>
      <c r="L26" s="560"/>
      <c r="Q26" s="19">
        <v>11</v>
      </c>
      <c r="R26" s="19"/>
      <c r="S26" s="19" t="str">
        <f>IFERROR(IF(COUNTIF(MasterRoomList_SpaceTypeTable[Space Type],MasterRoomList_SpaceTypeSummary[[#This Row],[SpaceType]])=0,"",COUNTIF(MasterRoomList_SpaceTypeTable[Space Type],MasterRoomList_SpaceTypeSummary[[#This Row],[SpaceType]])),"")</f>
        <v/>
      </c>
      <c r="T26"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26" s="643" t="str">
        <f>IFERROR(MasterRoomList_SpaceTypeSummary[[#This Row],[Area (sqft)]]/$T$67,"")</f>
        <v/>
      </c>
      <c r="V26"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26"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26"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26" s="859" t="str">
        <f>IFERROR(AVERAGEIF(MasterRoomList_SpaceTypeTable[Space Name],MasterRoomList_SpaceTypeSummary[[#This Row],[SpaceType]],MasterRoomList_SpaceTypeTable[Temperature Setpoint F]),"")</f>
        <v/>
      </c>
      <c r="Z26" s="859" t="str">
        <f>IFERROR(AVERAGEIF(MasterRoomList_SpaceTypeTable[Space Name],MasterRoomList_SpaceTypeSummary[[#This Row],[SpaceType]],MasterRoomList_SpaceTypeTable[Temperature Setback F]),"")</f>
        <v/>
      </c>
    </row>
    <row r="27" spans="2:26" x14ac:dyDescent="0.25">
      <c r="B27" s="19">
        <f t="shared" si="0"/>
        <v>12</v>
      </c>
      <c r="E27" s="19"/>
      <c r="G27" s="20"/>
      <c r="H27" s="641"/>
      <c r="I27" s="641"/>
      <c r="J27" s="560"/>
      <c r="K27" s="560"/>
      <c r="L27" s="560"/>
      <c r="Q27" s="19">
        <v>12</v>
      </c>
      <c r="R27" s="19"/>
      <c r="S27" s="19" t="str">
        <f>IFERROR(IF(COUNTIF(MasterRoomList_SpaceTypeTable[Space Type],MasterRoomList_SpaceTypeSummary[[#This Row],[SpaceType]])=0,"",COUNTIF(MasterRoomList_SpaceTypeTable[Space Type],MasterRoomList_SpaceTypeSummary[[#This Row],[SpaceType]])),"")</f>
        <v/>
      </c>
      <c r="T27"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27" s="643" t="str">
        <f>IFERROR(MasterRoomList_SpaceTypeSummary[[#This Row],[Area (sqft)]]/$T$67,"")</f>
        <v/>
      </c>
      <c r="V27"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27"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27"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27" s="859" t="str">
        <f>IFERROR(AVERAGEIF(MasterRoomList_SpaceTypeTable[Space Name],MasterRoomList_SpaceTypeSummary[[#This Row],[SpaceType]],MasterRoomList_SpaceTypeTable[Temperature Setpoint F]),"")</f>
        <v/>
      </c>
      <c r="Z27" s="859" t="str">
        <f>IFERROR(AVERAGEIF(MasterRoomList_SpaceTypeTable[Space Name],MasterRoomList_SpaceTypeSummary[[#This Row],[SpaceType]],MasterRoomList_SpaceTypeTable[Temperature Setback F]),"")</f>
        <v/>
      </c>
    </row>
    <row r="28" spans="2:26" x14ac:dyDescent="0.25">
      <c r="B28" s="19">
        <f t="shared" si="0"/>
        <v>13</v>
      </c>
      <c r="E28" s="19"/>
      <c r="G28" s="20"/>
      <c r="H28" s="641"/>
      <c r="I28" s="641"/>
      <c r="J28" s="560"/>
      <c r="K28" s="560"/>
      <c r="L28" s="560"/>
      <c r="Q28" s="19">
        <v>13</v>
      </c>
      <c r="R28" s="19"/>
      <c r="S28" s="19" t="str">
        <f>IFERROR(IF(COUNTIF(MasterRoomList_SpaceTypeTable[Space Type],MasterRoomList_SpaceTypeSummary[[#This Row],[SpaceType]])=0,"",COUNTIF(MasterRoomList_SpaceTypeTable[Space Type],MasterRoomList_SpaceTypeSummary[[#This Row],[SpaceType]])),"")</f>
        <v/>
      </c>
      <c r="T28"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28" s="21" t="str">
        <f>IFERROR(MasterRoomList_SpaceTypeSummary[[#This Row],[Area (sqft)]]/$T$67,"")</f>
        <v/>
      </c>
      <c r="V28"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28"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28"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28" s="859" t="str">
        <f>IFERROR(AVERAGEIF(MasterRoomList_SpaceTypeTable[Space Name],MasterRoomList_SpaceTypeSummary[[#This Row],[SpaceType]],MasterRoomList_SpaceTypeTable[Temperature Setpoint F]),"")</f>
        <v/>
      </c>
      <c r="Z28" s="859" t="str">
        <f>IFERROR(AVERAGEIF(MasterRoomList_SpaceTypeTable[Space Name],MasterRoomList_SpaceTypeSummary[[#This Row],[SpaceType]],MasterRoomList_SpaceTypeTable[Temperature Setback F]),"")</f>
        <v/>
      </c>
    </row>
    <row r="29" spans="2:26" x14ac:dyDescent="0.25">
      <c r="B29" s="19">
        <f t="shared" si="0"/>
        <v>14</v>
      </c>
      <c r="E29" s="19"/>
      <c r="G29" s="20"/>
      <c r="H29" s="641"/>
      <c r="I29" s="641"/>
      <c r="J29" s="560"/>
      <c r="K29" s="560"/>
      <c r="L29" s="560"/>
      <c r="Q29" s="19">
        <v>14</v>
      </c>
      <c r="R29" s="19"/>
      <c r="S29" s="19" t="str">
        <f>IFERROR(IF(COUNTIF(MasterRoomList_SpaceTypeTable[Space Type],MasterRoomList_SpaceTypeSummary[[#This Row],[SpaceType]])=0,"",COUNTIF(MasterRoomList_SpaceTypeTable[Space Type],MasterRoomList_SpaceTypeSummary[[#This Row],[SpaceType]])),"")</f>
        <v/>
      </c>
      <c r="T29"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29" s="21" t="str">
        <f>IFERROR(MasterRoomList_SpaceTypeSummary[[#This Row],[Area (sqft)]]/$T$67,"")</f>
        <v/>
      </c>
      <c r="V29"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29"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29"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29" s="859" t="str">
        <f>IFERROR(AVERAGEIF(MasterRoomList_SpaceTypeTable[Space Name],MasterRoomList_SpaceTypeSummary[[#This Row],[SpaceType]],MasterRoomList_SpaceTypeTable[Temperature Setpoint F]),"")</f>
        <v/>
      </c>
      <c r="Z29" s="859" t="str">
        <f>IFERROR(AVERAGEIF(MasterRoomList_SpaceTypeTable[Space Name],MasterRoomList_SpaceTypeSummary[[#This Row],[SpaceType]],MasterRoomList_SpaceTypeTable[Temperature Setback F]),"")</f>
        <v/>
      </c>
    </row>
    <row r="30" spans="2:26" x14ac:dyDescent="0.25">
      <c r="B30" s="19">
        <f t="shared" si="0"/>
        <v>15</v>
      </c>
      <c r="E30" s="19"/>
      <c r="G30" s="20"/>
      <c r="H30" s="641"/>
      <c r="I30" s="641"/>
      <c r="J30" s="560"/>
      <c r="K30" s="560"/>
      <c r="L30" s="560"/>
      <c r="Q30" s="19">
        <v>15</v>
      </c>
      <c r="R30" s="19"/>
      <c r="S30" s="19" t="str">
        <f>IFERROR(IF(COUNTIF(MasterRoomList_SpaceTypeTable[Space Type],MasterRoomList_SpaceTypeSummary[[#This Row],[SpaceType]])=0,"",COUNTIF(MasterRoomList_SpaceTypeTable[Space Type],MasterRoomList_SpaceTypeSummary[[#This Row],[SpaceType]])),"")</f>
        <v/>
      </c>
      <c r="T30"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30" s="21" t="str">
        <f>IFERROR(MasterRoomList_SpaceTypeSummary[[#This Row],[Area (sqft)]]/$T$67,"")</f>
        <v/>
      </c>
      <c r="V30"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30"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30"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30" s="859" t="str">
        <f>IFERROR(AVERAGEIF(MasterRoomList_SpaceTypeTable[Space Name],MasterRoomList_SpaceTypeSummary[[#This Row],[SpaceType]],MasterRoomList_SpaceTypeTable[Temperature Setpoint F]),"")</f>
        <v/>
      </c>
      <c r="Z30" s="859" t="str">
        <f>IFERROR(AVERAGEIF(MasterRoomList_SpaceTypeTable[Space Name],MasterRoomList_SpaceTypeSummary[[#This Row],[SpaceType]],MasterRoomList_SpaceTypeTable[Temperature Setback F]),"")</f>
        <v/>
      </c>
    </row>
    <row r="31" spans="2:26" x14ac:dyDescent="0.25">
      <c r="B31" s="19">
        <f t="shared" si="0"/>
        <v>16</v>
      </c>
      <c r="E31" s="19"/>
      <c r="G31" s="20"/>
      <c r="H31" s="641"/>
      <c r="I31" s="641"/>
      <c r="J31" s="560"/>
      <c r="K31" s="560"/>
      <c r="L31" s="560"/>
      <c r="Q31" s="19">
        <v>16</v>
      </c>
      <c r="R31" s="19"/>
      <c r="S31" s="19" t="str">
        <f>IFERROR(IF(COUNTIF(MasterRoomList_SpaceTypeTable[Space Type],MasterRoomList_SpaceTypeSummary[[#This Row],[SpaceType]])=0,"",COUNTIF(MasterRoomList_SpaceTypeTable[Space Type],MasterRoomList_SpaceTypeSummary[[#This Row],[SpaceType]])),"")</f>
        <v/>
      </c>
      <c r="T31"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31" s="21" t="str">
        <f>IFERROR(MasterRoomList_SpaceTypeSummary[[#This Row],[Area (sqft)]]/$T$67,"")</f>
        <v/>
      </c>
      <c r="V31"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31"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31"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31" s="859" t="str">
        <f>IFERROR(AVERAGEIF(MasterRoomList_SpaceTypeTable[Space Name],MasterRoomList_SpaceTypeSummary[[#This Row],[SpaceType]],MasterRoomList_SpaceTypeTable[Temperature Setpoint F]),"")</f>
        <v/>
      </c>
      <c r="Z31" s="859" t="str">
        <f>IFERROR(AVERAGEIF(MasterRoomList_SpaceTypeTable[Space Name],MasterRoomList_SpaceTypeSummary[[#This Row],[SpaceType]],MasterRoomList_SpaceTypeTable[Temperature Setback F]),"")</f>
        <v/>
      </c>
    </row>
    <row r="32" spans="2:26" x14ac:dyDescent="0.25">
      <c r="B32" s="19">
        <f t="shared" si="0"/>
        <v>17</v>
      </c>
      <c r="E32" s="19"/>
      <c r="G32" s="20"/>
      <c r="H32" s="641"/>
      <c r="I32" s="641"/>
      <c r="J32" s="560"/>
      <c r="K32" s="560"/>
      <c r="L32" s="560"/>
      <c r="Q32" s="19">
        <v>17</v>
      </c>
      <c r="R32" s="19"/>
      <c r="S32" s="19" t="str">
        <f>IFERROR(IF(COUNTIF(MasterRoomList_SpaceTypeTable[Space Type],MasterRoomList_SpaceTypeSummary[[#This Row],[SpaceType]])=0,"",COUNTIF(MasterRoomList_SpaceTypeTable[Space Type],MasterRoomList_SpaceTypeSummary[[#This Row],[SpaceType]])),"")</f>
        <v/>
      </c>
      <c r="T32"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32" s="21" t="str">
        <f>IFERROR(MasterRoomList_SpaceTypeSummary[[#This Row],[Area (sqft)]]/$T$67,"")</f>
        <v/>
      </c>
      <c r="V32"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32"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32"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32" s="859" t="str">
        <f>IFERROR(AVERAGEIF(MasterRoomList_SpaceTypeTable[Space Name],MasterRoomList_SpaceTypeSummary[[#This Row],[SpaceType]],MasterRoomList_SpaceTypeTable[Temperature Setpoint F]),"")</f>
        <v/>
      </c>
      <c r="Z32" s="859" t="str">
        <f>IFERROR(AVERAGEIF(MasterRoomList_SpaceTypeTable[Space Name],MasterRoomList_SpaceTypeSummary[[#This Row],[SpaceType]],MasterRoomList_SpaceTypeTable[Temperature Setback F]),"")</f>
        <v/>
      </c>
    </row>
    <row r="33" spans="2:26" x14ac:dyDescent="0.25">
      <c r="B33" s="19">
        <f t="shared" si="0"/>
        <v>18</v>
      </c>
      <c r="E33" s="19"/>
      <c r="G33" s="20"/>
      <c r="H33" s="641"/>
      <c r="I33" s="641"/>
      <c r="J33" s="560"/>
      <c r="K33" s="560"/>
      <c r="L33" s="560"/>
      <c r="Q33" s="19">
        <v>18</v>
      </c>
      <c r="R33" s="19"/>
      <c r="S33" s="19" t="str">
        <f>IFERROR(IF(COUNTIF(MasterRoomList_SpaceTypeTable[Space Type],MasterRoomList_SpaceTypeSummary[[#This Row],[SpaceType]])=0,"",COUNTIF(MasterRoomList_SpaceTypeTable[Space Type],MasterRoomList_SpaceTypeSummary[[#This Row],[SpaceType]])),"")</f>
        <v/>
      </c>
      <c r="T33"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33" s="21" t="str">
        <f>IFERROR(MasterRoomList_SpaceTypeSummary[[#This Row],[Area (sqft)]]/$T$67,"")</f>
        <v/>
      </c>
      <c r="V33"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33"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33"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33" s="859" t="str">
        <f>IFERROR(AVERAGEIF(MasterRoomList_SpaceTypeTable[Space Name],MasterRoomList_SpaceTypeSummary[[#This Row],[SpaceType]],MasterRoomList_SpaceTypeTable[Temperature Setpoint F]),"")</f>
        <v/>
      </c>
      <c r="Z33" s="859" t="str">
        <f>IFERROR(AVERAGEIF(MasterRoomList_SpaceTypeTable[Space Name],MasterRoomList_SpaceTypeSummary[[#This Row],[SpaceType]],MasterRoomList_SpaceTypeTable[Temperature Setback F]),"")</f>
        <v/>
      </c>
    </row>
    <row r="34" spans="2:26" x14ac:dyDescent="0.25">
      <c r="B34" s="19">
        <f t="shared" si="0"/>
        <v>19</v>
      </c>
      <c r="E34" s="19"/>
      <c r="G34" s="20"/>
      <c r="H34" s="641"/>
      <c r="I34" s="641"/>
      <c r="J34" s="560"/>
      <c r="K34" s="560"/>
      <c r="L34" s="560"/>
      <c r="Q34" s="19">
        <v>19</v>
      </c>
      <c r="R34" s="19"/>
      <c r="S34" s="19" t="str">
        <f>IFERROR(IF(COUNTIF(MasterRoomList_SpaceTypeTable[Space Type],MasterRoomList_SpaceTypeSummary[[#This Row],[SpaceType]])=0,"",COUNTIF(MasterRoomList_SpaceTypeTable[Space Type],MasterRoomList_SpaceTypeSummary[[#This Row],[SpaceType]])),"")</f>
        <v/>
      </c>
      <c r="T34"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34" s="21" t="str">
        <f>IFERROR(MasterRoomList_SpaceTypeSummary[[#This Row],[Area (sqft)]]/$T$67,"")</f>
        <v/>
      </c>
      <c r="V34"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34"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34"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34" s="859" t="str">
        <f>IFERROR(AVERAGEIF(MasterRoomList_SpaceTypeTable[Space Name],MasterRoomList_SpaceTypeSummary[[#This Row],[SpaceType]],MasterRoomList_SpaceTypeTable[Temperature Setpoint F]),"")</f>
        <v/>
      </c>
      <c r="Z34" s="859" t="str">
        <f>IFERROR(AVERAGEIF(MasterRoomList_SpaceTypeTable[Space Name],MasterRoomList_SpaceTypeSummary[[#This Row],[SpaceType]],MasterRoomList_SpaceTypeTable[Temperature Setback F]),"")</f>
        <v/>
      </c>
    </row>
    <row r="35" spans="2:26" x14ac:dyDescent="0.25">
      <c r="B35" s="19">
        <f t="shared" si="0"/>
        <v>20</v>
      </c>
      <c r="E35" s="19"/>
      <c r="G35" s="20"/>
      <c r="H35" s="641"/>
      <c r="I35" s="641"/>
      <c r="J35" s="560"/>
      <c r="K35" s="560"/>
      <c r="L35" s="560"/>
      <c r="Q35" s="19">
        <v>20</v>
      </c>
      <c r="R35" s="19"/>
      <c r="S35" s="19" t="str">
        <f>IFERROR(IF(COUNTIF(MasterRoomList_SpaceTypeTable[Space Type],MasterRoomList_SpaceTypeSummary[[#This Row],[SpaceType]])=0,"",COUNTIF(MasterRoomList_SpaceTypeTable[Space Type],MasterRoomList_SpaceTypeSummary[[#This Row],[SpaceType]])),"")</f>
        <v/>
      </c>
      <c r="T35"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35" s="21" t="str">
        <f>IFERROR(MasterRoomList_SpaceTypeSummary[[#This Row],[Area (sqft)]]/$T$67,"")</f>
        <v/>
      </c>
      <c r="V35"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35"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35"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35" s="859" t="str">
        <f>IFERROR(AVERAGEIF(MasterRoomList_SpaceTypeTable[Space Name],MasterRoomList_SpaceTypeSummary[[#This Row],[SpaceType]],MasterRoomList_SpaceTypeTable[Temperature Setpoint F]),"")</f>
        <v/>
      </c>
      <c r="Z35" s="859" t="str">
        <f>IFERROR(AVERAGEIF(MasterRoomList_SpaceTypeTable[Space Name],MasterRoomList_SpaceTypeSummary[[#This Row],[SpaceType]],MasterRoomList_SpaceTypeTable[Temperature Setback F]),"")</f>
        <v/>
      </c>
    </row>
    <row r="36" spans="2:26" x14ac:dyDescent="0.25">
      <c r="B36" s="19">
        <f t="shared" si="0"/>
        <v>21</v>
      </c>
      <c r="E36" s="19"/>
      <c r="G36" s="20"/>
      <c r="H36" s="641"/>
      <c r="I36" s="641"/>
      <c r="J36" s="560"/>
      <c r="K36" s="560"/>
      <c r="L36" s="560"/>
      <c r="Q36" s="19">
        <v>21</v>
      </c>
      <c r="R36" s="19"/>
      <c r="S36" s="19" t="str">
        <f>IFERROR(IF(COUNTIF(MasterRoomList_SpaceTypeTable[Space Type],MasterRoomList_SpaceTypeSummary[[#This Row],[SpaceType]])=0,"",COUNTIF(MasterRoomList_SpaceTypeTable[Space Type],MasterRoomList_SpaceTypeSummary[[#This Row],[SpaceType]])),"")</f>
        <v/>
      </c>
      <c r="T36"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36" s="21" t="str">
        <f>IFERROR(MasterRoomList_SpaceTypeSummary[[#This Row],[Area (sqft)]]/$T$67,"")</f>
        <v/>
      </c>
      <c r="V36"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36"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36"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36" s="859" t="str">
        <f>IFERROR(AVERAGEIF(MasterRoomList_SpaceTypeTable[Space Name],MasterRoomList_SpaceTypeSummary[[#This Row],[SpaceType]],MasterRoomList_SpaceTypeTable[Temperature Setpoint F]),"")</f>
        <v/>
      </c>
      <c r="Z36" s="859" t="str">
        <f>IFERROR(AVERAGEIF(MasterRoomList_SpaceTypeTable[Space Name],MasterRoomList_SpaceTypeSummary[[#This Row],[SpaceType]],MasterRoomList_SpaceTypeTable[Temperature Setback F]),"")</f>
        <v/>
      </c>
    </row>
    <row r="37" spans="2:26" x14ac:dyDescent="0.25">
      <c r="B37" s="19">
        <f t="shared" si="0"/>
        <v>22</v>
      </c>
      <c r="E37" s="19"/>
      <c r="G37" s="20"/>
      <c r="H37" s="641"/>
      <c r="I37" s="641"/>
      <c r="J37" s="560"/>
      <c r="K37" s="560"/>
      <c r="L37" s="560"/>
      <c r="Q37" s="19">
        <v>22</v>
      </c>
      <c r="R37" s="19"/>
      <c r="S37" s="19" t="str">
        <f>IFERROR(IF(COUNTIF(MasterRoomList_SpaceTypeTable[Space Type],MasterRoomList_SpaceTypeSummary[[#This Row],[SpaceType]])=0,"",COUNTIF(MasterRoomList_SpaceTypeTable[Space Type],MasterRoomList_SpaceTypeSummary[[#This Row],[SpaceType]])),"")</f>
        <v/>
      </c>
      <c r="T37"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37" s="21" t="str">
        <f>IFERROR(MasterRoomList_SpaceTypeSummary[[#This Row],[Area (sqft)]]/$T$67,"")</f>
        <v/>
      </c>
      <c r="V37"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37"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37"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37" s="859" t="str">
        <f>IFERROR(AVERAGEIF(MasterRoomList_SpaceTypeTable[Space Name],MasterRoomList_SpaceTypeSummary[[#This Row],[SpaceType]],MasterRoomList_SpaceTypeTable[Temperature Setpoint F]),"")</f>
        <v/>
      </c>
      <c r="Z37" s="859" t="str">
        <f>IFERROR(AVERAGEIF(MasterRoomList_SpaceTypeTable[Space Name],MasterRoomList_SpaceTypeSummary[[#This Row],[SpaceType]],MasterRoomList_SpaceTypeTable[Temperature Setback F]),"")</f>
        <v/>
      </c>
    </row>
    <row r="38" spans="2:26" x14ac:dyDescent="0.25">
      <c r="B38" s="19">
        <f t="shared" si="0"/>
        <v>23</v>
      </c>
      <c r="E38" s="19"/>
      <c r="G38" s="20"/>
      <c r="H38" s="641"/>
      <c r="I38" s="641"/>
      <c r="J38" s="560"/>
      <c r="K38" s="560"/>
      <c r="L38" s="560"/>
      <c r="Q38" s="19">
        <v>23</v>
      </c>
      <c r="R38" s="19"/>
      <c r="S38" s="19" t="str">
        <f>IFERROR(IF(COUNTIF(MasterRoomList_SpaceTypeTable[Space Type],MasterRoomList_SpaceTypeSummary[[#This Row],[SpaceType]])=0,"",COUNTIF(MasterRoomList_SpaceTypeTable[Space Type],MasterRoomList_SpaceTypeSummary[[#This Row],[SpaceType]])),"")</f>
        <v/>
      </c>
      <c r="T38"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38" s="21" t="str">
        <f>IFERROR(MasterRoomList_SpaceTypeSummary[[#This Row],[Area (sqft)]]/$T$67,"")</f>
        <v/>
      </c>
      <c r="V38"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38"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38"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38" s="859" t="str">
        <f>IFERROR(AVERAGEIF(MasterRoomList_SpaceTypeTable[Space Name],MasterRoomList_SpaceTypeSummary[[#This Row],[SpaceType]],MasterRoomList_SpaceTypeTable[Temperature Setpoint F]),"")</f>
        <v/>
      </c>
      <c r="Z38" s="859" t="str">
        <f>IFERROR(AVERAGEIF(MasterRoomList_SpaceTypeTable[Space Name],MasterRoomList_SpaceTypeSummary[[#This Row],[SpaceType]],MasterRoomList_SpaceTypeTable[Temperature Setback F]),"")</f>
        <v/>
      </c>
    </row>
    <row r="39" spans="2:26" x14ac:dyDescent="0.25">
      <c r="B39" s="19">
        <f t="shared" si="0"/>
        <v>24</v>
      </c>
      <c r="E39" s="19"/>
      <c r="G39" s="20"/>
      <c r="H39" s="641"/>
      <c r="I39" s="641"/>
      <c r="J39" s="560"/>
      <c r="K39" s="560"/>
      <c r="L39" s="560"/>
      <c r="Q39" s="19">
        <v>24</v>
      </c>
      <c r="R39" s="19"/>
      <c r="S39" s="19" t="str">
        <f>IFERROR(IF(COUNTIF(MasterRoomList_SpaceTypeTable[Space Type],MasterRoomList_SpaceTypeSummary[[#This Row],[SpaceType]])=0,"",COUNTIF(MasterRoomList_SpaceTypeTable[Space Type],MasterRoomList_SpaceTypeSummary[[#This Row],[SpaceType]])),"")</f>
        <v/>
      </c>
      <c r="T39"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39" s="21" t="str">
        <f>IFERROR(MasterRoomList_SpaceTypeSummary[[#This Row],[Area (sqft)]]/$T$67,"")</f>
        <v/>
      </c>
      <c r="V39"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39"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39"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39" s="859" t="str">
        <f>IFERROR(AVERAGEIF(MasterRoomList_SpaceTypeTable[Space Name],MasterRoomList_SpaceTypeSummary[[#This Row],[SpaceType]],MasterRoomList_SpaceTypeTable[Temperature Setpoint F]),"")</f>
        <v/>
      </c>
      <c r="Z39" s="859" t="str">
        <f>IFERROR(AVERAGEIF(MasterRoomList_SpaceTypeTable[Space Name],MasterRoomList_SpaceTypeSummary[[#This Row],[SpaceType]],MasterRoomList_SpaceTypeTable[Temperature Setback F]),"")</f>
        <v/>
      </c>
    </row>
    <row r="40" spans="2:26" x14ac:dyDescent="0.25">
      <c r="B40" s="19">
        <f t="shared" si="0"/>
        <v>25</v>
      </c>
      <c r="E40" s="19"/>
      <c r="G40" s="20"/>
      <c r="H40" s="641"/>
      <c r="I40" s="641"/>
      <c r="J40" s="560"/>
      <c r="K40" s="560"/>
      <c r="L40" s="560"/>
      <c r="Q40" s="19">
        <v>25</v>
      </c>
      <c r="R40" s="19"/>
      <c r="S40" s="19" t="str">
        <f>IFERROR(IF(COUNTIF(MasterRoomList_SpaceTypeTable[Space Type],MasterRoomList_SpaceTypeSummary[[#This Row],[SpaceType]])=0,"",COUNTIF(MasterRoomList_SpaceTypeTable[Space Type],MasterRoomList_SpaceTypeSummary[[#This Row],[SpaceType]])),"")</f>
        <v/>
      </c>
      <c r="T40"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40" s="21" t="str">
        <f>IFERROR(MasterRoomList_SpaceTypeSummary[[#This Row],[Area (sqft)]]/$T$67,"")</f>
        <v/>
      </c>
      <c r="V40"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40"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40"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40" s="859" t="str">
        <f>IFERROR(AVERAGEIF(MasterRoomList_SpaceTypeTable[Space Name],MasterRoomList_SpaceTypeSummary[[#This Row],[SpaceType]],MasterRoomList_SpaceTypeTable[Temperature Setpoint F]),"")</f>
        <v/>
      </c>
      <c r="Z40" s="859" t="str">
        <f>IFERROR(AVERAGEIF(MasterRoomList_SpaceTypeTable[Space Name],MasterRoomList_SpaceTypeSummary[[#This Row],[SpaceType]],MasterRoomList_SpaceTypeTable[Temperature Setback F]),"")</f>
        <v/>
      </c>
    </row>
    <row r="41" spans="2:26" x14ac:dyDescent="0.25">
      <c r="B41" s="19">
        <f t="shared" si="0"/>
        <v>26</v>
      </c>
      <c r="E41" s="19"/>
      <c r="G41" s="20"/>
      <c r="H41" s="641"/>
      <c r="I41" s="641"/>
      <c r="J41" s="560"/>
      <c r="K41" s="560"/>
      <c r="L41" s="560"/>
      <c r="Q41" s="19">
        <v>26</v>
      </c>
      <c r="R41" s="19"/>
      <c r="S41" s="19" t="str">
        <f>IFERROR(IF(COUNTIF(MasterRoomList_SpaceTypeTable[Space Type],MasterRoomList_SpaceTypeSummary[[#This Row],[SpaceType]])=0,"",COUNTIF(MasterRoomList_SpaceTypeTable[Space Type],MasterRoomList_SpaceTypeSummary[[#This Row],[SpaceType]])),"")</f>
        <v/>
      </c>
      <c r="T41"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41" s="21" t="str">
        <f>IFERROR(MasterRoomList_SpaceTypeSummary[[#This Row],[Area (sqft)]]/$T$67,"")</f>
        <v/>
      </c>
      <c r="V41"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41"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41"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41" s="859" t="str">
        <f>IFERROR(AVERAGEIF(MasterRoomList_SpaceTypeTable[Space Name],MasterRoomList_SpaceTypeSummary[[#This Row],[SpaceType]],MasterRoomList_SpaceTypeTable[Temperature Setpoint F]),"")</f>
        <v/>
      </c>
      <c r="Z41" s="859" t="str">
        <f>IFERROR(AVERAGEIF(MasterRoomList_SpaceTypeTable[Space Name],MasterRoomList_SpaceTypeSummary[[#This Row],[SpaceType]],MasterRoomList_SpaceTypeTable[Temperature Setback F]),"")</f>
        <v/>
      </c>
    </row>
    <row r="42" spans="2:26" x14ac:dyDescent="0.25">
      <c r="B42" s="19">
        <f t="shared" si="0"/>
        <v>27</v>
      </c>
      <c r="E42" s="19"/>
      <c r="G42" s="20"/>
      <c r="H42" s="641"/>
      <c r="I42" s="641"/>
      <c r="J42" s="560"/>
      <c r="K42" s="560"/>
      <c r="L42" s="560"/>
      <c r="Q42" s="19">
        <v>27</v>
      </c>
      <c r="R42" s="19"/>
      <c r="S42" s="19" t="str">
        <f>IFERROR(IF(COUNTIF(MasterRoomList_SpaceTypeTable[Space Type],MasterRoomList_SpaceTypeSummary[[#This Row],[SpaceType]])=0,"",COUNTIF(MasterRoomList_SpaceTypeTable[Space Type],MasterRoomList_SpaceTypeSummary[[#This Row],[SpaceType]])),"")</f>
        <v/>
      </c>
      <c r="T42"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42" s="21" t="str">
        <f>IFERROR(MasterRoomList_SpaceTypeSummary[[#This Row],[Area (sqft)]]/$T$67,"")</f>
        <v/>
      </c>
      <c r="V42"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42"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42"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42" s="859" t="str">
        <f>IFERROR(AVERAGEIF(MasterRoomList_SpaceTypeTable[Space Name],MasterRoomList_SpaceTypeSummary[[#This Row],[SpaceType]],MasterRoomList_SpaceTypeTable[Temperature Setpoint F]),"")</f>
        <v/>
      </c>
      <c r="Z42" s="859" t="str">
        <f>IFERROR(AVERAGEIF(MasterRoomList_SpaceTypeTable[Space Name],MasterRoomList_SpaceTypeSummary[[#This Row],[SpaceType]],MasterRoomList_SpaceTypeTable[Temperature Setback F]),"")</f>
        <v/>
      </c>
    </row>
    <row r="43" spans="2:26" x14ac:dyDescent="0.25">
      <c r="B43" s="19">
        <f t="shared" si="0"/>
        <v>28</v>
      </c>
      <c r="E43" s="19"/>
      <c r="G43" s="20"/>
      <c r="H43" s="641"/>
      <c r="I43" s="641"/>
      <c r="J43" s="560"/>
      <c r="K43" s="560"/>
      <c r="L43" s="560"/>
      <c r="Q43" s="19">
        <v>28</v>
      </c>
      <c r="R43" s="19"/>
      <c r="S43" s="19" t="str">
        <f>IFERROR(IF(COUNTIF(MasterRoomList_SpaceTypeTable[Space Type],MasterRoomList_SpaceTypeSummary[[#This Row],[SpaceType]])=0,"",COUNTIF(MasterRoomList_SpaceTypeTable[Space Type],MasterRoomList_SpaceTypeSummary[[#This Row],[SpaceType]])),"")</f>
        <v/>
      </c>
      <c r="T43"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43" s="21" t="str">
        <f>IFERROR(MasterRoomList_SpaceTypeSummary[[#This Row],[Area (sqft)]]/$T$67,"")</f>
        <v/>
      </c>
      <c r="V43"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43"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43"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43" s="859" t="str">
        <f>IFERROR(AVERAGEIF(MasterRoomList_SpaceTypeTable[Space Name],MasterRoomList_SpaceTypeSummary[[#This Row],[SpaceType]],MasterRoomList_SpaceTypeTable[Temperature Setpoint F]),"")</f>
        <v/>
      </c>
      <c r="Z43" s="859" t="str">
        <f>IFERROR(AVERAGEIF(MasterRoomList_SpaceTypeTable[Space Name],MasterRoomList_SpaceTypeSummary[[#This Row],[SpaceType]],MasterRoomList_SpaceTypeTable[Temperature Setback F]),"")</f>
        <v/>
      </c>
    </row>
    <row r="44" spans="2:26" x14ac:dyDescent="0.25">
      <c r="B44" s="19">
        <f t="shared" si="0"/>
        <v>29</v>
      </c>
      <c r="E44" s="19"/>
      <c r="G44" s="20"/>
      <c r="H44" s="641"/>
      <c r="I44" s="641"/>
      <c r="J44" s="560"/>
      <c r="K44" s="560"/>
      <c r="L44" s="560"/>
      <c r="Q44" s="19">
        <v>29</v>
      </c>
      <c r="R44" s="19"/>
      <c r="S44" s="19" t="str">
        <f>IFERROR(IF(COUNTIF(MasterRoomList_SpaceTypeTable[Space Type],MasterRoomList_SpaceTypeSummary[[#This Row],[SpaceType]])=0,"",COUNTIF(MasterRoomList_SpaceTypeTable[Space Type],MasterRoomList_SpaceTypeSummary[[#This Row],[SpaceType]])),"")</f>
        <v/>
      </c>
      <c r="T44"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44" s="21" t="str">
        <f>IFERROR(MasterRoomList_SpaceTypeSummary[[#This Row],[Area (sqft)]]/$T$67,"")</f>
        <v/>
      </c>
      <c r="V44"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44"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44"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44" s="859" t="str">
        <f>IFERROR(AVERAGEIF(MasterRoomList_SpaceTypeTable[Space Name],MasterRoomList_SpaceTypeSummary[[#This Row],[SpaceType]],MasterRoomList_SpaceTypeTable[Temperature Setpoint F]),"")</f>
        <v/>
      </c>
      <c r="Z44" s="859" t="str">
        <f>IFERROR(AVERAGEIF(MasterRoomList_SpaceTypeTable[Space Name],MasterRoomList_SpaceTypeSummary[[#This Row],[SpaceType]],MasterRoomList_SpaceTypeTable[Temperature Setback F]),"")</f>
        <v/>
      </c>
    </row>
    <row r="45" spans="2:26" x14ac:dyDescent="0.25">
      <c r="B45" s="19">
        <f t="shared" si="0"/>
        <v>30</v>
      </c>
      <c r="E45" s="19"/>
      <c r="G45" s="20"/>
      <c r="H45" s="641"/>
      <c r="I45" s="641"/>
      <c r="J45" s="560"/>
      <c r="K45" s="560"/>
      <c r="L45" s="560"/>
      <c r="Q45" s="19">
        <v>30</v>
      </c>
      <c r="R45" s="19"/>
      <c r="S45" s="19" t="str">
        <f>IFERROR(IF(COUNTIF(MasterRoomList_SpaceTypeTable[Space Type],MasterRoomList_SpaceTypeSummary[[#This Row],[SpaceType]])=0,"",COUNTIF(MasterRoomList_SpaceTypeTable[Space Type],MasterRoomList_SpaceTypeSummary[[#This Row],[SpaceType]])),"")</f>
        <v/>
      </c>
      <c r="T45"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45" s="21" t="str">
        <f>IFERROR(MasterRoomList_SpaceTypeSummary[[#This Row],[Area (sqft)]]/$T$67,"")</f>
        <v/>
      </c>
      <c r="V45"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45"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45"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45" s="859" t="str">
        <f>IFERROR(AVERAGEIF(MasterRoomList_SpaceTypeTable[Space Name],MasterRoomList_SpaceTypeSummary[[#This Row],[SpaceType]],MasterRoomList_SpaceTypeTable[Temperature Setpoint F]),"")</f>
        <v/>
      </c>
      <c r="Z45" s="859" t="str">
        <f>IFERROR(AVERAGEIF(MasterRoomList_SpaceTypeTable[Space Name],MasterRoomList_SpaceTypeSummary[[#This Row],[SpaceType]],MasterRoomList_SpaceTypeTable[Temperature Setback F]),"")</f>
        <v/>
      </c>
    </row>
    <row r="46" spans="2:26" x14ac:dyDescent="0.25">
      <c r="B46" s="19">
        <f t="shared" si="0"/>
        <v>31</v>
      </c>
      <c r="E46" s="19"/>
      <c r="G46" s="20"/>
      <c r="H46" s="641"/>
      <c r="I46" s="641"/>
      <c r="J46" s="560"/>
      <c r="K46" s="560"/>
      <c r="L46" s="560"/>
      <c r="Q46" s="19">
        <v>31</v>
      </c>
      <c r="R46" s="19"/>
      <c r="S46" s="19" t="str">
        <f>IFERROR(IF(COUNTIF(MasterRoomList_SpaceTypeTable[Space Type],MasterRoomList_SpaceTypeSummary[[#This Row],[SpaceType]])=0,"",COUNTIF(MasterRoomList_SpaceTypeTable[Space Type],MasterRoomList_SpaceTypeSummary[[#This Row],[SpaceType]])),"")</f>
        <v/>
      </c>
      <c r="T46"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46" s="21" t="str">
        <f>IFERROR(MasterRoomList_SpaceTypeSummary[[#This Row],[Area (sqft)]]/$T$67,"")</f>
        <v/>
      </c>
      <c r="V46"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46"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46"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46" s="859" t="str">
        <f>IFERROR(AVERAGEIF(MasterRoomList_SpaceTypeTable[Space Name],MasterRoomList_SpaceTypeSummary[[#This Row],[SpaceType]],MasterRoomList_SpaceTypeTable[Temperature Setpoint F]),"")</f>
        <v/>
      </c>
      <c r="Z46" s="859" t="str">
        <f>IFERROR(AVERAGEIF(MasterRoomList_SpaceTypeTable[Space Name],MasterRoomList_SpaceTypeSummary[[#This Row],[SpaceType]],MasterRoomList_SpaceTypeTable[Temperature Setback F]),"")</f>
        <v/>
      </c>
    </row>
    <row r="47" spans="2:26" x14ac:dyDescent="0.25">
      <c r="B47" s="19">
        <f t="shared" si="0"/>
        <v>32</v>
      </c>
      <c r="E47" s="19"/>
      <c r="G47" s="20"/>
      <c r="H47" s="641"/>
      <c r="I47" s="641"/>
      <c r="J47" s="560"/>
      <c r="K47" s="560"/>
      <c r="L47" s="560"/>
      <c r="Q47" s="19">
        <v>32</v>
      </c>
      <c r="R47" s="19"/>
      <c r="S47" s="19" t="str">
        <f>IFERROR(IF(COUNTIF(MasterRoomList_SpaceTypeTable[Space Type],MasterRoomList_SpaceTypeSummary[[#This Row],[SpaceType]])=0,"",COUNTIF(MasterRoomList_SpaceTypeTable[Space Type],MasterRoomList_SpaceTypeSummary[[#This Row],[SpaceType]])),"")</f>
        <v/>
      </c>
      <c r="T47"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47" s="21" t="str">
        <f>IFERROR(MasterRoomList_SpaceTypeSummary[[#This Row],[Area (sqft)]]/$T$67,"")</f>
        <v/>
      </c>
      <c r="V47"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47"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47"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47" s="859" t="str">
        <f>IFERROR(AVERAGEIF(MasterRoomList_SpaceTypeTable[Space Name],MasterRoomList_SpaceTypeSummary[[#This Row],[SpaceType]],MasterRoomList_SpaceTypeTable[Temperature Setpoint F]),"")</f>
        <v/>
      </c>
      <c r="Z47" s="859" t="str">
        <f>IFERROR(AVERAGEIF(MasterRoomList_SpaceTypeTable[Space Name],MasterRoomList_SpaceTypeSummary[[#This Row],[SpaceType]],MasterRoomList_SpaceTypeTable[Temperature Setback F]),"")</f>
        <v/>
      </c>
    </row>
    <row r="48" spans="2:26" x14ac:dyDescent="0.25">
      <c r="B48" s="19">
        <f t="shared" si="0"/>
        <v>33</v>
      </c>
      <c r="E48" s="19"/>
      <c r="G48" s="20"/>
      <c r="H48" s="641"/>
      <c r="I48" s="641"/>
      <c r="J48" s="560"/>
      <c r="K48" s="560"/>
      <c r="L48" s="560"/>
      <c r="Q48" s="19">
        <v>33</v>
      </c>
      <c r="R48" s="19"/>
      <c r="S48" s="19" t="str">
        <f>IFERROR(IF(COUNTIF(MasterRoomList_SpaceTypeTable[Space Type],MasterRoomList_SpaceTypeSummary[[#This Row],[SpaceType]])=0,"",COUNTIF(MasterRoomList_SpaceTypeTable[Space Type],MasterRoomList_SpaceTypeSummary[[#This Row],[SpaceType]])),"")</f>
        <v/>
      </c>
      <c r="T48"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48" s="21" t="str">
        <f>IFERROR(MasterRoomList_SpaceTypeSummary[[#This Row],[Area (sqft)]]/$T$67,"")</f>
        <v/>
      </c>
      <c r="V48"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48"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48"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48" s="859" t="str">
        <f>IFERROR(AVERAGEIF(MasterRoomList_SpaceTypeTable[Space Name],MasterRoomList_SpaceTypeSummary[[#This Row],[SpaceType]],MasterRoomList_SpaceTypeTable[Temperature Setpoint F]),"")</f>
        <v/>
      </c>
      <c r="Z48" s="859" t="str">
        <f>IFERROR(AVERAGEIF(MasterRoomList_SpaceTypeTable[Space Name],MasterRoomList_SpaceTypeSummary[[#This Row],[SpaceType]],MasterRoomList_SpaceTypeTable[Temperature Setback F]),"")</f>
        <v/>
      </c>
    </row>
    <row r="49" spans="2:26" x14ac:dyDescent="0.25">
      <c r="B49" s="19">
        <f t="shared" si="0"/>
        <v>34</v>
      </c>
      <c r="E49" s="19"/>
      <c r="G49" s="20"/>
      <c r="H49" s="641"/>
      <c r="I49" s="641"/>
      <c r="J49" s="560"/>
      <c r="K49" s="560"/>
      <c r="L49" s="560"/>
      <c r="Q49" s="19">
        <v>34</v>
      </c>
      <c r="R49" s="19"/>
      <c r="S49" s="19" t="str">
        <f>IFERROR(IF(COUNTIF(MasterRoomList_SpaceTypeTable[Space Type],MasterRoomList_SpaceTypeSummary[[#This Row],[SpaceType]])=0,"",COUNTIF(MasterRoomList_SpaceTypeTable[Space Type],MasterRoomList_SpaceTypeSummary[[#This Row],[SpaceType]])),"")</f>
        <v/>
      </c>
      <c r="T49"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49" s="21" t="str">
        <f>IFERROR(MasterRoomList_SpaceTypeSummary[[#This Row],[Area (sqft)]]/$T$67,"")</f>
        <v/>
      </c>
      <c r="V49"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49"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49"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49" s="859" t="str">
        <f>IFERROR(AVERAGEIF(MasterRoomList_SpaceTypeTable[Space Name],MasterRoomList_SpaceTypeSummary[[#This Row],[SpaceType]],MasterRoomList_SpaceTypeTable[Temperature Setpoint F]),"")</f>
        <v/>
      </c>
      <c r="Z49" s="859" t="str">
        <f>IFERROR(AVERAGEIF(MasterRoomList_SpaceTypeTable[Space Name],MasterRoomList_SpaceTypeSummary[[#This Row],[SpaceType]],MasterRoomList_SpaceTypeTable[Temperature Setback F]),"")</f>
        <v/>
      </c>
    </row>
    <row r="50" spans="2:26" x14ac:dyDescent="0.25">
      <c r="B50" s="19">
        <f t="shared" si="0"/>
        <v>35</v>
      </c>
      <c r="E50" s="19"/>
      <c r="G50" s="20"/>
      <c r="H50" s="641"/>
      <c r="I50" s="641"/>
      <c r="J50" s="560"/>
      <c r="K50" s="560"/>
      <c r="L50" s="560"/>
      <c r="Q50" s="19">
        <v>35</v>
      </c>
      <c r="R50" s="19"/>
      <c r="S50" s="19" t="str">
        <f>IFERROR(IF(COUNTIF(MasterRoomList_SpaceTypeTable[Space Type],MasterRoomList_SpaceTypeSummary[[#This Row],[SpaceType]])=0,"",COUNTIF(MasterRoomList_SpaceTypeTable[Space Type],MasterRoomList_SpaceTypeSummary[[#This Row],[SpaceType]])),"")</f>
        <v/>
      </c>
      <c r="T50"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50" s="21" t="str">
        <f>IFERROR(MasterRoomList_SpaceTypeSummary[[#This Row],[Area (sqft)]]/$T$67,"")</f>
        <v/>
      </c>
      <c r="V50"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50"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50"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50" s="859" t="str">
        <f>IFERROR(AVERAGEIF(MasterRoomList_SpaceTypeTable[Space Name],MasterRoomList_SpaceTypeSummary[[#This Row],[SpaceType]],MasterRoomList_SpaceTypeTable[Temperature Setpoint F]),"")</f>
        <v/>
      </c>
      <c r="Z50" s="859" t="str">
        <f>IFERROR(AVERAGEIF(MasterRoomList_SpaceTypeTable[Space Name],MasterRoomList_SpaceTypeSummary[[#This Row],[SpaceType]],MasterRoomList_SpaceTypeTable[Temperature Setback F]),"")</f>
        <v/>
      </c>
    </row>
    <row r="51" spans="2:26" x14ac:dyDescent="0.25">
      <c r="B51" s="19">
        <f t="shared" si="0"/>
        <v>36</v>
      </c>
      <c r="E51" s="19"/>
      <c r="G51" s="20"/>
      <c r="H51" s="641"/>
      <c r="I51" s="641"/>
      <c r="J51" s="560"/>
      <c r="K51" s="560"/>
      <c r="L51" s="560"/>
      <c r="Q51" s="19">
        <v>36</v>
      </c>
      <c r="R51" s="19"/>
      <c r="S51" s="19" t="str">
        <f>IFERROR(IF(COUNTIF(MasterRoomList_SpaceTypeTable[Space Type],MasterRoomList_SpaceTypeSummary[[#This Row],[SpaceType]])=0,"",COUNTIF(MasterRoomList_SpaceTypeTable[Space Type],MasterRoomList_SpaceTypeSummary[[#This Row],[SpaceType]])),"")</f>
        <v/>
      </c>
      <c r="T51"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51" s="21" t="str">
        <f>IFERROR(MasterRoomList_SpaceTypeSummary[[#This Row],[Area (sqft)]]/$T$67,"")</f>
        <v/>
      </c>
      <c r="V51"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51"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51"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51" s="859" t="str">
        <f>IFERROR(AVERAGEIF(MasterRoomList_SpaceTypeTable[Space Name],MasterRoomList_SpaceTypeSummary[[#This Row],[SpaceType]],MasterRoomList_SpaceTypeTable[Temperature Setpoint F]),"")</f>
        <v/>
      </c>
      <c r="Z51" s="859" t="str">
        <f>IFERROR(AVERAGEIF(MasterRoomList_SpaceTypeTable[Space Name],MasterRoomList_SpaceTypeSummary[[#This Row],[SpaceType]],MasterRoomList_SpaceTypeTable[Temperature Setback F]),"")</f>
        <v/>
      </c>
    </row>
    <row r="52" spans="2:26" x14ac:dyDescent="0.25">
      <c r="B52" s="19">
        <f t="shared" si="0"/>
        <v>37</v>
      </c>
      <c r="E52" s="19"/>
      <c r="G52" s="20"/>
      <c r="H52" s="641"/>
      <c r="I52" s="641"/>
      <c r="J52" s="560"/>
      <c r="K52" s="560"/>
      <c r="L52" s="560"/>
      <c r="Q52" s="19">
        <v>37</v>
      </c>
      <c r="R52" s="19"/>
      <c r="S52" s="19" t="str">
        <f>IFERROR(IF(COUNTIF(MasterRoomList_SpaceTypeTable[Space Type],MasterRoomList_SpaceTypeSummary[[#This Row],[SpaceType]])=0,"",COUNTIF(MasterRoomList_SpaceTypeTable[Space Type],MasterRoomList_SpaceTypeSummary[[#This Row],[SpaceType]])),"")</f>
        <v/>
      </c>
      <c r="T52"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52" s="21" t="str">
        <f>IFERROR(MasterRoomList_SpaceTypeSummary[[#This Row],[Area (sqft)]]/$T$67,"")</f>
        <v/>
      </c>
      <c r="V52"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52"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52"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52" s="859" t="str">
        <f>IFERROR(AVERAGEIF(MasterRoomList_SpaceTypeTable[Space Name],MasterRoomList_SpaceTypeSummary[[#This Row],[SpaceType]],MasterRoomList_SpaceTypeTable[Temperature Setpoint F]),"")</f>
        <v/>
      </c>
      <c r="Z52" s="859" t="str">
        <f>IFERROR(AVERAGEIF(MasterRoomList_SpaceTypeTable[Space Name],MasterRoomList_SpaceTypeSummary[[#This Row],[SpaceType]],MasterRoomList_SpaceTypeTable[Temperature Setback F]),"")</f>
        <v/>
      </c>
    </row>
    <row r="53" spans="2:26" x14ac:dyDescent="0.25">
      <c r="B53" s="19">
        <f t="shared" si="0"/>
        <v>38</v>
      </c>
      <c r="E53" s="19"/>
      <c r="G53" s="20"/>
      <c r="H53" s="641"/>
      <c r="I53" s="641"/>
      <c r="J53" s="560"/>
      <c r="K53" s="560"/>
      <c r="L53" s="560"/>
      <c r="Q53" s="19">
        <v>38</v>
      </c>
      <c r="R53" s="19"/>
      <c r="S53" s="19" t="str">
        <f>IFERROR(IF(COUNTIF(MasterRoomList_SpaceTypeTable[Space Type],MasterRoomList_SpaceTypeSummary[[#This Row],[SpaceType]])=0,"",COUNTIF(MasterRoomList_SpaceTypeTable[Space Type],MasterRoomList_SpaceTypeSummary[[#This Row],[SpaceType]])),"")</f>
        <v/>
      </c>
      <c r="T53"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53" s="21" t="str">
        <f>IFERROR(MasterRoomList_SpaceTypeSummary[[#This Row],[Area (sqft)]]/$T$67,"")</f>
        <v/>
      </c>
      <c r="V53"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53"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53"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53" s="859" t="str">
        <f>IFERROR(AVERAGEIF(MasterRoomList_SpaceTypeTable[Space Name],MasterRoomList_SpaceTypeSummary[[#This Row],[SpaceType]],MasterRoomList_SpaceTypeTable[Temperature Setpoint F]),"")</f>
        <v/>
      </c>
      <c r="Z53" s="859" t="str">
        <f>IFERROR(AVERAGEIF(MasterRoomList_SpaceTypeTable[Space Name],MasterRoomList_SpaceTypeSummary[[#This Row],[SpaceType]],MasterRoomList_SpaceTypeTable[Temperature Setback F]),"")</f>
        <v/>
      </c>
    </row>
    <row r="54" spans="2:26" x14ac:dyDescent="0.25">
      <c r="B54" s="19">
        <f t="shared" si="0"/>
        <v>39</v>
      </c>
      <c r="E54" s="19"/>
      <c r="G54" s="20"/>
      <c r="H54" s="641"/>
      <c r="I54" s="641"/>
      <c r="J54" s="560"/>
      <c r="K54" s="560"/>
      <c r="L54" s="560"/>
      <c r="Q54" s="19">
        <v>39</v>
      </c>
      <c r="R54" s="19"/>
      <c r="S54" s="19" t="str">
        <f>IFERROR(IF(COUNTIF(MasterRoomList_SpaceTypeTable[Space Type],MasterRoomList_SpaceTypeSummary[[#This Row],[SpaceType]])=0,"",COUNTIF(MasterRoomList_SpaceTypeTable[Space Type],MasterRoomList_SpaceTypeSummary[[#This Row],[SpaceType]])),"")</f>
        <v/>
      </c>
      <c r="T54"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54" s="21" t="str">
        <f>IFERROR(MasterRoomList_SpaceTypeSummary[[#This Row],[Area (sqft)]]/$T$67,"")</f>
        <v/>
      </c>
      <c r="V54"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54"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54"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54" s="859" t="str">
        <f>IFERROR(AVERAGEIF(MasterRoomList_SpaceTypeTable[Space Name],MasterRoomList_SpaceTypeSummary[[#This Row],[SpaceType]],MasterRoomList_SpaceTypeTable[Temperature Setpoint F]),"")</f>
        <v/>
      </c>
      <c r="Z54" s="859" t="str">
        <f>IFERROR(AVERAGEIF(MasterRoomList_SpaceTypeTable[Space Name],MasterRoomList_SpaceTypeSummary[[#This Row],[SpaceType]],MasterRoomList_SpaceTypeTable[Temperature Setback F]),"")</f>
        <v/>
      </c>
    </row>
    <row r="55" spans="2:26" x14ac:dyDescent="0.25">
      <c r="B55" s="19">
        <f t="shared" si="0"/>
        <v>40</v>
      </c>
      <c r="E55" s="19"/>
      <c r="G55" s="20"/>
      <c r="H55" s="641"/>
      <c r="I55" s="641"/>
      <c r="J55" s="560"/>
      <c r="K55" s="560"/>
      <c r="L55" s="560"/>
      <c r="Q55" s="19">
        <v>40</v>
      </c>
      <c r="R55" s="19"/>
      <c r="S55" s="19" t="str">
        <f>IFERROR(IF(COUNTIF(MasterRoomList_SpaceTypeTable[Space Type],MasterRoomList_SpaceTypeSummary[[#This Row],[SpaceType]])=0,"",COUNTIF(MasterRoomList_SpaceTypeTable[Space Type],MasterRoomList_SpaceTypeSummary[[#This Row],[SpaceType]])),"")</f>
        <v/>
      </c>
      <c r="T55"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55" s="21" t="str">
        <f>IFERROR(MasterRoomList_SpaceTypeSummary[[#This Row],[Area (sqft)]]/$T$67,"")</f>
        <v/>
      </c>
      <c r="V55"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55"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55"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55" s="859" t="str">
        <f>IFERROR(AVERAGEIF(MasterRoomList_SpaceTypeTable[Space Name],MasterRoomList_SpaceTypeSummary[[#This Row],[SpaceType]],MasterRoomList_SpaceTypeTable[Temperature Setpoint F]),"")</f>
        <v/>
      </c>
      <c r="Z55" s="859" t="str">
        <f>IFERROR(AVERAGEIF(MasterRoomList_SpaceTypeTable[Space Name],MasterRoomList_SpaceTypeSummary[[#This Row],[SpaceType]],MasterRoomList_SpaceTypeTable[Temperature Setback F]),"")</f>
        <v/>
      </c>
    </row>
    <row r="56" spans="2:26" x14ac:dyDescent="0.25">
      <c r="B56" s="19">
        <f t="shared" si="0"/>
        <v>41</v>
      </c>
      <c r="E56" s="19"/>
      <c r="G56" s="20"/>
      <c r="H56" s="641"/>
      <c r="I56" s="641"/>
      <c r="J56" s="560"/>
      <c r="K56" s="560"/>
      <c r="L56" s="560"/>
      <c r="Q56" s="19">
        <v>41</v>
      </c>
      <c r="R56" s="19"/>
      <c r="S56" s="19" t="str">
        <f>IFERROR(IF(COUNTIF(MasterRoomList_SpaceTypeTable[Space Type],MasterRoomList_SpaceTypeSummary[[#This Row],[SpaceType]])=0,"",COUNTIF(MasterRoomList_SpaceTypeTable[Space Type],MasterRoomList_SpaceTypeSummary[[#This Row],[SpaceType]])),"")</f>
        <v/>
      </c>
      <c r="T56"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56" s="21" t="str">
        <f>IFERROR(MasterRoomList_SpaceTypeSummary[[#This Row],[Area (sqft)]]/$T$67,"")</f>
        <v/>
      </c>
      <c r="V56"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56"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56"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56" s="859" t="str">
        <f>IFERROR(AVERAGEIF(MasterRoomList_SpaceTypeTable[Space Name],MasterRoomList_SpaceTypeSummary[[#This Row],[SpaceType]],MasterRoomList_SpaceTypeTable[Temperature Setpoint F]),"")</f>
        <v/>
      </c>
      <c r="Z56" s="859" t="str">
        <f>IFERROR(AVERAGEIF(MasterRoomList_SpaceTypeTable[Space Name],MasterRoomList_SpaceTypeSummary[[#This Row],[SpaceType]],MasterRoomList_SpaceTypeTable[Temperature Setback F]),"")</f>
        <v/>
      </c>
    </row>
    <row r="57" spans="2:26" x14ac:dyDescent="0.25">
      <c r="B57" s="19">
        <f t="shared" si="0"/>
        <v>42</v>
      </c>
      <c r="E57" s="19"/>
      <c r="G57" s="20"/>
      <c r="H57" s="641"/>
      <c r="I57" s="641"/>
      <c r="J57" s="560"/>
      <c r="K57" s="560"/>
      <c r="L57" s="560"/>
      <c r="Q57" s="19">
        <v>42</v>
      </c>
      <c r="R57" s="19"/>
      <c r="S57" s="19" t="str">
        <f>IFERROR(IF(COUNTIF(MasterRoomList_SpaceTypeTable[Space Type],MasterRoomList_SpaceTypeSummary[[#This Row],[SpaceType]])=0,"",COUNTIF(MasterRoomList_SpaceTypeTable[Space Type],MasterRoomList_SpaceTypeSummary[[#This Row],[SpaceType]])),"")</f>
        <v/>
      </c>
      <c r="T57"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57" s="21" t="str">
        <f>IFERROR(MasterRoomList_SpaceTypeSummary[[#This Row],[Area (sqft)]]/$T$67,"")</f>
        <v/>
      </c>
      <c r="V57"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57"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57"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57" s="859" t="str">
        <f>IFERROR(AVERAGEIF(MasterRoomList_SpaceTypeTable[Space Name],MasterRoomList_SpaceTypeSummary[[#This Row],[SpaceType]],MasterRoomList_SpaceTypeTable[Temperature Setpoint F]),"")</f>
        <v/>
      </c>
      <c r="Z57" s="859" t="str">
        <f>IFERROR(AVERAGEIF(MasterRoomList_SpaceTypeTable[Space Name],MasterRoomList_SpaceTypeSummary[[#This Row],[SpaceType]],MasterRoomList_SpaceTypeTable[Temperature Setback F]),"")</f>
        <v/>
      </c>
    </row>
    <row r="58" spans="2:26" x14ac:dyDescent="0.25">
      <c r="B58" s="19">
        <f t="shared" si="0"/>
        <v>43</v>
      </c>
      <c r="E58" s="19"/>
      <c r="G58" s="20"/>
      <c r="H58" s="641"/>
      <c r="I58" s="641"/>
      <c r="J58" s="560"/>
      <c r="K58" s="560"/>
      <c r="L58" s="560"/>
      <c r="Q58" s="19">
        <v>43</v>
      </c>
      <c r="R58" s="19"/>
      <c r="S58" s="19" t="str">
        <f>IFERROR(IF(COUNTIF(MasterRoomList_SpaceTypeTable[Space Type],MasterRoomList_SpaceTypeSummary[[#This Row],[SpaceType]])=0,"",COUNTIF(MasterRoomList_SpaceTypeTable[Space Type],MasterRoomList_SpaceTypeSummary[[#This Row],[SpaceType]])),"")</f>
        <v/>
      </c>
      <c r="T58"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58" s="21" t="str">
        <f>IFERROR(MasterRoomList_SpaceTypeSummary[[#This Row],[Area (sqft)]]/$T$67,"")</f>
        <v/>
      </c>
      <c r="V58"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58"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58"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58" s="859" t="str">
        <f>IFERROR(AVERAGEIF(MasterRoomList_SpaceTypeTable[Space Name],MasterRoomList_SpaceTypeSummary[[#This Row],[SpaceType]],MasterRoomList_SpaceTypeTable[Temperature Setpoint F]),"")</f>
        <v/>
      </c>
      <c r="Z58" s="859" t="str">
        <f>IFERROR(AVERAGEIF(MasterRoomList_SpaceTypeTable[Space Name],MasterRoomList_SpaceTypeSummary[[#This Row],[SpaceType]],MasterRoomList_SpaceTypeTable[Temperature Setback F]),"")</f>
        <v/>
      </c>
    </row>
    <row r="59" spans="2:26" x14ac:dyDescent="0.25">
      <c r="B59" s="19">
        <f t="shared" si="0"/>
        <v>44</v>
      </c>
      <c r="E59" s="19"/>
      <c r="G59" s="20"/>
      <c r="H59" s="641"/>
      <c r="I59" s="641"/>
      <c r="J59" s="560"/>
      <c r="K59" s="560"/>
      <c r="L59" s="560"/>
      <c r="Q59" s="19">
        <v>44</v>
      </c>
      <c r="R59" s="19"/>
      <c r="S59" s="19" t="str">
        <f>IFERROR(IF(COUNTIF(MasterRoomList_SpaceTypeTable[Space Type],MasterRoomList_SpaceTypeSummary[[#This Row],[SpaceType]])=0,"",COUNTIF(MasterRoomList_SpaceTypeTable[Space Type],MasterRoomList_SpaceTypeSummary[[#This Row],[SpaceType]])),"")</f>
        <v/>
      </c>
      <c r="T59"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59" s="21" t="str">
        <f>IFERROR(MasterRoomList_SpaceTypeSummary[[#This Row],[Area (sqft)]]/$T$67,"")</f>
        <v/>
      </c>
      <c r="V59"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59"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59"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59" s="859" t="str">
        <f>IFERROR(AVERAGEIF(MasterRoomList_SpaceTypeTable[Space Name],MasterRoomList_SpaceTypeSummary[[#This Row],[SpaceType]],MasterRoomList_SpaceTypeTable[Temperature Setpoint F]),"")</f>
        <v/>
      </c>
      <c r="Z59" s="859" t="str">
        <f>IFERROR(AVERAGEIF(MasterRoomList_SpaceTypeTable[Space Name],MasterRoomList_SpaceTypeSummary[[#This Row],[SpaceType]],MasterRoomList_SpaceTypeTable[Temperature Setback F]),"")</f>
        <v/>
      </c>
    </row>
    <row r="60" spans="2:26" x14ac:dyDescent="0.25">
      <c r="B60" s="19">
        <f t="shared" si="0"/>
        <v>45</v>
      </c>
      <c r="E60" s="19"/>
      <c r="G60" s="20"/>
      <c r="H60" s="641"/>
      <c r="I60" s="641"/>
      <c r="J60" s="560"/>
      <c r="K60" s="560"/>
      <c r="L60" s="560"/>
      <c r="Q60" s="19">
        <v>45</v>
      </c>
      <c r="R60" s="19"/>
      <c r="S60" s="19" t="str">
        <f>IFERROR(IF(COUNTIF(MasterRoomList_SpaceTypeTable[Space Type],MasterRoomList_SpaceTypeSummary[[#This Row],[SpaceType]])=0,"",COUNTIF(MasterRoomList_SpaceTypeTable[Space Type],MasterRoomList_SpaceTypeSummary[[#This Row],[SpaceType]])),"")</f>
        <v/>
      </c>
      <c r="T60"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60" s="21" t="str">
        <f>IFERROR(MasterRoomList_SpaceTypeSummary[[#This Row],[Area (sqft)]]/$T$67,"")</f>
        <v/>
      </c>
      <c r="V60"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60"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60"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60" s="859" t="str">
        <f>IFERROR(AVERAGEIF(MasterRoomList_SpaceTypeTable[Space Name],MasterRoomList_SpaceTypeSummary[[#This Row],[SpaceType]],MasterRoomList_SpaceTypeTable[Temperature Setpoint F]),"")</f>
        <v/>
      </c>
      <c r="Z60" s="859" t="str">
        <f>IFERROR(AVERAGEIF(MasterRoomList_SpaceTypeTable[Space Name],MasterRoomList_SpaceTypeSummary[[#This Row],[SpaceType]],MasterRoomList_SpaceTypeTable[Temperature Setback F]),"")</f>
        <v/>
      </c>
    </row>
    <row r="61" spans="2:26" x14ac:dyDescent="0.25">
      <c r="B61" s="19">
        <f t="shared" si="0"/>
        <v>46</v>
      </c>
      <c r="E61" s="19"/>
      <c r="G61" s="20"/>
      <c r="H61" s="641"/>
      <c r="I61" s="641"/>
      <c r="J61" s="560"/>
      <c r="K61" s="560"/>
      <c r="L61" s="560"/>
      <c r="Q61" s="19">
        <v>46</v>
      </c>
      <c r="R61" s="19"/>
      <c r="S61" s="19" t="str">
        <f>IFERROR(IF(COUNTIF(MasterRoomList_SpaceTypeTable[Space Type],MasterRoomList_SpaceTypeSummary[[#This Row],[SpaceType]])=0,"",COUNTIF(MasterRoomList_SpaceTypeTable[Space Type],MasterRoomList_SpaceTypeSummary[[#This Row],[SpaceType]])),"")</f>
        <v/>
      </c>
      <c r="T61"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61" s="21" t="str">
        <f>IFERROR(MasterRoomList_SpaceTypeSummary[[#This Row],[Area (sqft)]]/$T$67,"")</f>
        <v/>
      </c>
      <c r="V61"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61"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61"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61" s="859" t="str">
        <f>IFERROR(AVERAGEIF(MasterRoomList_SpaceTypeTable[Space Name],MasterRoomList_SpaceTypeSummary[[#This Row],[SpaceType]],MasterRoomList_SpaceTypeTable[Temperature Setpoint F]),"")</f>
        <v/>
      </c>
      <c r="Z61" s="859" t="str">
        <f>IFERROR(AVERAGEIF(MasterRoomList_SpaceTypeTable[Space Name],MasterRoomList_SpaceTypeSummary[[#This Row],[SpaceType]],MasterRoomList_SpaceTypeTable[Temperature Setback F]),"")</f>
        <v/>
      </c>
    </row>
    <row r="62" spans="2:26" x14ac:dyDescent="0.25">
      <c r="B62" s="19">
        <f t="shared" si="0"/>
        <v>47</v>
      </c>
      <c r="E62" s="19"/>
      <c r="G62" s="20"/>
      <c r="H62" s="641"/>
      <c r="I62" s="641"/>
      <c r="J62" s="560"/>
      <c r="K62" s="560"/>
      <c r="L62" s="560"/>
      <c r="Q62" s="19">
        <v>47</v>
      </c>
      <c r="R62" s="19"/>
      <c r="S62" s="19" t="str">
        <f>IFERROR(IF(COUNTIF(MasterRoomList_SpaceTypeTable[Space Type],MasterRoomList_SpaceTypeSummary[[#This Row],[SpaceType]])=0,"",COUNTIF(MasterRoomList_SpaceTypeTable[Space Type],MasterRoomList_SpaceTypeSummary[[#This Row],[SpaceType]])),"")</f>
        <v/>
      </c>
      <c r="T62"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62" s="21" t="str">
        <f>IFERROR(MasterRoomList_SpaceTypeSummary[[#This Row],[Area (sqft)]]/$T$67,"")</f>
        <v/>
      </c>
      <c r="V62"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62"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62"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62" s="859" t="str">
        <f>IFERROR(AVERAGEIF(MasterRoomList_SpaceTypeTable[Space Name],MasterRoomList_SpaceTypeSummary[[#This Row],[SpaceType]],MasterRoomList_SpaceTypeTable[Temperature Setpoint F]),"")</f>
        <v/>
      </c>
      <c r="Z62" s="859" t="str">
        <f>IFERROR(AVERAGEIF(MasterRoomList_SpaceTypeTable[Space Name],MasterRoomList_SpaceTypeSummary[[#This Row],[SpaceType]],MasterRoomList_SpaceTypeTable[Temperature Setback F]),"")</f>
        <v/>
      </c>
    </row>
    <row r="63" spans="2:26" x14ac:dyDescent="0.25">
      <c r="B63" s="19">
        <f t="shared" si="0"/>
        <v>48</v>
      </c>
      <c r="E63" s="19"/>
      <c r="G63" s="20"/>
      <c r="H63" s="641"/>
      <c r="I63" s="641"/>
      <c r="J63" s="560"/>
      <c r="K63" s="560"/>
      <c r="L63" s="560"/>
      <c r="Q63" s="19">
        <v>48</v>
      </c>
      <c r="R63" s="19"/>
      <c r="S63" s="19" t="str">
        <f>IFERROR(IF(COUNTIF(MasterRoomList_SpaceTypeTable[Space Type],MasterRoomList_SpaceTypeSummary[[#This Row],[SpaceType]])=0,"",COUNTIF(MasterRoomList_SpaceTypeTable[Space Type],MasterRoomList_SpaceTypeSummary[[#This Row],[SpaceType]])),"")</f>
        <v/>
      </c>
      <c r="T63"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63" s="21" t="str">
        <f>IFERROR(MasterRoomList_SpaceTypeSummary[[#This Row],[Area (sqft)]]/$T$67,"")</f>
        <v/>
      </c>
      <c r="V63"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63"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63"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63" s="859" t="str">
        <f>IFERROR(AVERAGEIF(MasterRoomList_SpaceTypeTable[Space Name],MasterRoomList_SpaceTypeSummary[[#This Row],[SpaceType]],MasterRoomList_SpaceTypeTable[Temperature Setpoint F]),"")</f>
        <v/>
      </c>
      <c r="Z63" s="859" t="str">
        <f>IFERROR(AVERAGEIF(MasterRoomList_SpaceTypeTable[Space Name],MasterRoomList_SpaceTypeSummary[[#This Row],[SpaceType]],MasterRoomList_SpaceTypeTable[Temperature Setback F]),"")</f>
        <v/>
      </c>
    </row>
    <row r="64" spans="2:26" x14ac:dyDescent="0.25">
      <c r="B64" s="19">
        <f t="shared" si="0"/>
        <v>49</v>
      </c>
      <c r="E64" s="19"/>
      <c r="G64" s="20"/>
      <c r="H64" s="641"/>
      <c r="I64" s="641"/>
      <c r="J64" s="560"/>
      <c r="K64" s="560"/>
      <c r="L64" s="560"/>
      <c r="Q64" s="19">
        <v>49</v>
      </c>
      <c r="R64" s="19"/>
      <c r="S64" s="19" t="str">
        <f>IFERROR(IF(COUNTIF(MasterRoomList_SpaceTypeTable[Space Type],MasterRoomList_SpaceTypeSummary[[#This Row],[SpaceType]])=0,"",COUNTIF(MasterRoomList_SpaceTypeTable[Space Type],MasterRoomList_SpaceTypeSummary[[#This Row],[SpaceType]])),"")</f>
        <v/>
      </c>
      <c r="T64"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64" s="21" t="str">
        <f>IFERROR(MasterRoomList_SpaceTypeSummary[[#This Row],[Area (sqft)]]/$T$67,"")</f>
        <v/>
      </c>
      <c r="V64"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64"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64"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64" s="859" t="str">
        <f>IFERROR(AVERAGEIF(MasterRoomList_SpaceTypeTable[Space Name],MasterRoomList_SpaceTypeSummary[[#This Row],[SpaceType]],MasterRoomList_SpaceTypeTable[Temperature Setpoint F]),"")</f>
        <v/>
      </c>
      <c r="Z64" s="859" t="str">
        <f>IFERROR(AVERAGEIF(MasterRoomList_SpaceTypeTable[Space Name],MasterRoomList_SpaceTypeSummary[[#This Row],[SpaceType]],MasterRoomList_SpaceTypeTable[Temperature Setback F]),"")</f>
        <v/>
      </c>
    </row>
    <row r="65" spans="2:26" x14ac:dyDescent="0.25">
      <c r="B65" s="19">
        <f t="shared" si="0"/>
        <v>50</v>
      </c>
      <c r="E65" s="19"/>
      <c r="G65" s="20"/>
      <c r="H65" s="641"/>
      <c r="I65" s="641"/>
      <c r="J65" s="560"/>
      <c r="K65" s="560"/>
      <c r="L65" s="560"/>
      <c r="Q65" s="19">
        <v>50</v>
      </c>
      <c r="R65" s="19"/>
      <c r="S65" s="19" t="str">
        <f>IFERROR(IF(COUNTIF(MasterRoomList_SpaceTypeTable[Space Type],MasterRoomList_SpaceTypeSummary[[#This Row],[SpaceType]])=0,"",COUNTIF(MasterRoomList_SpaceTypeTable[Space Type],MasterRoomList_SpaceTypeSummary[[#This Row],[SpaceType]])),"")</f>
        <v/>
      </c>
      <c r="T65" s="20" t="str">
        <f>IF(SUMIF(MasterRoomList_SpaceTypeTable[Space Type],MasterRoomList_SpaceTypeSummary[[#This Row],[SpaceType]],MasterRoomList_SpaceTypeTable[Area (sf)])=0,"",SUMIF(MasterRoomList_SpaceTypeTable[Space Type],MasterRoomList_SpaceTypeSummary[[#This Row],[SpaceType]],MasterRoomList_SpaceTypeTable[Area (sf)]))</f>
        <v/>
      </c>
      <c r="U65" s="21" t="str">
        <f>IFERROR(MasterRoomList_SpaceTypeSummary[[#This Row],[Area (sqft)]]/$T$67,"")</f>
        <v/>
      </c>
      <c r="V65" s="19"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W65" s="19"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X65" s="19"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c r="Y65" s="859" t="str">
        <f>IFERROR(AVERAGEIF(MasterRoomList_SpaceTypeTable[Space Name],MasterRoomList_SpaceTypeSummary[[#This Row],[SpaceType]],MasterRoomList_SpaceTypeTable[Temperature Setpoint F]),"")</f>
        <v/>
      </c>
      <c r="Z65" s="859" t="str">
        <f>IFERROR(AVERAGEIF(MasterRoomList_SpaceTypeTable[Space Name],MasterRoomList_SpaceTypeSummary[[#This Row],[SpaceType]],MasterRoomList_SpaceTypeTable[Temperature Setback F]),"")</f>
        <v/>
      </c>
    </row>
    <row r="66" spans="2:26" x14ac:dyDescent="0.25">
      <c r="B66" s="19">
        <f t="shared" si="0"/>
        <v>51</v>
      </c>
      <c r="E66" s="19"/>
      <c r="G66" s="20"/>
      <c r="H66" s="641"/>
      <c r="I66" s="641"/>
      <c r="J66" s="560"/>
      <c r="K66" s="560"/>
      <c r="L66" s="560"/>
      <c r="Q66" s="19" t="s">
        <v>206</v>
      </c>
      <c r="R66" s="19"/>
      <c r="S66" s="19"/>
      <c r="T66" s="20">
        <f>SUBTOTAL(109,MasterRoomList_SpaceTypeSummary[Area (sqft)])</f>
        <v>0</v>
      </c>
      <c r="U66" s="19"/>
      <c r="V66" s="19" t="e">
        <f>SUBTOTAL(101,MasterRoomList_SpaceTypeSummary[Lighting Power Density (W/sqft)])</f>
        <v>#DIV/0!</v>
      </c>
      <c r="W66" s="19" t="e">
        <f>SUBTOTAL(101,MasterRoomList_SpaceTypeSummary[Equipment Power Density (W/sqft)])</f>
        <v>#DIV/0!</v>
      </c>
      <c r="X66" s="19">
        <f>SUBTOTAL(103,MasterRoomList_SpaceTypeSummary[Occupants ('# of People)])</f>
        <v>50</v>
      </c>
      <c r="Y66" s="19"/>
      <c r="Z66" s="19"/>
    </row>
    <row r="67" spans="2:26" x14ac:dyDescent="0.25">
      <c r="B67" s="19">
        <f t="shared" si="0"/>
        <v>52</v>
      </c>
      <c r="E67" s="19"/>
      <c r="G67" s="20"/>
      <c r="H67" s="641"/>
      <c r="I67" s="641"/>
      <c r="J67" s="560"/>
      <c r="K67" s="560"/>
      <c r="L67" s="560"/>
      <c r="T67" s="20"/>
      <c r="U67" s="21"/>
    </row>
    <row r="68" spans="2:26" x14ac:dyDescent="0.25">
      <c r="B68" s="19">
        <f t="shared" si="0"/>
        <v>53</v>
      </c>
      <c r="E68" s="19"/>
      <c r="G68" s="20"/>
      <c r="H68" s="641"/>
      <c r="I68" s="641"/>
      <c r="J68" s="560"/>
      <c r="K68" s="560"/>
      <c r="L68" s="560"/>
    </row>
    <row r="69" spans="2:26" x14ac:dyDescent="0.25">
      <c r="B69" s="19">
        <f t="shared" si="0"/>
        <v>54</v>
      </c>
      <c r="E69" s="19"/>
      <c r="G69" s="20"/>
      <c r="H69" s="641"/>
      <c r="I69" s="641"/>
      <c r="J69" s="560"/>
      <c r="K69" s="560"/>
      <c r="L69" s="560"/>
    </row>
    <row r="70" spans="2:26" x14ac:dyDescent="0.25">
      <c r="B70" s="19">
        <f t="shared" si="0"/>
        <v>55</v>
      </c>
      <c r="E70" s="19"/>
      <c r="G70" s="20"/>
      <c r="H70" s="641"/>
      <c r="I70" s="641"/>
      <c r="J70" s="560"/>
      <c r="K70" s="560"/>
      <c r="L70" s="560"/>
    </row>
    <row r="71" spans="2:26" x14ac:dyDescent="0.25">
      <c r="B71" s="19">
        <f t="shared" si="0"/>
        <v>56</v>
      </c>
      <c r="E71" s="19"/>
      <c r="G71" s="20"/>
      <c r="H71" s="641"/>
      <c r="I71" s="641"/>
      <c r="J71" s="560"/>
      <c r="K71" s="560"/>
      <c r="L71" s="560"/>
    </row>
    <row r="72" spans="2:26" x14ac:dyDescent="0.25">
      <c r="B72" s="19">
        <f t="shared" si="0"/>
        <v>57</v>
      </c>
      <c r="E72" s="19"/>
      <c r="G72" s="20"/>
      <c r="H72" s="641"/>
      <c r="I72" s="641"/>
      <c r="J72" s="560"/>
      <c r="K72" s="560"/>
      <c r="L72" s="560"/>
    </row>
    <row r="73" spans="2:26" x14ac:dyDescent="0.25">
      <c r="B73" s="19">
        <f t="shared" si="0"/>
        <v>58</v>
      </c>
      <c r="E73" s="19"/>
      <c r="G73" s="20"/>
      <c r="H73" s="641"/>
      <c r="I73" s="641"/>
      <c r="J73" s="560"/>
      <c r="K73" s="560"/>
      <c r="L73" s="560"/>
    </row>
    <row r="74" spans="2:26" x14ac:dyDescent="0.25">
      <c r="B74" s="19">
        <f t="shared" si="0"/>
        <v>59</v>
      </c>
      <c r="E74" s="19"/>
      <c r="G74" s="20"/>
      <c r="H74" s="641"/>
      <c r="I74" s="641"/>
      <c r="J74" s="560"/>
      <c r="K74" s="560"/>
      <c r="L74" s="560"/>
    </row>
    <row r="75" spans="2:26" x14ac:dyDescent="0.25">
      <c r="B75" s="19">
        <f t="shared" si="0"/>
        <v>60</v>
      </c>
      <c r="E75" s="19"/>
      <c r="G75" s="20"/>
      <c r="H75" s="641"/>
      <c r="I75" s="641"/>
      <c r="J75" s="560"/>
      <c r="K75" s="560"/>
      <c r="L75" s="560"/>
    </row>
    <row r="76" spans="2:26" x14ac:dyDescent="0.25">
      <c r="B76" s="19">
        <f t="shared" si="0"/>
        <v>61</v>
      </c>
      <c r="E76" s="19"/>
      <c r="G76" s="20"/>
      <c r="H76" s="641"/>
      <c r="I76" s="641"/>
      <c r="J76" s="560"/>
      <c r="K76" s="560"/>
      <c r="L76" s="560"/>
    </row>
    <row r="77" spans="2:26" x14ac:dyDescent="0.25">
      <c r="B77" s="19">
        <f t="shared" si="0"/>
        <v>62</v>
      </c>
      <c r="E77" s="19"/>
      <c r="G77" s="20"/>
      <c r="H77" s="641"/>
      <c r="I77" s="641"/>
      <c r="J77" s="560"/>
      <c r="K77" s="560"/>
      <c r="L77" s="560"/>
    </row>
    <row r="78" spans="2:26" x14ac:dyDescent="0.25">
      <c r="B78" s="19">
        <f t="shared" si="0"/>
        <v>63</v>
      </c>
      <c r="E78" s="19"/>
      <c r="G78" s="20"/>
      <c r="H78" s="641"/>
      <c r="I78" s="641"/>
      <c r="J78" s="560"/>
      <c r="K78" s="560"/>
      <c r="L78" s="560"/>
    </row>
    <row r="79" spans="2:26" x14ac:dyDescent="0.25">
      <c r="B79" s="19">
        <f t="shared" si="0"/>
        <v>64</v>
      </c>
      <c r="E79" s="19"/>
      <c r="G79" s="20"/>
      <c r="H79" s="641"/>
      <c r="I79" s="641"/>
      <c r="J79" s="560"/>
      <c r="K79" s="560"/>
      <c r="L79" s="560"/>
    </row>
    <row r="80" spans="2:26" x14ac:dyDescent="0.25">
      <c r="B80" s="19">
        <f t="shared" si="0"/>
        <v>65</v>
      </c>
      <c r="E80" s="19"/>
      <c r="G80" s="20"/>
      <c r="H80" s="641"/>
      <c r="I80" s="641"/>
      <c r="J80" s="560"/>
      <c r="K80" s="560"/>
      <c r="L80" s="560"/>
    </row>
    <row r="81" spans="2:12" x14ac:dyDescent="0.25">
      <c r="B81" s="19">
        <f t="shared" si="0"/>
        <v>66</v>
      </c>
      <c r="E81" s="19"/>
      <c r="G81" s="20"/>
      <c r="H81" s="641"/>
      <c r="I81" s="641"/>
      <c r="J81" s="560"/>
      <c r="K81" s="560"/>
      <c r="L81" s="560"/>
    </row>
    <row r="82" spans="2:12" x14ac:dyDescent="0.25">
      <c r="B82" s="19">
        <f t="shared" ref="B82:B145" si="1">B81+1</f>
        <v>67</v>
      </c>
      <c r="E82" s="19"/>
      <c r="G82" s="20"/>
      <c r="H82" s="641"/>
      <c r="I82" s="641"/>
      <c r="J82" s="560"/>
      <c r="K82" s="560"/>
      <c r="L82" s="560"/>
    </row>
    <row r="83" spans="2:12" x14ac:dyDescent="0.25">
      <c r="B83" s="19">
        <f t="shared" si="1"/>
        <v>68</v>
      </c>
      <c r="E83" s="19"/>
      <c r="G83" s="20"/>
      <c r="H83" s="641"/>
      <c r="I83" s="641"/>
      <c r="J83" s="560"/>
      <c r="K83" s="560"/>
      <c r="L83" s="560"/>
    </row>
    <row r="84" spans="2:12" x14ac:dyDescent="0.25">
      <c r="B84" s="19">
        <f t="shared" si="1"/>
        <v>69</v>
      </c>
      <c r="E84" s="19"/>
      <c r="G84" s="20"/>
      <c r="H84" s="641"/>
      <c r="I84" s="641"/>
      <c r="J84" s="560"/>
      <c r="K84" s="560"/>
      <c r="L84" s="560"/>
    </row>
    <row r="85" spans="2:12" x14ac:dyDescent="0.25">
      <c r="B85" s="19">
        <f t="shared" si="1"/>
        <v>70</v>
      </c>
      <c r="E85" s="19"/>
      <c r="G85" s="20"/>
      <c r="H85" s="641"/>
      <c r="I85" s="641"/>
      <c r="J85" s="560"/>
      <c r="K85" s="560"/>
      <c r="L85" s="560"/>
    </row>
    <row r="86" spans="2:12" x14ac:dyDescent="0.25">
      <c r="B86" s="19">
        <f t="shared" si="1"/>
        <v>71</v>
      </c>
      <c r="E86" s="19"/>
      <c r="G86" s="20"/>
      <c r="H86" s="641"/>
      <c r="I86" s="641"/>
      <c r="J86" s="560"/>
      <c r="K86" s="560"/>
      <c r="L86" s="560"/>
    </row>
    <row r="87" spans="2:12" x14ac:dyDescent="0.25">
      <c r="B87" s="19">
        <f t="shared" si="1"/>
        <v>72</v>
      </c>
      <c r="E87" s="19"/>
      <c r="G87" s="20"/>
      <c r="H87" s="641"/>
      <c r="I87" s="641"/>
      <c r="J87" s="560"/>
      <c r="K87" s="560"/>
      <c r="L87" s="560"/>
    </row>
    <row r="88" spans="2:12" x14ac:dyDescent="0.25">
      <c r="B88" s="19">
        <f t="shared" si="1"/>
        <v>73</v>
      </c>
      <c r="E88" s="19"/>
      <c r="G88" s="20"/>
      <c r="H88" s="641"/>
      <c r="I88" s="641"/>
      <c r="J88" s="560"/>
      <c r="K88" s="560"/>
      <c r="L88" s="560"/>
    </row>
    <row r="89" spans="2:12" x14ac:dyDescent="0.25">
      <c r="B89" s="19">
        <f t="shared" si="1"/>
        <v>74</v>
      </c>
      <c r="E89" s="19"/>
      <c r="G89" s="20"/>
      <c r="H89" s="641"/>
      <c r="I89" s="641"/>
      <c r="J89" s="560"/>
      <c r="K89" s="560"/>
      <c r="L89" s="560"/>
    </row>
    <row r="90" spans="2:12" x14ac:dyDescent="0.25">
      <c r="B90" s="19">
        <f t="shared" si="1"/>
        <v>75</v>
      </c>
      <c r="E90" s="19"/>
      <c r="G90" s="20"/>
      <c r="H90" s="641"/>
      <c r="I90" s="641"/>
      <c r="J90" s="560"/>
      <c r="K90" s="560"/>
      <c r="L90" s="560"/>
    </row>
    <row r="91" spans="2:12" x14ac:dyDescent="0.25">
      <c r="B91" s="19">
        <f t="shared" si="1"/>
        <v>76</v>
      </c>
      <c r="G91" s="20"/>
      <c r="H91" s="641"/>
      <c r="I91" s="641"/>
      <c r="J91" s="560"/>
      <c r="K91" s="560"/>
      <c r="L91" s="560"/>
    </row>
    <row r="92" spans="2:12" x14ac:dyDescent="0.25">
      <c r="B92" s="19">
        <f t="shared" si="1"/>
        <v>77</v>
      </c>
      <c r="E92" s="19"/>
      <c r="G92" s="20"/>
      <c r="H92" s="641"/>
      <c r="I92" s="641"/>
      <c r="J92" s="560"/>
      <c r="K92" s="560"/>
      <c r="L92" s="560"/>
    </row>
    <row r="93" spans="2:12" x14ac:dyDescent="0.25">
      <c r="B93" s="19">
        <f t="shared" si="1"/>
        <v>78</v>
      </c>
      <c r="E93" s="19"/>
      <c r="G93" s="20"/>
      <c r="H93" s="641"/>
      <c r="I93" s="641"/>
      <c r="J93" s="560"/>
      <c r="K93" s="560"/>
      <c r="L93" s="560"/>
    </row>
    <row r="94" spans="2:12" x14ac:dyDescent="0.25">
      <c r="B94" s="19">
        <f t="shared" si="1"/>
        <v>79</v>
      </c>
      <c r="E94" s="19"/>
      <c r="G94" s="20"/>
      <c r="H94" s="641"/>
      <c r="I94" s="641"/>
      <c r="J94" s="560"/>
      <c r="K94" s="560"/>
      <c r="L94" s="560"/>
    </row>
    <row r="95" spans="2:12" x14ac:dyDescent="0.25">
      <c r="B95" s="19">
        <f t="shared" si="1"/>
        <v>80</v>
      </c>
      <c r="E95" s="19"/>
      <c r="G95" s="20"/>
      <c r="H95" s="641"/>
      <c r="I95" s="641"/>
      <c r="J95" s="560"/>
      <c r="K95" s="560"/>
      <c r="L95" s="560"/>
    </row>
    <row r="96" spans="2:12" x14ac:dyDescent="0.25">
      <c r="B96" s="19">
        <f t="shared" si="1"/>
        <v>81</v>
      </c>
      <c r="E96" s="19"/>
      <c r="G96" s="20"/>
      <c r="H96" s="641"/>
      <c r="I96" s="641"/>
      <c r="J96" s="560"/>
      <c r="K96" s="560"/>
      <c r="L96" s="560"/>
    </row>
    <row r="97" spans="2:12" x14ac:dyDescent="0.25">
      <c r="B97" s="19">
        <f t="shared" si="1"/>
        <v>82</v>
      </c>
      <c r="E97" s="19"/>
      <c r="G97" s="20"/>
      <c r="H97" s="641"/>
      <c r="I97" s="641"/>
      <c r="J97" s="560"/>
      <c r="K97" s="560"/>
      <c r="L97" s="560"/>
    </row>
    <row r="98" spans="2:12" x14ac:dyDescent="0.25">
      <c r="B98" s="19">
        <f t="shared" si="1"/>
        <v>83</v>
      </c>
      <c r="E98" s="19"/>
      <c r="G98" s="20"/>
      <c r="H98" s="641"/>
      <c r="I98" s="641"/>
      <c r="J98" s="560"/>
      <c r="K98" s="560"/>
      <c r="L98" s="560"/>
    </row>
    <row r="99" spans="2:12" x14ac:dyDescent="0.25">
      <c r="B99" s="19">
        <f t="shared" si="1"/>
        <v>84</v>
      </c>
      <c r="E99" s="19"/>
      <c r="G99" s="20"/>
      <c r="H99" s="641"/>
      <c r="I99" s="641"/>
      <c r="J99" s="560"/>
      <c r="K99" s="560"/>
      <c r="L99" s="560"/>
    </row>
    <row r="100" spans="2:12" x14ac:dyDescent="0.25">
      <c r="B100" s="19">
        <f t="shared" si="1"/>
        <v>85</v>
      </c>
      <c r="E100" s="19"/>
      <c r="G100" s="20"/>
      <c r="H100" s="641"/>
      <c r="I100" s="641"/>
      <c r="J100" s="560"/>
      <c r="K100" s="560"/>
      <c r="L100" s="560"/>
    </row>
    <row r="101" spans="2:12" x14ac:dyDescent="0.25">
      <c r="B101" s="19">
        <f t="shared" si="1"/>
        <v>86</v>
      </c>
      <c r="E101" s="19"/>
      <c r="G101" s="20"/>
      <c r="H101" s="641"/>
      <c r="I101" s="641"/>
      <c r="J101" s="560"/>
      <c r="K101" s="560"/>
      <c r="L101" s="560"/>
    </row>
    <row r="102" spans="2:12" x14ac:dyDescent="0.25">
      <c r="B102" s="19">
        <f t="shared" si="1"/>
        <v>87</v>
      </c>
      <c r="E102" s="19"/>
      <c r="G102" s="20"/>
      <c r="H102" s="641"/>
      <c r="I102" s="641"/>
      <c r="J102" s="560"/>
      <c r="K102" s="560"/>
      <c r="L102" s="560"/>
    </row>
    <row r="103" spans="2:12" x14ac:dyDescent="0.25">
      <c r="B103" s="19">
        <f t="shared" si="1"/>
        <v>88</v>
      </c>
      <c r="E103" s="19"/>
      <c r="G103" s="20"/>
      <c r="H103" s="641"/>
      <c r="I103" s="641"/>
      <c r="J103" s="560"/>
      <c r="K103" s="560"/>
      <c r="L103" s="560"/>
    </row>
    <row r="104" spans="2:12" x14ac:dyDescent="0.25">
      <c r="B104" s="19">
        <f t="shared" si="1"/>
        <v>89</v>
      </c>
      <c r="E104" s="19"/>
      <c r="G104" s="20"/>
      <c r="H104" s="641"/>
      <c r="I104" s="641"/>
      <c r="J104" s="560"/>
      <c r="K104" s="560"/>
      <c r="L104" s="560"/>
    </row>
    <row r="105" spans="2:12" x14ac:dyDescent="0.25">
      <c r="B105" s="19">
        <f t="shared" si="1"/>
        <v>90</v>
      </c>
      <c r="E105" s="19"/>
      <c r="G105" s="20"/>
      <c r="H105" s="641"/>
      <c r="I105" s="641"/>
      <c r="J105" s="560"/>
      <c r="K105" s="560"/>
      <c r="L105" s="560"/>
    </row>
    <row r="106" spans="2:12" x14ac:dyDescent="0.25">
      <c r="B106" s="19">
        <f t="shared" si="1"/>
        <v>91</v>
      </c>
      <c r="E106" s="19"/>
      <c r="G106" s="20"/>
      <c r="H106" s="641"/>
      <c r="I106" s="641"/>
      <c r="J106" s="560"/>
      <c r="K106" s="560"/>
      <c r="L106" s="560"/>
    </row>
    <row r="107" spans="2:12" x14ac:dyDescent="0.25">
      <c r="B107" s="19">
        <f t="shared" si="1"/>
        <v>92</v>
      </c>
      <c r="E107" s="19"/>
      <c r="G107" s="20"/>
      <c r="H107" s="641"/>
      <c r="I107" s="641"/>
      <c r="J107" s="560"/>
      <c r="K107" s="560"/>
      <c r="L107" s="560"/>
    </row>
    <row r="108" spans="2:12" x14ac:dyDescent="0.25">
      <c r="B108" s="19">
        <f t="shared" si="1"/>
        <v>93</v>
      </c>
      <c r="E108" s="19"/>
      <c r="G108" s="20"/>
      <c r="H108" s="641"/>
      <c r="I108" s="641"/>
      <c r="J108" s="560"/>
      <c r="K108" s="560"/>
      <c r="L108" s="560"/>
    </row>
    <row r="109" spans="2:12" x14ac:dyDescent="0.25">
      <c r="B109" s="19">
        <f t="shared" si="1"/>
        <v>94</v>
      </c>
      <c r="E109" s="19"/>
      <c r="G109" s="20"/>
      <c r="H109" s="641"/>
      <c r="I109" s="641"/>
      <c r="J109" s="560"/>
      <c r="K109" s="560"/>
      <c r="L109" s="560"/>
    </row>
    <row r="110" spans="2:12" x14ac:dyDescent="0.25">
      <c r="B110" s="19">
        <f t="shared" si="1"/>
        <v>95</v>
      </c>
      <c r="E110" s="19"/>
      <c r="G110" s="20"/>
      <c r="H110" s="641"/>
      <c r="I110" s="641"/>
      <c r="J110" s="560"/>
      <c r="K110" s="560"/>
      <c r="L110" s="560"/>
    </row>
    <row r="111" spans="2:12" x14ac:dyDescent="0.25">
      <c r="B111" s="19">
        <f t="shared" si="1"/>
        <v>96</v>
      </c>
      <c r="E111" s="19"/>
      <c r="G111" s="20"/>
      <c r="H111" s="641"/>
      <c r="I111" s="641"/>
      <c r="J111" s="560"/>
      <c r="K111" s="560"/>
      <c r="L111" s="560"/>
    </row>
    <row r="112" spans="2:12" x14ac:dyDescent="0.25">
      <c r="B112" s="19">
        <f t="shared" si="1"/>
        <v>97</v>
      </c>
      <c r="E112" s="19"/>
      <c r="G112" s="20"/>
      <c r="H112" s="641"/>
      <c r="I112" s="641"/>
      <c r="J112" s="560"/>
      <c r="K112" s="560"/>
      <c r="L112" s="560"/>
    </row>
    <row r="113" spans="2:12" x14ac:dyDescent="0.25">
      <c r="B113" s="19">
        <f t="shared" si="1"/>
        <v>98</v>
      </c>
      <c r="E113" s="19"/>
      <c r="G113" s="20"/>
      <c r="H113" s="641"/>
      <c r="I113" s="641"/>
      <c r="J113" s="560"/>
      <c r="K113" s="560"/>
      <c r="L113" s="560"/>
    </row>
    <row r="114" spans="2:12" x14ac:dyDescent="0.25">
      <c r="B114" s="19">
        <f t="shared" si="1"/>
        <v>99</v>
      </c>
      <c r="E114" s="19"/>
      <c r="G114" s="20"/>
      <c r="H114" s="641"/>
      <c r="I114" s="641"/>
      <c r="J114" s="560"/>
      <c r="K114" s="560"/>
      <c r="L114" s="560"/>
    </row>
    <row r="115" spans="2:12" x14ac:dyDescent="0.25">
      <c r="B115" s="19">
        <f t="shared" si="1"/>
        <v>100</v>
      </c>
      <c r="E115" s="19"/>
      <c r="G115" s="20"/>
      <c r="H115" s="641"/>
      <c r="I115" s="641"/>
      <c r="J115" s="560"/>
      <c r="K115" s="560"/>
      <c r="L115" s="560"/>
    </row>
    <row r="116" spans="2:12" x14ac:dyDescent="0.25">
      <c r="B116" s="19">
        <f t="shared" si="1"/>
        <v>101</v>
      </c>
      <c r="E116" s="19"/>
      <c r="G116" s="20"/>
      <c r="H116" s="641"/>
      <c r="I116" s="641"/>
      <c r="J116" s="560"/>
      <c r="K116" s="560"/>
      <c r="L116" s="560"/>
    </row>
    <row r="117" spans="2:12" x14ac:dyDescent="0.25">
      <c r="B117" s="19">
        <f t="shared" si="1"/>
        <v>102</v>
      </c>
      <c r="E117" s="19"/>
      <c r="G117" s="20"/>
      <c r="H117" s="641"/>
      <c r="I117" s="641"/>
      <c r="J117" s="560"/>
      <c r="K117" s="560"/>
      <c r="L117" s="560"/>
    </row>
    <row r="118" spans="2:12" x14ac:dyDescent="0.25">
      <c r="B118" s="19">
        <f t="shared" si="1"/>
        <v>103</v>
      </c>
      <c r="E118" s="19"/>
      <c r="G118" s="20"/>
      <c r="H118" s="641"/>
      <c r="I118" s="641"/>
      <c r="J118" s="560"/>
      <c r="K118" s="560"/>
      <c r="L118" s="560"/>
    </row>
    <row r="119" spans="2:12" x14ac:dyDescent="0.25">
      <c r="B119" s="19">
        <f t="shared" si="1"/>
        <v>104</v>
      </c>
      <c r="E119" s="19"/>
      <c r="G119" s="20"/>
      <c r="H119" s="641"/>
      <c r="I119" s="641"/>
      <c r="J119" s="560"/>
      <c r="K119" s="560"/>
      <c r="L119" s="560"/>
    </row>
    <row r="120" spans="2:12" x14ac:dyDescent="0.25">
      <c r="B120" s="19">
        <f t="shared" si="1"/>
        <v>105</v>
      </c>
      <c r="E120" s="19"/>
      <c r="G120" s="20"/>
      <c r="H120" s="641"/>
      <c r="I120" s="641"/>
      <c r="J120" s="560"/>
      <c r="K120" s="560"/>
      <c r="L120" s="560"/>
    </row>
    <row r="121" spans="2:12" x14ac:dyDescent="0.25">
      <c r="B121" s="19">
        <f t="shared" si="1"/>
        <v>106</v>
      </c>
      <c r="E121" s="19"/>
      <c r="G121" s="20"/>
      <c r="H121" s="641"/>
      <c r="I121" s="641"/>
      <c r="J121" s="560"/>
      <c r="K121" s="560"/>
      <c r="L121" s="560"/>
    </row>
    <row r="122" spans="2:12" x14ac:dyDescent="0.25">
      <c r="B122" s="19">
        <f t="shared" si="1"/>
        <v>107</v>
      </c>
      <c r="E122" s="19"/>
      <c r="G122" s="20"/>
      <c r="H122" s="641"/>
      <c r="I122" s="641"/>
      <c r="J122" s="560"/>
      <c r="K122" s="560"/>
      <c r="L122" s="560"/>
    </row>
    <row r="123" spans="2:12" x14ac:dyDescent="0.25">
      <c r="B123" s="19">
        <f t="shared" si="1"/>
        <v>108</v>
      </c>
      <c r="E123" s="19"/>
      <c r="G123" s="20"/>
      <c r="H123" s="641"/>
      <c r="I123" s="641"/>
      <c r="J123" s="560"/>
      <c r="K123" s="560"/>
      <c r="L123" s="560"/>
    </row>
    <row r="124" spans="2:12" x14ac:dyDescent="0.25">
      <c r="B124" s="19">
        <f t="shared" si="1"/>
        <v>109</v>
      </c>
      <c r="E124" s="19"/>
      <c r="G124" s="20"/>
      <c r="H124" s="641"/>
      <c r="I124" s="641"/>
      <c r="J124" s="560"/>
      <c r="K124" s="560"/>
      <c r="L124" s="560"/>
    </row>
    <row r="125" spans="2:12" x14ac:dyDescent="0.25">
      <c r="B125" s="19">
        <f t="shared" si="1"/>
        <v>110</v>
      </c>
      <c r="E125" s="19"/>
      <c r="G125" s="20"/>
      <c r="H125" s="641"/>
      <c r="I125" s="641"/>
      <c r="J125" s="560"/>
      <c r="K125" s="560"/>
      <c r="L125" s="560"/>
    </row>
    <row r="126" spans="2:12" x14ac:dyDescent="0.25">
      <c r="B126" s="19">
        <f t="shared" si="1"/>
        <v>111</v>
      </c>
      <c r="E126" s="19"/>
      <c r="G126" s="20"/>
      <c r="H126" s="641"/>
      <c r="I126" s="641"/>
      <c r="J126" s="560"/>
      <c r="K126" s="560"/>
      <c r="L126" s="560"/>
    </row>
    <row r="127" spans="2:12" x14ac:dyDescent="0.25">
      <c r="B127" s="19">
        <f t="shared" si="1"/>
        <v>112</v>
      </c>
      <c r="E127" s="19"/>
      <c r="G127" s="20"/>
      <c r="H127" s="641"/>
      <c r="I127" s="641"/>
      <c r="J127" s="560"/>
      <c r="K127" s="560"/>
      <c r="L127" s="560"/>
    </row>
    <row r="128" spans="2:12" x14ac:dyDescent="0.25">
      <c r="B128" s="19">
        <f t="shared" si="1"/>
        <v>113</v>
      </c>
      <c r="E128" s="19"/>
      <c r="G128" s="20"/>
      <c r="H128" s="641"/>
      <c r="I128" s="641"/>
      <c r="J128" s="560"/>
      <c r="K128" s="560"/>
      <c r="L128" s="560"/>
    </row>
    <row r="129" spans="2:12" x14ac:dyDescent="0.25">
      <c r="B129" s="19">
        <f t="shared" si="1"/>
        <v>114</v>
      </c>
      <c r="E129" s="19"/>
      <c r="G129" s="20"/>
      <c r="H129" s="641"/>
      <c r="I129" s="641"/>
      <c r="J129" s="560"/>
      <c r="K129" s="560"/>
      <c r="L129" s="560"/>
    </row>
    <row r="130" spans="2:12" x14ac:dyDescent="0.25">
      <c r="B130" s="19">
        <f t="shared" si="1"/>
        <v>115</v>
      </c>
      <c r="E130" s="19"/>
      <c r="G130" s="20"/>
      <c r="H130" s="641"/>
      <c r="I130" s="641"/>
      <c r="J130" s="560"/>
      <c r="K130" s="560"/>
      <c r="L130" s="560"/>
    </row>
    <row r="131" spans="2:12" x14ac:dyDescent="0.25">
      <c r="B131" s="19">
        <f t="shared" si="1"/>
        <v>116</v>
      </c>
      <c r="E131" s="19"/>
      <c r="G131" s="20"/>
      <c r="H131" s="641"/>
      <c r="I131" s="641"/>
      <c r="J131" s="560"/>
      <c r="K131" s="560"/>
      <c r="L131" s="560"/>
    </row>
    <row r="132" spans="2:12" x14ac:dyDescent="0.25">
      <c r="B132" s="19">
        <f t="shared" si="1"/>
        <v>117</v>
      </c>
      <c r="E132" s="19"/>
      <c r="G132" s="20"/>
      <c r="H132" s="641"/>
      <c r="I132" s="641"/>
      <c r="J132" s="560"/>
      <c r="K132" s="560"/>
      <c r="L132" s="560"/>
    </row>
    <row r="133" spans="2:12" x14ac:dyDescent="0.25">
      <c r="B133" s="19">
        <f t="shared" si="1"/>
        <v>118</v>
      </c>
      <c r="E133" s="19"/>
      <c r="G133" s="20"/>
      <c r="H133" s="641"/>
      <c r="I133" s="641"/>
      <c r="J133" s="560"/>
      <c r="K133" s="560"/>
      <c r="L133" s="560"/>
    </row>
    <row r="134" spans="2:12" x14ac:dyDescent="0.25">
      <c r="B134" s="19">
        <f t="shared" si="1"/>
        <v>119</v>
      </c>
      <c r="E134" s="19"/>
      <c r="G134" s="20"/>
      <c r="H134" s="641"/>
      <c r="I134" s="641"/>
      <c r="J134" s="560"/>
      <c r="K134" s="560"/>
      <c r="L134" s="560"/>
    </row>
    <row r="135" spans="2:12" x14ac:dyDescent="0.25">
      <c r="B135" s="19">
        <f t="shared" si="1"/>
        <v>120</v>
      </c>
      <c r="E135" s="19"/>
      <c r="G135" s="20"/>
      <c r="H135" s="641"/>
      <c r="I135" s="641"/>
      <c r="J135" s="560"/>
      <c r="K135" s="560"/>
      <c r="L135" s="560"/>
    </row>
    <row r="136" spans="2:12" x14ac:dyDescent="0.25">
      <c r="B136" s="19">
        <f t="shared" si="1"/>
        <v>121</v>
      </c>
      <c r="E136" s="19"/>
      <c r="G136" s="20"/>
      <c r="H136" s="641"/>
      <c r="I136" s="641"/>
      <c r="J136" s="560"/>
      <c r="K136" s="560"/>
      <c r="L136" s="560"/>
    </row>
    <row r="137" spans="2:12" x14ac:dyDescent="0.25">
      <c r="B137" s="19">
        <f t="shared" si="1"/>
        <v>122</v>
      </c>
      <c r="E137" s="19"/>
      <c r="G137" s="20"/>
      <c r="H137" s="641"/>
      <c r="I137" s="641"/>
      <c r="J137" s="560"/>
      <c r="K137" s="560"/>
      <c r="L137" s="560"/>
    </row>
    <row r="138" spans="2:12" x14ac:dyDescent="0.25">
      <c r="B138" s="19">
        <f t="shared" si="1"/>
        <v>123</v>
      </c>
      <c r="E138" s="19"/>
      <c r="G138" s="20"/>
      <c r="H138" s="641"/>
      <c r="I138" s="641"/>
      <c r="J138" s="560"/>
      <c r="K138" s="560"/>
      <c r="L138" s="560"/>
    </row>
    <row r="139" spans="2:12" x14ac:dyDescent="0.25">
      <c r="B139" s="19">
        <f t="shared" si="1"/>
        <v>124</v>
      </c>
      <c r="E139" s="19"/>
      <c r="G139" s="20"/>
      <c r="H139" s="641"/>
      <c r="I139" s="641"/>
      <c r="J139" s="560"/>
      <c r="K139" s="560"/>
      <c r="L139" s="560"/>
    </row>
    <row r="140" spans="2:12" x14ac:dyDescent="0.25">
      <c r="B140" s="19">
        <f t="shared" si="1"/>
        <v>125</v>
      </c>
      <c r="E140" s="19"/>
      <c r="G140" s="20"/>
      <c r="H140" s="641"/>
      <c r="I140" s="641"/>
      <c r="J140" s="560"/>
      <c r="K140" s="560"/>
      <c r="L140" s="560"/>
    </row>
    <row r="141" spans="2:12" x14ac:dyDescent="0.25">
      <c r="B141" s="19">
        <f t="shared" si="1"/>
        <v>126</v>
      </c>
      <c r="E141" s="19"/>
      <c r="G141" s="20"/>
      <c r="H141" s="641"/>
      <c r="I141" s="641"/>
      <c r="J141" s="560"/>
      <c r="K141" s="560"/>
      <c r="L141" s="560"/>
    </row>
    <row r="142" spans="2:12" x14ac:dyDescent="0.25">
      <c r="B142" s="19">
        <f t="shared" si="1"/>
        <v>127</v>
      </c>
      <c r="E142" s="19"/>
      <c r="G142" s="20"/>
      <c r="H142" s="641"/>
      <c r="I142" s="641"/>
      <c r="J142" s="560"/>
      <c r="K142" s="560"/>
      <c r="L142" s="560"/>
    </row>
    <row r="143" spans="2:12" x14ac:dyDescent="0.25">
      <c r="B143" s="19">
        <f t="shared" si="1"/>
        <v>128</v>
      </c>
      <c r="E143" s="19"/>
      <c r="G143" s="20"/>
      <c r="H143" s="641"/>
      <c r="I143" s="641"/>
      <c r="J143" s="560"/>
      <c r="K143" s="560"/>
      <c r="L143" s="560"/>
    </row>
    <row r="144" spans="2:12" x14ac:dyDescent="0.25">
      <c r="B144" s="19">
        <f t="shared" si="1"/>
        <v>129</v>
      </c>
      <c r="E144" s="19"/>
      <c r="G144" s="20"/>
      <c r="H144" s="641"/>
      <c r="I144" s="641"/>
      <c r="J144" s="560"/>
      <c r="K144" s="560"/>
      <c r="L144" s="560"/>
    </row>
    <row r="145" spans="2:12" x14ac:dyDescent="0.25">
      <c r="B145" s="19">
        <f t="shared" si="1"/>
        <v>130</v>
      </c>
      <c r="E145" s="19"/>
      <c r="G145" s="20"/>
      <c r="H145" s="641"/>
      <c r="I145" s="641"/>
      <c r="J145" s="560"/>
      <c r="K145" s="560"/>
      <c r="L145" s="560"/>
    </row>
    <row r="146" spans="2:12" x14ac:dyDescent="0.25">
      <c r="B146" s="19">
        <f t="shared" ref="B146:B209" si="2">B145+1</f>
        <v>131</v>
      </c>
      <c r="E146" s="19"/>
      <c r="G146" s="20"/>
      <c r="H146" s="641"/>
      <c r="I146" s="641"/>
      <c r="J146" s="560"/>
      <c r="K146" s="560"/>
      <c r="L146" s="560"/>
    </row>
    <row r="147" spans="2:12" x14ac:dyDescent="0.25">
      <c r="B147" s="19">
        <f t="shared" si="2"/>
        <v>132</v>
      </c>
      <c r="E147" s="19"/>
      <c r="G147" s="20"/>
      <c r="H147" s="641"/>
      <c r="I147" s="641"/>
      <c r="J147" s="560"/>
      <c r="K147" s="560"/>
      <c r="L147" s="560"/>
    </row>
    <row r="148" spans="2:12" x14ac:dyDescent="0.25">
      <c r="B148" s="19">
        <f t="shared" si="2"/>
        <v>133</v>
      </c>
      <c r="E148" s="19"/>
      <c r="G148" s="20"/>
      <c r="H148" s="641"/>
      <c r="I148" s="641"/>
      <c r="J148" s="560"/>
      <c r="K148" s="560"/>
      <c r="L148" s="560"/>
    </row>
    <row r="149" spans="2:12" x14ac:dyDescent="0.25">
      <c r="B149" s="19">
        <f t="shared" si="2"/>
        <v>134</v>
      </c>
      <c r="E149" s="19"/>
      <c r="G149" s="20"/>
      <c r="H149" s="641"/>
      <c r="I149" s="641"/>
      <c r="J149" s="560"/>
      <c r="K149" s="560"/>
      <c r="L149" s="560"/>
    </row>
    <row r="150" spans="2:12" x14ac:dyDescent="0.25">
      <c r="B150" s="19">
        <f t="shared" si="2"/>
        <v>135</v>
      </c>
      <c r="E150" s="19"/>
      <c r="G150" s="20"/>
      <c r="H150" s="641"/>
      <c r="I150" s="641"/>
      <c r="J150" s="560"/>
      <c r="K150" s="560"/>
      <c r="L150" s="560"/>
    </row>
    <row r="151" spans="2:12" x14ac:dyDescent="0.25">
      <c r="B151" s="19">
        <f t="shared" si="2"/>
        <v>136</v>
      </c>
      <c r="E151" s="19"/>
      <c r="G151" s="20"/>
      <c r="H151" s="641"/>
      <c r="I151" s="641"/>
      <c r="J151" s="560"/>
      <c r="K151" s="560"/>
      <c r="L151" s="560"/>
    </row>
    <row r="152" spans="2:12" x14ac:dyDescent="0.25">
      <c r="B152" s="19">
        <f t="shared" si="2"/>
        <v>137</v>
      </c>
      <c r="E152" s="19"/>
      <c r="G152" s="20"/>
      <c r="H152" s="641"/>
      <c r="I152" s="641"/>
      <c r="J152" s="560"/>
      <c r="K152" s="560"/>
      <c r="L152" s="560"/>
    </row>
    <row r="153" spans="2:12" x14ac:dyDescent="0.25">
      <c r="B153" s="19">
        <f t="shared" si="2"/>
        <v>138</v>
      </c>
      <c r="E153" s="19"/>
      <c r="G153" s="20"/>
      <c r="H153" s="641"/>
      <c r="I153" s="641"/>
      <c r="J153" s="560"/>
      <c r="K153" s="560"/>
      <c r="L153" s="560"/>
    </row>
    <row r="154" spans="2:12" x14ac:dyDescent="0.25">
      <c r="B154" s="19">
        <f t="shared" si="2"/>
        <v>139</v>
      </c>
      <c r="E154" s="19"/>
      <c r="G154" s="20"/>
      <c r="H154" s="641"/>
      <c r="I154" s="641"/>
      <c r="J154" s="560"/>
      <c r="K154" s="560"/>
      <c r="L154" s="560"/>
    </row>
    <row r="155" spans="2:12" x14ac:dyDescent="0.25">
      <c r="B155" s="19">
        <f t="shared" si="2"/>
        <v>140</v>
      </c>
      <c r="E155" s="19"/>
      <c r="G155" s="20"/>
      <c r="H155" s="641"/>
      <c r="I155" s="641"/>
      <c r="J155" s="560"/>
      <c r="K155" s="560"/>
      <c r="L155" s="560"/>
    </row>
    <row r="156" spans="2:12" x14ac:dyDescent="0.25">
      <c r="B156" s="19">
        <f t="shared" si="2"/>
        <v>141</v>
      </c>
      <c r="E156" s="19"/>
      <c r="G156" s="20"/>
      <c r="H156" s="641"/>
      <c r="I156" s="641"/>
      <c r="J156" s="560"/>
      <c r="K156" s="560"/>
      <c r="L156" s="560"/>
    </row>
    <row r="157" spans="2:12" x14ac:dyDescent="0.25">
      <c r="B157" s="19">
        <f t="shared" si="2"/>
        <v>142</v>
      </c>
      <c r="E157" s="19"/>
      <c r="G157" s="20"/>
      <c r="H157" s="641"/>
      <c r="I157" s="641"/>
      <c r="J157" s="560"/>
      <c r="K157" s="560"/>
      <c r="L157" s="560"/>
    </row>
    <row r="158" spans="2:12" x14ac:dyDescent="0.25">
      <c r="B158" s="19">
        <f t="shared" si="2"/>
        <v>143</v>
      </c>
      <c r="E158" s="19"/>
      <c r="G158" s="20"/>
      <c r="H158" s="641"/>
      <c r="I158" s="641"/>
      <c r="J158" s="560"/>
      <c r="K158" s="560"/>
      <c r="L158" s="560"/>
    </row>
    <row r="159" spans="2:12" x14ac:dyDescent="0.25">
      <c r="B159" s="19">
        <f t="shared" si="2"/>
        <v>144</v>
      </c>
      <c r="E159" s="19"/>
      <c r="G159" s="20"/>
      <c r="H159" s="641"/>
      <c r="I159" s="641"/>
      <c r="J159" s="560"/>
      <c r="K159" s="560"/>
      <c r="L159" s="560"/>
    </row>
    <row r="160" spans="2:12" x14ac:dyDescent="0.25">
      <c r="B160" s="19">
        <f t="shared" si="2"/>
        <v>145</v>
      </c>
      <c r="E160" s="19"/>
      <c r="G160" s="20"/>
      <c r="H160" s="641"/>
      <c r="I160" s="641"/>
      <c r="J160" s="560"/>
      <c r="K160" s="560"/>
      <c r="L160" s="560"/>
    </row>
    <row r="161" spans="2:12" x14ac:dyDescent="0.25">
      <c r="B161" s="19">
        <f t="shared" si="2"/>
        <v>146</v>
      </c>
      <c r="E161" s="19"/>
      <c r="G161" s="20"/>
      <c r="H161" s="641"/>
      <c r="I161" s="641"/>
      <c r="J161" s="560"/>
      <c r="K161" s="560"/>
      <c r="L161" s="560"/>
    </row>
    <row r="162" spans="2:12" x14ac:dyDescent="0.25">
      <c r="B162" s="19">
        <f t="shared" si="2"/>
        <v>147</v>
      </c>
      <c r="E162" s="19"/>
      <c r="G162" s="20"/>
      <c r="H162" s="641"/>
      <c r="I162" s="641"/>
      <c r="J162" s="560"/>
      <c r="K162" s="560"/>
      <c r="L162" s="560"/>
    </row>
    <row r="163" spans="2:12" x14ac:dyDescent="0.25">
      <c r="B163" s="19">
        <f t="shared" si="2"/>
        <v>148</v>
      </c>
      <c r="E163" s="19"/>
      <c r="G163" s="20"/>
      <c r="H163" s="641"/>
      <c r="I163" s="641"/>
      <c r="J163" s="560"/>
      <c r="K163" s="560"/>
      <c r="L163" s="560"/>
    </row>
    <row r="164" spans="2:12" x14ac:dyDescent="0.25">
      <c r="B164" s="19">
        <f t="shared" si="2"/>
        <v>149</v>
      </c>
      <c r="E164" s="19"/>
      <c r="G164" s="20"/>
      <c r="H164" s="641"/>
      <c r="I164" s="641"/>
      <c r="J164" s="560"/>
      <c r="K164" s="560"/>
      <c r="L164" s="560"/>
    </row>
    <row r="165" spans="2:12" x14ac:dyDescent="0.25">
      <c r="B165" s="19">
        <f>B164+1</f>
        <v>150</v>
      </c>
      <c r="E165" s="19"/>
      <c r="G165" s="20"/>
      <c r="H165" s="641"/>
      <c r="I165" s="641"/>
      <c r="J165" s="560"/>
      <c r="K165" s="560"/>
      <c r="L165" s="560"/>
    </row>
    <row r="166" spans="2:12" x14ac:dyDescent="0.25">
      <c r="B166" s="19">
        <f t="shared" si="2"/>
        <v>151</v>
      </c>
      <c r="E166" s="19"/>
      <c r="G166" s="20"/>
      <c r="H166" s="641"/>
      <c r="I166" s="641"/>
      <c r="J166" s="560"/>
      <c r="K166" s="560"/>
      <c r="L166" s="560"/>
    </row>
    <row r="167" spans="2:12" x14ac:dyDescent="0.25">
      <c r="B167" s="19">
        <f t="shared" si="2"/>
        <v>152</v>
      </c>
      <c r="E167" s="19"/>
      <c r="G167" s="20"/>
      <c r="H167" s="641"/>
      <c r="I167" s="641"/>
      <c r="J167" s="560"/>
      <c r="K167" s="560"/>
      <c r="L167" s="560"/>
    </row>
    <row r="168" spans="2:12" x14ac:dyDescent="0.25">
      <c r="B168" s="19">
        <f t="shared" si="2"/>
        <v>153</v>
      </c>
      <c r="E168" s="19"/>
      <c r="G168" s="20"/>
      <c r="H168" s="641"/>
      <c r="I168" s="641"/>
      <c r="J168" s="560"/>
      <c r="K168" s="560"/>
      <c r="L168" s="560"/>
    </row>
    <row r="169" spans="2:12" x14ac:dyDescent="0.25">
      <c r="B169" s="19">
        <f t="shared" si="2"/>
        <v>154</v>
      </c>
      <c r="E169" s="19"/>
      <c r="G169" s="20"/>
      <c r="H169" s="641"/>
      <c r="I169" s="641"/>
      <c r="J169" s="560"/>
      <c r="K169" s="560"/>
      <c r="L169" s="560"/>
    </row>
    <row r="170" spans="2:12" x14ac:dyDescent="0.25">
      <c r="B170" s="19">
        <f t="shared" si="2"/>
        <v>155</v>
      </c>
      <c r="E170" s="19"/>
      <c r="G170" s="20"/>
      <c r="H170" s="641"/>
      <c r="I170" s="641"/>
      <c r="J170" s="560"/>
      <c r="K170" s="560"/>
      <c r="L170" s="560"/>
    </row>
    <row r="171" spans="2:12" x14ac:dyDescent="0.25">
      <c r="B171" s="19">
        <f t="shared" si="2"/>
        <v>156</v>
      </c>
      <c r="E171" s="19"/>
      <c r="G171" s="20"/>
      <c r="H171" s="641"/>
      <c r="I171" s="641"/>
      <c r="J171" s="560"/>
      <c r="K171" s="560"/>
      <c r="L171" s="560"/>
    </row>
    <row r="172" spans="2:12" x14ac:dyDescent="0.25">
      <c r="B172" s="19">
        <f t="shared" si="2"/>
        <v>157</v>
      </c>
      <c r="E172" s="19"/>
      <c r="G172" s="20"/>
      <c r="H172" s="641"/>
      <c r="I172" s="641"/>
      <c r="J172" s="560"/>
      <c r="K172" s="560"/>
      <c r="L172" s="560"/>
    </row>
    <row r="173" spans="2:12" x14ac:dyDescent="0.25">
      <c r="B173" s="19">
        <f t="shared" si="2"/>
        <v>158</v>
      </c>
      <c r="E173" s="19"/>
      <c r="G173" s="20"/>
      <c r="H173" s="641"/>
      <c r="I173" s="641"/>
      <c r="J173" s="560"/>
      <c r="K173" s="560"/>
      <c r="L173" s="560"/>
    </row>
    <row r="174" spans="2:12" x14ac:dyDescent="0.25">
      <c r="B174" s="19">
        <f t="shared" si="2"/>
        <v>159</v>
      </c>
      <c r="E174" s="19"/>
      <c r="G174" s="20"/>
      <c r="H174" s="641"/>
      <c r="I174" s="641"/>
      <c r="J174" s="560"/>
      <c r="K174" s="560"/>
      <c r="L174" s="560"/>
    </row>
    <row r="175" spans="2:12" x14ac:dyDescent="0.25">
      <c r="B175" s="19">
        <f t="shared" si="2"/>
        <v>160</v>
      </c>
      <c r="E175" s="19"/>
      <c r="G175" s="20"/>
      <c r="H175" s="641"/>
      <c r="I175" s="641"/>
      <c r="J175" s="560"/>
      <c r="K175" s="560"/>
      <c r="L175" s="560"/>
    </row>
    <row r="176" spans="2:12" x14ac:dyDescent="0.25">
      <c r="B176" s="19">
        <f t="shared" si="2"/>
        <v>161</v>
      </c>
      <c r="E176" s="19"/>
      <c r="G176" s="20"/>
      <c r="H176" s="641"/>
      <c r="I176" s="641"/>
      <c r="J176" s="560"/>
      <c r="K176" s="560"/>
      <c r="L176" s="560"/>
    </row>
    <row r="177" spans="2:12" x14ac:dyDescent="0.25">
      <c r="B177" s="19">
        <f t="shared" si="2"/>
        <v>162</v>
      </c>
      <c r="E177" s="19"/>
      <c r="G177" s="20"/>
      <c r="H177" s="641"/>
      <c r="I177" s="641"/>
      <c r="J177" s="560"/>
      <c r="K177" s="560"/>
      <c r="L177" s="560"/>
    </row>
    <row r="178" spans="2:12" x14ac:dyDescent="0.25">
      <c r="B178" s="19">
        <f t="shared" si="2"/>
        <v>163</v>
      </c>
      <c r="E178" s="19"/>
      <c r="G178" s="20"/>
      <c r="H178" s="641"/>
      <c r="I178" s="641"/>
      <c r="J178" s="560"/>
      <c r="K178" s="560"/>
      <c r="L178" s="560"/>
    </row>
    <row r="179" spans="2:12" x14ac:dyDescent="0.25">
      <c r="B179" s="19">
        <f t="shared" si="2"/>
        <v>164</v>
      </c>
      <c r="E179" s="19"/>
      <c r="G179" s="20"/>
      <c r="H179" s="641"/>
      <c r="I179" s="641"/>
      <c r="J179" s="560"/>
      <c r="K179" s="560"/>
      <c r="L179" s="560"/>
    </row>
    <row r="180" spans="2:12" x14ac:dyDescent="0.25">
      <c r="B180" s="19">
        <f t="shared" si="2"/>
        <v>165</v>
      </c>
      <c r="E180" s="19"/>
      <c r="G180" s="20"/>
      <c r="H180" s="641"/>
      <c r="I180" s="641"/>
      <c r="J180" s="560"/>
      <c r="K180" s="560"/>
      <c r="L180" s="560"/>
    </row>
    <row r="181" spans="2:12" x14ac:dyDescent="0.25">
      <c r="B181" s="19">
        <f t="shared" si="2"/>
        <v>166</v>
      </c>
      <c r="E181" s="19"/>
      <c r="G181" s="20"/>
      <c r="H181" s="641"/>
      <c r="I181" s="641"/>
      <c r="J181" s="560"/>
      <c r="K181" s="560"/>
      <c r="L181" s="560"/>
    </row>
    <row r="182" spans="2:12" x14ac:dyDescent="0.25">
      <c r="B182" s="19">
        <f t="shared" si="2"/>
        <v>167</v>
      </c>
      <c r="E182" s="19"/>
      <c r="G182" s="20"/>
      <c r="H182" s="641"/>
      <c r="I182" s="641"/>
      <c r="J182" s="560"/>
      <c r="K182" s="560"/>
      <c r="L182" s="560"/>
    </row>
    <row r="183" spans="2:12" x14ac:dyDescent="0.25">
      <c r="B183" s="19">
        <f t="shared" si="2"/>
        <v>168</v>
      </c>
      <c r="E183" s="19"/>
      <c r="G183" s="20"/>
      <c r="H183" s="641"/>
      <c r="I183" s="641"/>
      <c r="J183" s="560"/>
      <c r="K183" s="560"/>
      <c r="L183" s="560"/>
    </row>
    <row r="184" spans="2:12" x14ac:dyDescent="0.25">
      <c r="B184" s="19">
        <f t="shared" si="2"/>
        <v>169</v>
      </c>
      <c r="E184" s="19"/>
      <c r="G184" s="20"/>
      <c r="H184" s="641"/>
      <c r="I184" s="641"/>
      <c r="J184" s="560"/>
      <c r="K184" s="560"/>
      <c r="L184" s="560"/>
    </row>
    <row r="185" spans="2:12" x14ac:dyDescent="0.25">
      <c r="B185" s="19">
        <f t="shared" si="2"/>
        <v>170</v>
      </c>
      <c r="E185" s="19"/>
      <c r="G185" s="20"/>
      <c r="H185" s="641"/>
      <c r="I185" s="641"/>
      <c r="J185" s="560"/>
      <c r="K185" s="560"/>
      <c r="L185" s="560"/>
    </row>
    <row r="186" spans="2:12" x14ac:dyDescent="0.25">
      <c r="B186" s="19">
        <f t="shared" si="2"/>
        <v>171</v>
      </c>
      <c r="E186" s="19"/>
      <c r="G186" s="20"/>
      <c r="H186" s="641"/>
      <c r="I186" s="641"/>
      <c r="J186" s="560"/>
      <c r="K186" s="560"/>
      <c r="L186" s="560"/>
    </row>
    <row r="187" spans="2:12" x14ac:dyDescent="0.25">
      <c r="B187" s="19">
        <f t="shared" si="2"/>
        <v>172</v>
      </c>
      <c r="E187" s="19"/>
      <c r="G187" s="20"/>
      <c r="H187" s="641"/>
      <c r="I187" s="641"/>
      <c r="J187" s="560"/>
      <c r="K187" s="560"/>
      <c r="L187" s="560"/>
    </row>
    <row r="188" spans="2:12" x14ac:dyDescent="0.25">
      <c r="B188" s="19">
        <f t="shared" si="2"/>
        <v>173</v>
      </c>
      <c r="E188" s="19"/>
      <c r="G188" s="20"/>
      <c r="H188" s="641"/>
      <c r="I188" s="641"/>
      <c r="J188" s="560"/>
      <c r="K188" s="560"/>
      <c r="L188" s="560"/>
    </row>
    <row r="189" spans="2:12" x14ac:dyDescent="0.25">
      <c r="B189" s="19">
        <f t="shared" si="2"/>
        <v>174</v>
      </c>
      <c r="E189" s="19"/>
      <c r="G189" s="20"/>
      <c r="H189" s="641"/>
      <c r="I189" s="641"/>
      <c r="J189" s="560"/>
      <c r="K189" s="560"/>
      <c r="L189" s="560"/>
    </row>
    <row r="190" spans="2:12" x14ac:dyDescent="0.25">
      <c r="B190" s="19">
        <f t="shared" si="2"/>
        <v>175</v>
      </c>
      <c r="E190" s="19"/>
      <c r="G190" s="20"/>
      <c r="H190" s="641"/>
      <c r="I190" s="641"/>
      <c r="J190" s="560"/>
      <c r="K190" s="560"/>
      <c r="L190" s="560"/>
    </row>
    <row r="191" spans="2:12" x14ac:dyDescent="0.25">
      <c r="B191" s="19">
        <f t="shared" si="2"/>
        <v>176</v>
      </c>
      <c r="E191" s="19"/>
      <c r="G191" s="20"/>
      <c r="H191" s="641"/>
      <c r="I191" s="641"/>
      <c r="J191" s="560"/>
      <c r="K191" s="560"/>
      <c r="L191" s="560"/>
    </row>
    <row r="192" spans="2:12" x14ac:dyDescent="0.25">
      <c r="B192" s="19">
        <f t="shared" si="2"/>
        <v>177</v>
      </c>
      <c r="E192" s="19"/>
      <c r="G192" s="20"/>
      <c r="H192" s="641"/>
      <c r="I192" s="641"/>
      <c r="J192" s="560"/>
      <c r="K192" s="560"/>
      <c r="L192" s="560"/>
    </row>
    <row r="193" spans="2:12" x14ac:dyDescent="0.25">
      <c r="B193" s="19">
        <f t="shared" si="2"/>
        <v>178</v>
      </c>
      <c r="E193" s="19"/>
      <c r="G193" s="20"/>
      <c r="H193" s="641"/>
      <c r="I193" s="641"/>
      <c r="J193" s="560"/>
      <c r="K193" s="560"/>
      <c r="L193" s="560"/>
    </row>
    <row r="194" spans="2:12" x14ac:dyDescent="0.25">
      <c r="B194" s="19">
        <f t="shared" si="2"/>
        <v>179</v>
      </c>
      <c r="E194" s="19"/>
      <c r="G194" s="20"/>
      <c r="H194" s="641"/>
      <c r="I194" s="641"/>
      <c r="J194" s="560"/>
      <c r="K194" s="560"/>
      <c r="L194" s="560"/>
    </row>
    <row r="195" spans="2:12" x14ac:dyDescent="0.25">
      <c r="B195" s="19">
        <f t="shared" si="2"/>
        <v>180</v>
      </c>
      <c r="E195" s="19"/>
      <c r="G195" s="20"/>
      <c r="H195" s="641"/>
      <c r="I195" s="641"/>
      <c r="J195" s="560"/>
      <c r="K195" s="560"/>
      <c r="L195" s="560"/>
    </row>
    <row r="196" spans="2:12" x14ac:dyDescent="0.25">
      <c r="B196" s="19">
        <f t="shared" si="2"/>
        <v>181</v>
      </c>
      <c r="C196" s="19"/>
      <c r="D196" s="19"/>
      <c r="E196" s="19"/>
      <c r="F196" s="19"/>
      <c r="G196" s="20"/>
      <c r="H196" s="35"/>
      <c r="I196" s="35"/>
      <c r="J196" s="642"/>
      <c r="K196" s="642"/>
      <c r="L196" s="642"/>
    </row>
    <row r="197" spans="2:12" x14ac:dyDescent="0.25">
      <c r="B197" s="19">
        <f t="shared" si="2"/>
        <v>182</v>
      </c>
      <c r="C197" s="19"/>
      <c r="D197" s="19"/>
      <c r="E197" s="19"/>
      <c r="F197" s="19"/>
      <c r="G197" s="20"/>
      <c r="H197" s="35"/>
      <c r="I197" s="35"/>
      <c r="J197" s="642"/>
      <c r="K197" s="642"/>
      <c r="L197" s="642"/>
    </row>
    <row r="198" spans="2:12" x14ac:dyDescent="0.25">
      <c r="B198" s="19">
        <f t="shared" si="2"/>
        <v>183</v>
      </c>
      <c r="C198" s="19"/>
      <c r="D198" s="19"/>
      <c r="E198" s="19"/>
      <c r="F198" s="19"/>
      <c r="G198" s="20"/>
      <c r="H198" s="35"/>
      <c r="I198" s="35"/>
      <c r="J198" s="642"/>
      <c r="K198" s="642"/>
      <c r="L198" s="642"/>
    </row>
    <row r="199" spans="2:12" x14ac:dyDescent="0.25">
      <c r="B199" s="19">
        <f t="shared" si="2"/>
        <v>184</v>
      </c>
      <c r="C199" s="19"/>
      <c r="D199" s="19"/>
      <c r="E199" s="19"/>
      <c r="F199" s="19"/>
      <c r="G199" s="20"/>
      <c r="H199" s="35"/>
      <c r="I199" s="35"/>
      <c r="J199" s="642"/>
      <c r="K199" s="642"/>
      <c r="L199" s="642"/>
    </row>
    <row r="200" spans="2:12" x14ac:dyDescent="0.25">
      <c r="B200" s="19">
        <f t="shared" si="2"/>
        <v>185</v>
      </c>
      <c r="C200" s="19"/>
      <c r="D200" s="19"/>
      <c r="E200" s="19"/>
      <c r="F200" s="19"/>
      <c r="G200" s="20"/>
      <c r="H200" s="35"/>
      <c r="I200" s="35"/>
      <c r="J200" s="642"/>
      <c r="K200" s="642"/>
      <c r="L200" s="642"/>
    </row>
    <row r="201" spans="2:12" x14ac:dyDescent="0.25">
      <c r="B201" s="19">
        <f t="shared" si="2"/>
        <v>186</v>
      </c>
      <c r="C201" s="19"/>
      <c r="D201" s="19"/>
      <c r="E201" s="19"/>
      <c r="F201" s="19"/>
      <c r="G201" s="20"/>
      <c r="H201" s="35"/>
      <c r="I201" s="35"/>
      <c r="J201" s="642"/>
      <c r="K201" s="642"/>
      <c r="L201" s="642"/>
    </row>
    <row r="202" spans="2:12" x14ac:dyDescent="0.25">
      <c r="B202" s="19">
        <f t="shared" si="2"/>
        <v>187</v>
      </c>
      <c r="C202" s="19"/>
      <c r="D202" s="19"/>
      <c r="E202" s="19"/>
      <c r="F202" s="19"/>
      <c r="G202" s="20"/>
      <c r="H202" s="35"/>
      <c r="I202" s="35"/>
      <c r="J202" s="642"/>
      <c r="K202" s="642"/>
      <c r="L202" s="642"/>
    </row>
    <row r="203" spans="2:12" x14ac:dyDescent="0.25">
      <c r="B203" s="19">
        <f t="shared" si="2"/>
        <v>188</v>
      </c>
      <c r="C203" s="19"/>
      <c r="D203" s="19"/>
      <c r="E203" s="19"/>
      <c r="F203" s="19"/>
      <c r="G203" s="20"/>
      <c r="H203" s="35"/>
      <c r="I203" s="35"/>
      <c r="J203" s="642"/>
      <c r="K203" s="642"/>
      <c r="L203" s="642"/>
    </row>
    <row r="204" spans="2:12" x14ac:dyDescent="0.25">
      <c r="B204" s="19">
        <f t="shared" si="2"/>
        <v>189</v>
      </c>
      <c r="C204" s="19"/>
      <c r="D204" s="19"/>
      <c r="E204" s="19"/>
      <c r="F204" s="19"/>
      <c r="G204" s="20"/>
      <c r="H204" s="35"/>
      <c r="I204" s="35"/>
      <c r="J204" s="642"/>
      <c r="K204" s="642"/>
      <c r="L204" s="642"/>
    </row>
    <row r="205" spans="2:12" x14ac:dyDescent="0.25">
      <c r="B205" s="19">
        <f t="shared" si="2"/>
        <v>190</v>
      </c>
      <c r="C205" s="19"/>
      <c r="D205" s="19"/>
      <c r="E205" s="19"/>
      <c r="F205" s="19"/>
      <c r="G205" s="20"/>
      <c r="H205" s="35"/>
      <c r="I205" s="35"/>
      <c r="J205" s="642"/>
      <c r="K205" s="642"/>
      <c r="L205" s="642"/>
    </row>
    <row r="206" spans="2:12" x14ac:dyDescent="0.25">
      <c r="B206" s="19">
        <f t="shared" si="2"/>
        <v>191</v>
      </c>
      <c r="C206" s="19"/>
      <c r="D206" s="19"/>
      <c r="E206" s="19"/>
      <c r="F206" s="19"/>
      <c r="G206" s="20"/>
      <c r="H206" s="35"/>
      <c r="I206" s="35"/>
      <c r="J206" s="642"/>
      <c r="K206" s="642"/>
      <c r="L206" s="642"/>
    </row>
    <row r="207" spans="2:12" x14ac:dyDescent="0.25">
      <c r="B207" s="19">
        <f t="shared" si="2"/>
        <v>192</v>
      </c>
      <c r="C207" s="19"/>
      <c r="D207" s="19"/>
      <c r="E207" s="19"/>
      <c r="F207" s="19"/>
      <c r="G207" s="20"/>
      <c r="H207" s="35"/>
      <c r="I207" s="35"/>
      <c r="J207" s="642"/>
      <c r="K207" s="642"/>
      <c r="L207" s="642"/>
    </row>
    <row r="208" spans="2:12" x14ac:dyDescent="0.25">
      <c r="B208" s="19">
        <f t="shared" si="2"/>
        <v>193</v>
      </c>
      <c r="C208" s="19"/>
      <c r="D208" s="19"/>
      <c r="E208" s="19"/>
      <c r="F208" s="19"/>
      <c r="G208" s="20"/>
      <c r="H208" s="35"/>
      <c r="I208" s="35"/>
      <c r="J208" s="642"/>
      <c r="K208" s="642"/>
      <c r="L208" s="642"/>
    </row>
    <row r="209" spans="2:12" x14ac:dyDescent="0.25">
      <c r="B209" s="19">
        <f t="shared" si="2"/>
        <v>194</v>
      </c>
      <c r="C209" s="19"/>
      <c r="D209" s="19"/>
      <c r="E209" s="19"/>
      <c r="F209" s="19"/>
      <c r="G209" s="20"/>
      <c r="H209" s="35"/>
      <c r="I209" s="35"/>
      <c r="J209" s="642"/>
      <c r="K209" s="642"/>
      <c r="L209" s="642"/>
    </row>
    <row r="210" spans="2:12" x14ac:dyDescent="0.25">
      <c r="B210" s="19">
        <f t="shared" ref="B210:B273" si="3">B209+1</f>
        <v>195</v>
      </c>
      <c r="C210" s="19"/>
      <c r="D210" s="19"/>
      <c r="E210" s="19"/>
      <c r="F210" s="19"/>
      <c r="G210" s="20"/>
      <c r="H210" s="35"/>
      <c r="I210" s="35"/>
      <c r="J210" s="642"/>
      <c r="K210" s="642"/>
      <c r="L210" s="642"/>
    </row>
    <row r="211" spans="2:12" x14ac:dyDescent="0.25">
      <c r="B211" s="19">
        <f t="shared" si="3"/>
        <v>196</v>
      </c>
      <c r="C211" s="19"/>
      <c r="D211" s="19"/>
      <c r="E211" s="19"/>
      <c r="F211" s="19"/>
      <c r="G211" s="20"/>
      <c r="H211" s="35"/>
      <c r="I211" s="35"/>
      <c r="J211" s="642"/>
      <c r="K211" s="642"/>
      <c r="L211" s="642"/>
    </row>
    <row r="212" spans="2:12" x14ac:dyDescent="0.25">
      <c r="B212" s="19">
        <f t="shared" si="3"/>
        <v>197</v>
      </c>
      <c r="C212" s="19"/>
      <c r="D212" s="19"/>
      <c r="E212" s="19"/>
      <c r="F212" s="19"/>
      <c r="G212" s="20"/>
      <c r="H212" s="35"/>
      <c r="I212" s="35"/>
      <c r="J212" s="642"/>
      <c r="K212" s="642"/>
      <c r="L212" s="642"/>
    </row>
    <row r="213" spans="2:12" x14ac:dyDescent="0.25">
      <c r="B213" s="19">
        <f t="shared" si="3"/>
        <v>198</v>
      </c>
      <c r="C213" s="19"/>
      <c r="D213" s="19"/>
      <c r="E213" s="19"/>
      <c r="F213" s="19"/>
      <c r="G213" s="20"/>
      <c r="H213" s="35"/>
      <c r="I213" s="35"/>
      <c r="J213" s="642"/>
      <c r="K213" s="642"/>
      <c r="L213" s="642"/>
    </row>
    <row r="214" spans="2:12" x14ac:dyDescent="0.25">
      <c r="B214" s="19">
        <f t="shared" si="3"/>
        <v>199</v>
      </c>
      <c r="C214" s="19"/>
      <c r="D214" s="19"/>
      <c r="E214" s="19"/>
      <c r="F214" s="19"/>
      <c r="G214" s="20"/>
      <c r="H214" s="35"/>
      <c r="I214" s="35"/>
      <c r="J214" s="642"/>
      <c r="K214" s="642"/>
      <c r="L214" s="642"/>
    </row>
    <row r="215" spans="2:12" x14ac:dyDescent="0.25">
      <c r="B215" s="19">
        <f t="shared" si="3"/>
        <v>200</v>
      </c>
      <c r="C215" s="19"/>
      <c r="D215" s="19"/>
      <c r="E215" s="19"/>
      <c r="F215" s="19"/>
      <c r="G215" s="20"/>
      <c r="H215" s="35"/>
      <c r="I215" s="35"/>
      <c r="J215" s="642"/>
      <c r="K215" s="642"/>
      <c r="L215" s="642"/>
    </row>
    <row r="216" spans="2:12" x14ac:dyDescent="0.25">
      <c r="B216" s="19">
        <f t="shared" si="3"/>
        <v>201</v>
      </c>
      <c r="C216" s="19"/>
      <c r="D216" s="19"/>
      <c r="E216" s="19"/>
      <c r="F216" s="19"/>
      <c r="G216" s="20"/>
      <c r="H216" s="35"/>
      <c r="I216" s="35"/>
      <c r="J216" s="642"/>
      <c r="K216" s="642"/>
      <c r="L216" s="642"/>
    </row>
    <row r="217" spans="2:12" x14ac:dyDescent="0.25">
      <c r="B217" s="19">
        <f t="shared" si="3"/>
        <v>202</v>
      </c>
      <c r="C217" s="19"/>
      <c r="D217" s="19"/>
      <c r="E217" s="19"/>
      <c r="F217" s="19"/>
      <c r="G217" s="20"/>
      <c r="H217" s="35"/>
      <c r="I217" s="35"/>
      <c r="J217" s="642"/>
      <c r="K217" s="642"/>
      <c r="L217" s="642"/>
    </row>
    <row r="218" spans="2:12" x14ac:dyDescent="0.25">
      <c r="B218" s="19">
        <f t="shared" si="3"/>
        <v>203</v>
      </c>
      <c r="C218" s="19"/>
      <c r="D218" s="19"/>
      <c r="E218" s="19"/>
      <c r="F218" s="19"/>
      <c r="G218" s="20"/>
      <c r="H218" s="35"/>
      <c r="I218" s="35"/>
      <c r="J218" s="642"/>
      <c r="K218" s="642"/>
      <c r="L218" s="642"/>
    </row>
    <row r="219" spans="2:12" x14ac:dyDescent="0.25">
      <c r="B219" s="19">
        <f t="shared" si="3"/>
        <v>204</v>
      </c>
      <c r="C219" s="19"/>
      <c r="D219" s="19"/>
      <c r="E219" s="19"/>
      <c r="F219" s="19"/>
      <c r="G219" s="20"/>
      <c r="H219" s="35"/>
      <c r="I219" s="35"/>
      <c r="J219" s="642"/>
      <c r="K219" s="642"/>
      <c r="L219" s="642"/>
    </row>
    <row r="220" spans="2:12" x14ac:dyDescent="0.25">
      <c r="B220" s="19">
        <f t="shared" si="3"/>
        <v>205</v>
      </c>
      <c r="C220" s="19"/>
      <c r="D220" s="19"/>
      <c r="E220" s="19"/>
      <c r="F220" s="19"/>
      <c r="G220" s="20"/>
      <c r="H220" s="35"/>
      <c r="I220" s="35"/>
      <c r="J220" s="642"/>
      <c r="K220" s="642"/>
      <c r="L220" s="642"/>
    </row>
    <row r="221" spans="2:12" x14ac:dyDescent="0.25">
      <c r="B221" s="19">
        <f t="shared" si="3"/>
        <v>206</v>
      </c>
      <c r="C221" s="19"/>
      <c r="D221" s="19"/>
      <c r="E221" s="19"/>
      <c r="F221" s="19"/>
      <c r="G221" s="20"/>
      <c r="H221" s="35"/>
      <c r="I221" s="35"/>
      <c r="J221" s="642"/>
      <c r="K221" s="642"/>
      <c r="L221" s="642"/>
    </row>
    <row r="222" spans="2:12" x14ac:dyDescent="0.25">
      <c r="B222" s="19">
        <f t="shared" si="3"/>
        <v>207</v>
      </c>
      <c r="C222" s="19"/>
      <c r="D222" s="19"/>
      <c r="E222" s="19"/>
      <c r="F222" s="19"/>
      <c r="G222" s="20"/>
      <c r="H222" s="35"/>
      <c r="I222" s="35"/>
      <c r="J222" s="642"/>
      <c r="K222" s="642"/>
      <c r="L222" s="642"/>
    </row>
    <row r="223" spans="2:12" x14ac:dyDescent="0.25">
      <c r="B223" s="19">
        <f t="shared" si="3"/>
        <v>208</v>
      </c>
      <c r="C223" s="19"/>
      <c r="D223" s="19"/>
      <c r="E223" s="19"/>
      <c r="F223" s="19"/>
      <c r="G223" s="20"/>
      <c r="H223" s="35"/>
      <c r="I223" s="35"/>
      <c r="J223" s="642"/>
      <c r="K223" s="642"/>
      <c r="L223" s="642"/>
    </row>
    <row r="224" spans="2:12" x14ac:dyDescent="0.25">
      <c r="B224" s="19">
        <f t="shared" si="3"/>
        <v>209</v>
      </c>
      <c r="C224" s="19"/>
      <c r="D224" s="19"/>
      <c r="E224" s="19"/>
      <c r="F224" s="19"/>
      <c r="G224" s="20"/>
      <c r="H224" s="35"/>
      <c r="I224" s="35"/>
      <c r="J224" s="642"/>
      <c r="K224" s="642"/>
      <c r="L224" s="642"/>
    </row>
    <row r="225" spans="2:12" x14ac:dyDescent="0.25">
      <c r="B225" s="19">
        <f t="shared" si="3"/>
        <v>210</v>
      </c>
      <c r="C225" s="19"/>
      <c r="D225" s="19"/>
      <c r="E225" s="19"/>
      <c r="F225" s="19"/>
      <c r="G225" s="20"/>
      <c r="H225" s="35"/>
      <c r="I225" s="35"/>
      <c r="J225" s="642"/>
      <c r="K225" s="642"/>
      <c r="L225" s="642"/>
    </row>
    <row r="226" spans="2:12" x14ac:dyDescent="0.25">
      <c r="B226" s="19">
        <f t="shared" si="3"/>
        <v>211</v>
      </c>
      <c r="C226" s="19"/>
      <c r="D226" s="19"/>
      <c r="E226" s="19"/>
      <c r="F226" s="19"/>
      <c r="G226" s="20"/>
      <c r="H226" s="35"/>
      <c r="I226" s="35"/>
      <c r="J226" s="642"/>
      <c r="K226" s="642"/>
      <c r="L226" s="642"/>
    </row>
    <row r="227" spans="2:12" x14ac:dyDescent="0.25">
      <c r="B227" s="19">
        <f t="shared" si="3"/>
        <v>212</v>
      </c>
      <c r="C227" s="19"/>
      <c r="D227" s="19"/>
      <c r="E227" s="19"/>
      <c r="F227" s="19"/>
      <c r="G227" s="20"/>
      <c r="H227" s="35"/>
      <c r="I227" s="35"/>
      <c r="J227" s="642"/>
      <c r="K227" s="642"/>
      <c r="L227" s="642"/>
    </row>
    <row r="228" spans="2:12" x14ac:dyDescent="0.25">
      <c r="B228" s="19">
        <f t="shared" si="3"/>
        <v>213</v>
      </c>
      <c r="C228" s="19"/>
      <c r="D228" s="19"/>
      <c r="E228" s="19"/>
      <c r="F228" s="19"/>
      <c r="G228" s="20"/>
      <c r="H228" s="35"/>
      <c r="I228" s="35"/>
      <c r="J228" s="642"/>
      <c r="K228" s="642"/>
      <c r="L228" s="642"/>
    </row>
    <row r="229" spans="2:12" x14ac:dyDescent="0.25">
      <c r="B229" s="19">
        <f t="shared" si="3"/>
        <v>214</v>
      </c>
      <c r="C229" s="19"/>
      <c r="D229" s="19"/>
      <c r="E229" s="19"/>
      <c r="F229" s="19"/>
      <c r="G229" s="20"/>
      <c r="H229" s="35"/>
      <c r="I229" s="35"/>
      <c r="J229" s="642"/>
      <c r="K229" s="642"/>
      <c r="L229" s="642"/>
    </row>
    <row r="230" spans="2:12" x14ac:dyDescent="0.25">
      <c r="B230" s="19">
        <f t="shared" si="3"/>
        <v>215</v>
      </c>
      <c r="C230" s="19"/>
      <c r="D230" s="19"/>
      <c r="E230" s="19"/>
      <c r="F230" s="19"/>
      <c r="G230" s="20"/>
      <c r="H230" s="35"/>
      <c r="I230" s="35"/>
      <c r="J230" s="642"/>
      <c r="K230" s="642"/>
      <c r="L230" s="642"/>
    </row>
    <row r="231" spans="2:12" x14ac:dyDescent="0.25">
      <c r="B231" s="19">
        <f t="shared" si="3"/>
        <v>216</v>
      </c>
      <c r="C231" s="19"/>
      <c r="D231" s="19"/>
      <c r="E231" s="19"/>
      <c r="F231" s="19"/>
      <c r="G231" s="20"/>
      <c r="H231" s="35"/>
      <c r="I231" s="35"/>
      <c r="J231" s="642"/>
      <c r="K231" s="642"/>
      <c r="L231" s="642"/>
    </row>
    <row r="232" spans="2:12" x14ac:dyDescent="0.25">
      <c r="B232" s="19">
        <f t="shared" si="3"/>
        <v>217</v>
      </c>
      <c r="C232" s="19"/>
      <c r="D232" s="19"/>
      <c r="E232" s="19"/>
      <c r="F232" s="19"/>
      <c r="G232" s="20"/>
      <c r="H232" s="35"/>
      <c r="I232" s="35"/>
      <c r="J232" s="642"/>
      <c r="K232" s="642"/>
      <c r="L232" s="642"/>
    </row>
    <row r="233" spans="2:12" x14ac:dyDescent="0.25">
      <c r="B233" s="19">
        <f t="shared" si="3"/>
        <v>218</v>
      </c>
      <c r="C233" s="19"/>
      <c r="D233" s="19"/>
      <c r="E233" s="19"/>
      <c r="F233" s="19"/>
      <c r="G233" s="20"/>
      <c r="H233" s="35"/>
      <c r="I233" s="35"/>
      <c r="J233" s="642"/>
      <c r="K233" s="642"/>
      <c r="L233" s="642"/>
    </row>
    <row r="234" spans="2:12" x14ac:dyDescent="0.25">
      <c r="B234" s="19">
        <f t="shared" si="3"/>
        <v>219</v>
      </c>
      <c r="C234" s="19"/>
      <c r="D234" s="19"/>
      <c r="E234" s="19"/>
      <c r="F234" s="19"/>
      <c r="G234" s="20"/>
      <c r="H234" s="35"/>
      <c r="I234" s="35"/>
      <c r="J234" s="642"/>
      <c r="K234" s="642"/>
      <c r="L234" s="642"/>
    </row>
    <row r="235" spans="2:12" x14ac:dyDescent="0.25">
      <c r="B235" s="19">
        <f t="shared" si="3"/>
        <v>220</v>
      </c>
      <c r="C235" s="19"/>
      <c r="D235" s="19"/>
      <c r="E235" s="19"/>
      <c r="F235" s="19"/>
      <c r="G235" s="20"/>
      <c r="H235" s="35"/>
      <c r="I235" s="35"/>
      <c r="J235" s="642"/>
      <c r="K235" s="642"/>
      <c r="L235" s="642"/>
    </row>
    <row r="236" spans="2:12" x14ac:dyDescent="0.25">
      <c r="B236" s="19">
        <f t="shared" si="3"/>
        <v>221</v>
      </c>
      <c r="C236" s="19"/>
      <c r="D236" s="19"/>
      <c r="E236" s="19"/>
      <c r="F236" s="19"/>
      <c r="G236" s="20"/>
      <c r="H236" s="35"/>
      <c r="I236" s="35"/>
      <c r="J236" s="642"/>
      <c r="K236" s="642"/>
      <c r="L236" s="642"/>
    </row>
    <row r="237" spans="2:12" x14ac:dyDescent="0.25">
      <c r="B237" s="19">
        <f t="shared" si="3"/>
        <v>222</v>
      </c>
      <c r="C237" s="19"/>
      <c r="D237" s="19"/>
      <c r="E237" s="19"/>
      <c r="F237" s="19"/>
      <c r="G237" s="20"/>
      <c r="H237" s="35"/>
      <c r="I237" s="35"/>
      <c r="J237" s="642"/>
      <c r="K237" s="642"/>
      <c r="L237" s="642"/>
    </row>
    <row r="238" spans="2:12" x14ac:dyDescent="0.25">
      <c r="B238" s="19">
        <f t="shared" si="3"/>
        <v>223</v>
      </c>
      <c r="C238" s="19"/>
      <c r="D238" s="19"/>
      <c r="E238" s="19"/>
      <c r="F238" s="19"/>
      <c r="G238" s="20"/>
      <c r="H238" s="35"/>
      <c r="I238" s="35"/>
      <c r="J238" s="642"/>
      <c r="K238" s="642"/>
      <c r="L238" s="642"/>
    </row>
    <row r="239" spans="2:12" x14ac:dyDescent="0.25">
      <c r="B239" s="19">
        <f t="shared" si="3"/>
        <v>224</v>
      </c>
      <c r="C239" s="19"/>
      <c r="D239" s="19"/>
      <c r="E239" s="19"/>
      <c r="F239" s="19"/>
      <c r="G239" s="20"/>
      <c r="H239" s="35"/>
      <c r="I239" s="35"/>
      <c r="J239" s="642"/>
      <c r="K239" s="642"/>
      <c r="L239" s="642"/>
    </row>
    <row r="240" spans="2:12" x14ac:dyDescent="0.25">
      <c r="B240" s="19">
        <f t="shared" si="3"/>
        <v>225</v>
      </c>
      <c r="C240" s="19"/>
      <c r="D240" s="19"/>
      <c r="E240" s="19"/>
      <c r="F240" s="19"/>
      <c r="G240" s="20"/>
      <c r="H240" s="35"/>
      <c r="I240" s="35"/>
      <c r="J240" s="642"/>
      <c r="K240" s="642"/>
      <c r="L240" s="642"/>
    </row>
    <row r="241" spans="2:12" x14ac:dyDescent="0.25">
      <c r="B241" s="19">
        <f t="shared" si="3"/>
        <v>226</v>
      </c>
      <c r="C241" s="19"/>
      <c r="D241" s="19"/>
      <c r="E241" s="19"/>
      <c r="F241" s="19"/>
      <c r="G241" s="20"/>
      <c r="H241" s="35"/>
      <c r="I241" s="35"/>
      <c r="J241" s="642"/>
      <c r="K241" s="642"/>
      <c r="L241" s="642"/>
    </row>
    <row r="242" spans="2:12" x14ac:dyDescent="0.25">
      <c r="B242" s="19">
        <f t="shared" si="3"/>
        <v>227</v>
      </c>
      <c r="C242" s="19"/>
      <c r="D242" s="19"/>
      <c r="E242" s="19"/>
      <c r="F242" s="19"/>
      <c r="G242" s="20"/>
      <c r="H242" s="35"/>
      <c r="I242" s="35"/>
      <c r="J242" s="642"/>
      <c r="K242" s="642"/>
      <c r="L242" s="642"/>
    </row>
    <row r="243" spans="2:12" x14ac:dyDescent="0.25">
      <c r="B243" s="19">
        <f t="shared" si="3"/>
        <v>228</v>
      </c>
      <c r="C243" s="19"/>
      <c r="D243" s="19"/>
      <c r="E243" s="19"/>
      <c r="F243" s="19"/>
      <c r="G243" s="20"/>
      <c r="H243" s="35"/>
      <c r="I243" s="35"/>
      <c r="J243" s="642"/>
      <c r="K243" s="642"/>
      <c r="L243" s="642"/>
    </row>
    <row r="244" spans="2:12" x14ac:dyDescent="0.25">
      <c r="B244" s="19">
        <f t="shared" si="3"/>
        <v>229</v>
      </c>
      <c r="C244" s="19"/>
      <c r="D244" s="19"/>
      <c r="E244" s="19"/>
      <c r="F244" s="19"/>
      <c r="G244" s="20"/>
      <c r="H244" s="35"/>
      <c r="I244" s="35"/>
      <c r="J244" s="642"/>
      <c r="K244" s="642"/>
      <c r="L244" s="642"/>
    </row>
    <row r="245" spans="2:12" x14ac:dyDescent="0.25">
      <c r="B245" s="19">
        <f t="shared" si="3"/>
        <v>230</v>
      </c>
      <c r="C245" s="19"/>
      <c r="D245" s="19"/>
      <c r="E245" s="19"/>
      <c r="F245" s="19"/>
      <c r="G245" s="20"/>
      <c r="H245" s="35"/>
      <c r="I245" s="35"/>
      <c r="J245" s="642"/>
      <c r="K245" s="642"/>
      <c r="L245" s="642"/>
    </row>
    <row r="246" spans="2:12" x14ac:dyDescent="0.25">
      <c r="B246" s="19">
        <f t="shared" si="3"/>
        <v>231</v>
      </c>
      <c r="C246" s="19"/>
      <c r="D246" s="19"/>
      <c r="E246" s="19"/>
      <c r="F246" s="19"/>
      <c r="G246" s="20"/>
      <c r="H246" s="35"/>
      <c r="I246" s="35"/>
      <c r="J246" s="642"/>
      <c r="K246" s="642"/>
      <c r="L246" s="642"/>
    </row>
    <row r="247" spans="2:12" x14ac:dyDescent="0.25">
      <c r="B247" s="19">
        <f t="shared" si="3"/>
        <v>232</v>
      </c>
      <c r="C247" s="19"/>
      <c r="D247" s="19"/>
      <c r="E247" s="19"/>
      <c r="F247" s="19"/>
      <c r="G247" s="20"/>
      <c r="H247" s="35"/>
      <c r="I247" s="35"/>
      <c r="J247" s="642"/>
      <c r="K247" s="642"/>
      <c r="L247" s="642"/>
    </row>
    <row r="248" spans="2:12" x14ac:dyDescent="0.25">
      <c r="B248" s="19">
        <f t="shared" si="3"/>
        <v>233</v>
      </c>
      <c r="C248" s="19"/>
      <c r="D248" s="19"/>
      <c r="E248" s="19"/>
      <c r="F248" s="19"/>
      <c r="G248" s="20"/>
      <c r="H248" s="35"/>
      <c r="I248" s="35"/>
      <c r="J248" s="642"/>
      <c r="K248" s="642"/>
      <c r="L248" s="642"/>
    </row>
    <row r="249" spans="2:12" x14ac:dyDescent="0.25">
      <c r="B249" s="19">
        <f t="shared" si="3"/>
        <v>234</v>
      </c>
      <c r="C249" s="19"/>
      <c r="D249" s="19"/>
      <c r="E249" s="19"/>
      <c r="F249" s="19"/>
      <c r="G249" s="20"/>
      <c r="H249" s="35"/>
      <c r="I249" s="35"/>
      <c r="J249" s="642"/>
      <c r="K249" s="642"/>
      <c r="L249" s="642"/>
    </row>
    <row r="250" spans="2:12" x14ac:dyDescent="0.25">
      <c r="B250" s="19">
        <f t="shared" si="3"/>
        <v>235</v>
      </c>
      <c r="C250" s="19"/>
      <c r="D250" s="19"/>
      <c r="E250" s="19"/>
      <c r="F250" s="19"/>
      <c r="G250" s="20"/>
      <c r="H250" s="35"/>
      <c r="I250" s="35"/>
      <c r="J250" s="642"/>
      <c r="K250" s="642"/>
      <c r="L250" s="642"/>
    </row>
    <row r="251" spans="2:12" x14ac:dyDescent="0.25">
      <c r="B251" s="19">
        <f t="shared" si="3"/>
        <v>236</v>
      </c>
      <c r="C251" s="19"/>
      <c r="D251" s="19"/>
      <c r="E251" s="19"/>
      <c r="F251" s="19"/>
      <c r="G251" s="20"/>
      <c r="H251" s="35"/>
      <c r="I251" s="35"/>
      <c r="J251" s="642"/>
      <c r="K251" s="642"/>
      <c r="L251" s="642"/>
    </row>
    <row r="252" spans="2:12" x14ac:dyDescent="0.25">
      <c r="B252" s="19">
        <f t="shared" si="3"/>
        <v>237</v>
      </c>
      <c r="C252" s="19"/>
      <c r="D252" s="19"/>
      <c r="E252" s="19"/>
      <c r="F252" s="19"/>
      <c r="G252" s="20"/>
      <c r="H252" s="35"/>
      <c r="I252" s="35"/>
      <c r="J252" s="642"/>
      <c r="K252" s="642"/>
      <c r="L252" s="642"/>
    </row>
    <row r="253" spans="2:12" x14ac:dyDescent="0.25">
      <c r="B253" s="19">
        <f t="shared" si="3"/>
        <v>238</v>
      </c>
      <c r="C253" s="19"/>
      <c r="D253" s="19"/>
      <c r="E253" s="19"/>
      <c r="F253" s="19"/>
      <c r="G253" s="20"/>
      <c r="H253" s="35"/>
      <c r="I253" s="35"/>
      <c r="J253" s="642"/>
      <c r="K253" s="642"/>
      <c r="L253" s="642"/>
    </row>
    <row r="254" spans="2:12" x14ac:dyDescent="0.25">
      <c r="B254" s="19">
        <f t="shared" si="3"/>
        <v>239</v>
      </c>
      <c r="C254" s="19"/>
      <c r="D254" s="19"/>
      <c r="E254" s="19"/>
      <c r="F254" s="19"/>
      <c r="G254" s="20"/>
      <c r="H254" s="35"/>
      <c r="I254" s="35"/>
      <c r="J254" s="642"/>
      <c r="K254" s="642"/>
      <c r="L254" s="642"/>
    </row>
    <row r="255" spans="2:12" x14ac:dyDescent="0.25">
      <c r="B255" s="19">
        <f t="shared" si="3"/>
        <v>240</v>
      </c>
      <c r="C255" s="19"/>
      <c r="D255" s="19"/>
      <c r="E255" s="19"/>
      <c r="F255" s="19"/>
      <c r="G255" s="20"/>
      <c r="H255" s="35"/>
      <c r="I255" s="35"/>
      <c r="J255" s="642"/>
      <c r="K255" s="642"/>
      <c r="L255" s="642"/>
    </row>
    <row r="256" spans="2:12" x14ac:dyDescent="0.25">
      <c r="B256" s="19">
        <f t="shared" si="3"/>
        <v>241</v>
      </c>
      <c r="C256" s="19"/>
      <c r="D256" s="19"/>
      <c r="E256" s="19"/>
      <c r="F256" s="19"/>
      <c r="G256" s="20"/>
      <c r="H256" s="35"/>
      <c r="I256" s="35"/>
      <c r="J256" s="642"/>
      <c r="K256" s="642"/>
      <c r="L256" s="642"/>
    </row>
    <row r="257" spans="2:12" x14ac:dyDescent="0.25">
      <c r="B257" s="19">
        <f t="shared" si="3"/>
        <v>242</v>
      </c>
      <c r="C257" s="19"/>
      <c r="D257" s="19"/>
      <c r="E257" s="19"/>
      <c r="F257" s="19"/>
      <c r="G257" s="20"/>
      <c r="H257" s="35"/>
      <c r="I257" s="35"/>
      <c r="J257" s="642"/>
      <c r="K257" s="642"/>
      <c r="L257" s="642"/>
    </row>
    <row r="258" spans="2:12" x14ac:dyDescent="0.25">
      <c r="B258" s="19">
        <f t="shared" si="3"/>
        <v>243</v>
      </c>
      <c r="C258" s="19"/>
      <c r="D258" s="19"/>
      <c r="E258" s="19"/>
      <c r="F258" s="19"/>
      <c r="G258" s="20"/>
      <c r="H258" s="35"/>
      <c r="I258" s="35"/>
      <c r="J258" s="642"/>
      <c r="K258" s="642"/>
      <c r="L258" s="642"/>
    </row>
    <row r="259" spans="2:12" x14ac:dyDescent="0.25">
      <c r="B259" s="19">
        <f t="shared" si="3"/>
        <v>244</v>
      </c>
      <c r="C259" s="19"/>
      <c r="D259" s="19"/>
      <c r="E259" s="19"/>
      <c r="F259" s="19"/>
      <c r="G259" s="20"/>
      <c r="H259" s="35"/>
      <c r="I259" s="35"/>
      <c r="J259" s="642"/>
      <c r="K259" s="642"/>
      <c r="L259" s="642"/>
    </row>
    <row r="260" spans="2:12" x14ac:dyDescent="0.25">
      <c r="B260" s="19">
        <f t="shared" si="3"/>
        <v>245</v>
      </c>
      <c r="C260" s="19"/>
      <c r="D260" s="19"/>
      <c r="E260" s="19"/>
      <c r="F260" s="19"/>
      <c r="G260" s="20"/>
      <c r="H260" s="35"/>
      <c r="I260" s="35"/>
      <c r="J260" s="642"/>
      <c r="K260" s="642"/>
      <c r="L260" s="642"/>
    </row>
    <row r="261" spans="2:12" x14ac:dyDescent="0.25">
      <c r="B261" s="19">
        <f t="shared" si="3"/>
        <v>246</v>
      </c>
      <c r="C261" s="19"/>
      <c r="D261" s="19"/>
      <c r="E261" s="19"/>
      <c r="F261" s="19"/>
      <c r="G261" s="20"/>
      <c r="H261" s="35"/>
      <c r="I261" s="35"/>
      <c r="J261" s="642"/>
      <c r="K261" s="642"/>
      <c r="L261" s="642"/>
    </row>
    <row r="262" spans="2:12" x14ac:dyDescent="0.25">
      <c r="B262" s="19">
        <f t="shared" si="3"/>
        <v>247</v>
      </c>
      <c r="C262" s="19"/>
      <c r="D262" s="19"/>
      <c r="E262" s="19"/>
      <c r="F262" s="19"/>
      <c r="G262" s="20"/>
      <c r="H262" s="35"/>
      <c r="I262" s="35"/>
      <c r="J262" s="642"/>
      <c r="K262" s="642"/>
      <c r="L262" s="642"/>
    </row>
    <row r="263" spans="2:12" x14ac:dyDescent="0.25">
      <c r="B263" s="19">
        <f t="shared" si="3"/>
        <v>248</v>
      </c>
      <c r="C263" s="19"/>
      <c r="D263" s="19"/>
      <c r="E263" s="19"/>
      <c r="F263" s="19"/>
      <c r="G263" s="20"/>
      <c r="H263" s="35"/>
      <c r="I263" s="35"/>
      <c r="J263" s="642"/>
      <c r="K263" s="642"/>
      <c r="L263" s="642"/>
    </row>
    <row r="264" spans="2:12" x14ac:dyDescent="0.25">
      <c r="B264" s="19">
        <f t="shared" si="3"/>
        <v>249</v>
      </c>
      <c r="C264" s="19"/>
      <c r="D264" s="19"/>
      <c r="E264" s="19"/>
      <c r="F264" s="19"/>
      <c r="G264" s="20"/>
      <c r="H264" s="35"/>
      <c r="I264" s="35"/>
      <c r="J264" s="642"/>
      <c r="K264" s="642"/>
      <c r="L264" s="642"/>
    </row>
    <row r="265" spans="2:12" x14ac:dyDescent="0.25">
      <c r="B265" s="19">
        <f t="shared" si="3"/>
        <v>250</v>
      </c>
      <c r="C265" s="19"/>
      <c r="D265" s="19"/>
      <c r="E265" s="19"/>
      <c r="F265" s="19"/>
      <c r="G265" s="20"/>
      <c r="H265" s="35"/>
      <c r="I265" s="35"/>
      <c r="J265" s="642"/>
      <c r="K265" s="642"/>
      <c r="L265" s="642"/>
    </row>
    <row r="266" spans="2:12" x14ac:dyDescent="0.25">
      <c r="B266" s="19">
        <f t="shared" si="3"/>
        <v>251</v>
      </c>
      <c r="C266" s="19"/>
      <c r="D266" s="19"/>
      <c r="E266" s="19"/>
      <c r="F266" s="19"/>
      <c r="G266" s="20"/>
      <c r="H266" s="35"/>
      <c r="I266" s="35"/>
      <c r="J266" s="642"/>
      <c r="K266" s="642"/>
      <c r="L266" s="642"/>
    </row>
    <row r="267" spans="2:12" x14ac:dyDescent="0.25">
      <c r="B267" s="19">
        <f t="shared" si="3"/>
        <v>252</v>
      </c>
      <c r="C267" s="19"/>
      <c r="D267" s="19"/>
      <c r="E267" s="19"/>
      <c r="F267" s="19"/>
      <c r="G267" s="20"/>
      <c r="H267" s="35"/>
      <c r="I267" s="35"/>
      <c r="J267" s="642"/>
      <c r="K267" s="642"/>
      <c r="L267" s="642"/>
    </row>
    <row r="268" spans="2:12" x14ac:dyDescent="0.25">
      <c r="B268" s="19">
        <f t="shared" si="3"/>
        <v>253</v>
      </c>
      <c r="C268" s="19"/>
      <c r="D268" s="19"/>
      <c r="E268" s="19"/>
      <c r="F268" s="19"/>
      <c r="G268" s="20"/>
      <c r="H268" s="35"/>
      <c r="I268" s="35"/>
      <c r="J268" s="642"/>
      <c r="K268" s="642"/>
      <c r="L268" s="642"/>
    </row>
    <row r="269" spans="2:12" x14ac:dyDescent="0.25">
      <c r="B269" s="19">
        <f t="shared" si="3"/>
        <v>254</v>
      </c>
      <c r="C269" s="19"/>
      <c r="D269" s="19"/>
      <c r="E269" s="19"/>
      <c r="F269" s="19"/>
      <c r="G269" s="20"/>
      <c r="H269" s="35"/>
      <c r="I269" s="35"/>
      <c r="J269" s="642"/>
      <c r="K269" s="642"/>
      <c r="L269" s="642"/>
    </row>
    <row r="270" spans="2:12" x14ac:dyDescent="0.25">
      <c r="B270" s="19">
        <f t="shared" si="3"/>
        <v>255</v>
      </c>
      <c r="C270" s="19"/>
      <c r="D270" s="19"/>
      <c r="E270" s="19"/>
      <c r="F270" s="19"/>
      <c r="G270" s="20"/>
      <c r="H270" s="35"/>
      <c r="I270" s="35"/>
      <c r="J270" s="642"/>
      <c r="K270" s="642"/>
      <c r="L270" s="642"/>
    </row>
    <row r="271" spans="2:12" x14ac:dyDescent="0.25">
      <c r="B271" s="19">
        <f t="shared" si="3"/>
        <v>256</v>
      </c>
      <c r="C271" s="19"/>
      <c r="D271" s="19"/>
      <c r="E271" s="19"/>
      <c r="F271" s="19"/>
      <c r="G271" s="20"/>
      <c r="H271" s="35"/>
      <c r="I271" s="35"/>
      <c r="J271" s="642"/>
      <c r="K271" s="642"/>
      <c r="L271" s="642"/>
    </row>
    <row r="272" spans="2:12" x14ac:dyDescent="0.25">
      <c r="B272" s="19">
        <f t="shared" si="3"/>
        <v>257</v>
      </c>
      <c r="C272" s="19"/>
      <c r="D272" s="19"/>
      <c r="E272" s="19"/>
      <c r="F272" s="19"/>
      <c r="G272" s="20"/>
      <c r="H272" s="35"/>
      <c r="I272" s="35"/>
      <c r="J272" s="642"/>
      <c r="K272" s="642"/>
      <c r="L272" s="642"/>
    </row>
    <row r="273" spans="2:12" x14ac:dyDescent="0.25">
      <c r="B273" s="19">
        <f t="shared" si="3"/>
        <v>258</v>
      </c>
      <c r="C273" s="19"/>
      <c r="D273" s="19"/>
      <c r="E273" s="19"/>
      <c r="F273" s="19"/>
      <c r="G273" s="20"/>
      <c r="H273" s="35"/>
      <c r="I273" s="35"/>
      <c r="J273" s="642"/>
      <c r="K273" s="642"/>
      <c r="L273" s="642"/>
    </row>
    <row r="274" spans="2:12" x14ac:dyDescent="0.25">
      <c r="B274" s="19">
        <f t="shared" ref="B274:B313" si="4">B273+1</f>
        <v>259</v>
      </c>
      <c r="C274" s="19"/>
      <c r="D274" s="19"/>
      <c r="E274" s="19"/>
      <c r="F274" s="19"/>
      <c r="G274" s="20"/>
      <c r="H274" s="35"/>
      <c r="I274" s="35"/>
      <c r="J274" s="642"/>
      <c r="K274" s="642"/>
      <c r="L274" s="642"/>
    </row>
    <row r="275" spans="2:12" x14ac:dyDescent="0.25">
      <c r="B275" s="19">
        <f t="shared" si="4"/>
        <v>260</v>
      </c>
      <c r="C275" s="19"/>
      <c r="D275" s="19"/>
      <c r="E275" s="19"/>
      <c r="F275" s="19"/>
      <c r="G275" s="20"/>
      <c r="H275" s="35"/>
      <c r="I275" s="35"/>
      <c r="J275" s="642"/>
      <c r="K275" s="642"/>
      <c r="L275" s="642"/>
    </row>
    <row r="276" spans="2:12" x14ac:dyDescent="0.25">
      <c r="B276" s="19">
        <f t="shared" si="4"/>
        <v>261</v>
      </c>
      <c r="C276" s="19"/>
      <c r="D276" s="19"/>
      <c r="E276" s="19"/>
      <c r="F276" s="19"/>
      <c r="G276" s="20"/>
      <c r="H276" s="35"/>
      <c r="I276" s="35"/>
      <c r="J276" s="642"/>
      <c r="K276" s="642"/>
      <c r="L276" s="642"/>
    </row>
    <row r="277" spans="2:12" x14ac:dyDescent="0.25">
      <c r="B277" s="19">
        <f t="shared" si="4"/>
        <v>262</v>
      </c>
      <c r="C277" s="19"/>
      <c r="D277" s="19"/>
      <c r="E277" s="19"/>
      <c r="F277" s="19"/>
      <c r="G277" s="20"/>
      <c r="H277" s="35"/>
      <c r="I277" s="35"/>
      <c r="J277" s="642"/>
      <c r="K277" s="642"/>
      <c r="L277" s="642"/>
    </row>
    <row r="278" spans="2:12" x14ac:dyDescent="0.25">
      <c r="B278" s="19">
        <f t="shared" si="4"/>
        <v>263</v>
      </c>
      <c r="C278" s="19"/>
      <c r="D278" s="19"/>
      <c r="E278" s="19"/>
      <c r="F278" s="19"/>
      <c r="G278" s="20"/>
      <c r="H278" s="35"/>
      <c r="I278" s="35"/>
      <c r="J278" s="642"/>
      <c r="K278" s="642"/>
      <c r="L278" s="642"/>
    </row>
    <row r="279" spans="2:12" x14ac:dyDescent="0.25">
      <c r="B279" s="19">
        <f t="shared" si="4"/>
        <v>264</v>
      </c>
      <c r="C279" s="19"/>
      <c r="D279" s="19"/>
      <c r="E279" s="19"/>
      <c r="F279" s="19"/>
      <c r="G279" s="20"/>
      <c r="H279" s="35"/>
      <c r="I279" s="35"/>
      <c r="J279" s="642"/>
      <c r="K279" s="642"/>
      <c r="L279" s="642"/>
    </row>
    <row r="280" spans="2:12" x14ac:dyDescent="0.25">
      <c r="B280" s="19">
        <f t="shared" si="4"/>
        <v>265</v>
      </c>
      <c r="C280" s="19"/>
      <c r="D280" s="19"/>
      <c r="E280" s="19"/>
      <c r="F280" s="19"/>
      <c r="G280" s="20"/>
      <c r="H280" s="35"/>
      <c r="I280" s="35"/>
      <c r="J280" s="642"/>
      <c r="K280" s="642"/>
      <c r="L280" s="642"/>
    </row>
    <row r="281" spans="2:12" x14ac:dyDescent="0.25">
      <c r="B281" s="19">
        <f t="shared" si="4"/>
        <v>266</v>
      </c>
      <c r="C281" s="19"/>
      <c r="D281" s="19"/>
      <c r="E281" s="19"/>
      <c r="F281" s="19"/>
      <c r="G281" s="20"/>
      <c r="H281" s="35"/>
      <c r="I281" s="35"/>
      <c r="J281" s="642"/>
      <c r="K281" s="642"/>
      <c r="L281" s="642"/>
    </row>
    <row r="282" spans="2:12" x14ac:dyDescent="0.25">
      <c r="B282" s="19">
        <f t="shared" si="4"/>
        <v>267</v>
      </c>
      <c r="C282" s="19"/>
      <c r="D282" s="19"/>
      <c r="E282" s="19"/>
      <c r="F282" s="19"/>
      <c r="G282" s="20"/>
      <c r="H282" s="35"/>
      <c r="I282" s="35"/>
      <c r="J282" s="642"/>
      <c r="K282" s="642"/>
      <c r="L282" s="642"/>
    </row>
    <row r="283" spans="2:12" x14ac:dyDescent="0.25">
      <c r="B283" s="19">
        <f t="shared" si="4"/>
        <v>268</v>
      </c>
      <c r="C283" s="19"/>
      <c r="D283" s="19"/>
      <c r="E283" s="19"/>
      <c r="F283" s="19"/>
      <c r="G283" s="20"/>
      <c r="H283" s="35"/>
      <c r="I283" s="35"/>
      <c r="J283" s="642"/>
      <c r="K283" s="642"/>
      <c r="L283" s="642"/>
    </row>
    <row r="284" spans="2:12" x14ac:dyDescent="0.25">
      <c r="B284" s="19">
        <f t="shared" si="4"/>
        <v>269</v>
      </c>
      <c r="C284" s="19"/>
      <c r="D284" s="19"/>
      <c r="E284" s="19"/>
      <c r="F284" s="19"/>
      <c r="G284" s="20"/>
      <c r="H284" s="35"/>
      <c r="I284" s="35"/>
      <c r="J284" s="642"/>
      <c r="K284" s="642"/>
      <c r="L284" s="642"/>
    </row>
    <row r="285" spans="2:12" x14ac:dyDescent="0.25">
      <c r="B285" s="19">
        <f t="shared" si="4"/>
        <v>270</v>
      </c>
      <c r="C285" s="19"/>
      <c r="D285" s="19"/>
      <c r="E285" s="19"/>
      <c r="F285" s="19"/>
      <c r="G285" s="20"/>
      <c r="H285" s="35"/>
      <c r="I285" s="35"/>
      <c r="J285" s="642"/>
      <c r="K285" s="642"/>
      <c r="L285" s="642"/>
    </row>
    <row r="286" spans="2:12" x14ac:dyDescent="0.25">
      <c r="B286" s="19">
        <f t="shared" si="4"/>
        <v>271</v>
      </c>
      <c r="C286" s="19"/>
      <c r="D286" s="19"/>
      <c r="E286" s="19"/>
      <c r="F286" s="19"/>
      <c r="G286" s="20"/>
      <c r="H286" s="35"/>
      <c r="I286" s="35"/>
      <c r="J286" s="642"/>
      <c r="K286" s="642"/>
      <c r="L286" s="642"/>
    </row>
    <row r="287" spans="2:12" x14ac:dyDescent="0.25">
      <c r="B287" s="19">
        <f t="shared" si="4"/>
        <v>272</v>
      </c>
      <c r="C287" s="19"/>
      <c r="D287" s="19"/>
      <c r="E287" s="19"/>
      <c r="F287" s="19"/>
      <c r="G287" s="20"/>
      <c r="H287" s="35"/>
      <c r="I287" s="35"/>
      <c r="J287" s="642"/>
      <c r="K287" s="642"/>
      <c r="L287" s="642"/>
    </row>
    <row r="288" spans="2:12" x14ac:dyDescent="0.25">
      <c r="B288" s="19">
        <f t="shared" si="4"/>
        <v>273</v>
      </c>
      <c r="C288" s="19"/>
      <c r="D288" s="19"/>
      <c r="E288" s="19"/>
      <c r="F288" s="19"/>
      <c r="G288" s="20"/>
      <c r="H288" s="35"/>
      <c r="I288" s="35"/>
      <c r="J288" s="642"/>
      <c r="K288" s="642"/>
      <c r="L288" s="642"/>
    </row>
    <row r="289" spans="2:12" x14ac:dyDescent="0.25">
      <c r="B289" s="19">
        <f t="shared" si="4"/>
        <v>274</v>
      </c>
      <c r="C289" s="19"/>
      <c r="D289" s="19"/>
      <c r="E289" s="19"/>
      <c r="F289" s="19"/>
      <c r="G289" s="20"/>
      <c r="H289" s="35"/>
      <c r="I289" s="35"/>
      <c r="J289" s="642"/>
      <c r="K289" s="642"/>
      <c r="L289" s="642"/>
    </row>
    <row r="290" spans="2:12" x14ac:dyDescent="0.25">
      <c r="B290" s="19">
        <f t="shared" si="4"/>
        <v>275</v>
      </c>
      <c r="C290" s="19"/>
      <c r="D290" s="19"/>
      <c r="E290" s="19"/>
      <c r="F290" s="19"/>
      <c r="G290" s="20"/>
      <c r="H290" s="35"/>
      <c r="I290" s="35"/>
      <c r="J290" s="642"/>
      <c r="K290" s="642"/>
      <c r="L290" s="642"/>
    </row>
    <row r="291" spans="2:12" x14ac:dyDescent="0.25">
      <c r="B291" s="19">
        <f t="shared" si="4"/>
        <v>276</v>
      </c>
      <c r="C291" s="19"/>
      <c r="D291" s="19"/>
      <c r="E291" s="19"/>
      <c r="F291" s="19"/>
      <c r="G291" s="20"/>
      <c r="H291" s="35"/>
      <c r="I291" s="35"/>
      <c r="J291" s="642"/>
      <c r="K291" s="642"/>
      <c r="L291" s="642"/>
    </row>
    <row r="292" spans="2:12" x14ac:dyDescent="0.25">
      <c r="B292" s="19">
        <f t="shared" si="4"/>
        <v>277</v>
      </c>
      <c r="C292" s="19"/>
      <c r="D292" s="19"/>
      <c r="E292" s="19"/>
      <c r="F292" s="19"/>
      <c r="G292" s="20"/>
      <c r="H292" s="35"/>
      <c r="I292" s="35"/>
      <c r="J292" s="642"/>
      <c r="K292" s="642"/>
      <c r="L292" s="642"/>
    </row>
    <row r="293" spans="2:12" x14ac:dyDescent="0.25">
      <c r="B293" s="19">
        <f t="shared" si="4"/>
        <v>278</v>
      </c>
      <c r="C293" s="19"/>
      <c r="D293" s="19"/>
      <c r="E293" s="19"/>
      <c r="F293" s="19"/>
      <c r="G293" s="20"/>
      <c r="H293" s="35"/>
      <c r="I293" s="35"/>
      <c r="J293" s="642"/>
      <c r="K293" s="642"/>
      <c r="L293" s="642"/>
    </row>
    <row r="294" spans="2:12" x14ac:dyDescent="0.25">
      <c r="B294" s="19">
        <f t="shared" si="4"/>
        <v>279</v>
      </c>
      <c r="C294" s="19"/>
      <c r="D294" s="19"/>
      <c r="E294" s="19"/>
      <c r="F294" s="19"/>
      <c r="G294" s="20"/>
      <c r="H294" s="35"/>
      <c r="I294" s="35"/>
      <c r="J294" s="642"/>
      <c r="K294" s="642"/>
      <c r="L294" s="642"/>
    </row>
    <row r="295" spans="2:12" x14ac:dyDescent="0.25">
      <c r="B295" s="19">
        <f t="shared" si="4"/>
        <v>280</v>
      </c>
      <c r="C295" s="19"/>
      <c r="D295" s="19"/>
      <c r="E295" s="19"/>
      <c r="F295" s="19"/>
      <c r="G295" s="20"/>
      <c r="H295" s="35"/>
      <c r="I295" s="35"/>
      <c r="J295" s="642"/>
      <c r="K295" s="642"/>
      <c r="L295" s="642"/>
    </row>
    <row r="296" spans="2:12" x14ac:dyDescent="0.25">
      <c r="B296" s="19">
        <f t="shared" si="4"/>
        <v>281</v>
      </c>
      <c r="C296" s="19"/>
      <c r="D296" s="19"/>
      <c r="E296" s="19"/>
      <c r="F296" s="19"/>
      <c r="G296" s="20"/>
      <c r="H296" s="35"/>
      <c r="I296" s="35"/>
      <c r="J296" s="642"/>
      <c r="K296" s="642"/>
      <c r="L296" s="642"/>
    </row>
    <row r="297" spans="2:12" x14ac:dyDescent="0.25">
      <c r="B297" s="19">
        <f t="shared" si="4"/>
        <v>282</v>
      </c>
      <c r="C297" s="19"/>
      <c r="D297" s="19"/>
      <c r="E297" s="19"/>
      <c r="F297" s="19"/>
      <c r="G297" s="20"/>
      <c r="H297" s="35"/>
      <c r="I297" s="35"/>
      <c r="J297" s="642"/>
      <c r="K297" s="642"/>
      <c r="L297" s="642"/>
    </row>
    <row r="298" spans="2:12" x14ac:dyDescent="0.25">
      <c r="B298" s="19">
        <f t="shared" si="4"/>
        <v>283</v>
      </c>
      <c r="C298" s="19"/>
      <c r="D298" s="19"/>
      <c r="E298" s="19"/>
      <c r="F298" s="19"/>
      <c r="G298" s="20"/>
      <c r="H298" s="35"/>
      <c r="I298" s="35"/>
      <c r="J298" s="642"/>
      <c r="K298" s="642"/>
      <c r="L298" s="642"/>
    </row>
    <row r="299" spans="2:12" x14ac:dyDescent="0.25">
      <c r="B299" s="19">
        <f t="shared" si="4"/>
        <v>284</v>
      </c>
      <c r="C299" s="19"/>
      <c r="D299" s="19"/>
      <c r="E299" s="19"/>
      <c r="F299" s="19"/>
      <c r="G299" s="20"/>
      <c r="H299" s="35"/>
      <c r="I299" s="35"/>
      <c r="J299" s="642"/>
      <c r="K299" s="642"/>
      <c r="L299" s="642"/>
    </row>
    <row r="300" spans="2:12" x14ac:dyDescent="0.25">
      <c r="B300" s="19">
        <f t="shared" si="4"/>
        <v>285</v>
      </c>
      <c r="C300" s="19"/>
      <c r="D300" s="19"/>
      <c r="E300" s="19"/>
      <c r="F300" s="19"/>
      <c r="G300" s="20"/>
      <c r="H300" s="35"/>
      <c r="I300" s="35"/>
      <c r="J300" s="642"/>
      <c r="K300" s="642"/>
      <c r="L300" s="642"/>
    </row>
    <row r="301" spans="2:12" x14ac:dyDescent="0.25">
      <c r="B301" s="19">
        <f t="shared" si="4"/>
        <v>286</v>
      </c>
      <c r="C301" s="19"/>
      <c r="D301" s="19"/>
      <c r="E301" s="19"/>
      <c r="F301" s="19"/>
      <c r="G301" s="20"/>
      <c r="H301" s="35"/>
      <c r="I301" s="35"/>
      <c r="J301" s="642"/>
      <c r="K301" s="642"/>
      <c r="L301" s="642"/>
    </row>
    <row r="302" spans="2:12" x14ac:dyDescent="0.25">
      <c r="B302" s="19">
        <f t="shared" si="4"/>
        <v>287</v>
      </c>
      <c r="C302" s="19"/>
      <c r="D302" s="19"/>
      <c r="E302" s="19"/>
      <c r="F302" s="19"/>
      <c r="G302" s="20"/>
      <c r="H302" s="35"/>
      <c r="I302" s="35"/>
      <c r="J302" s="642"/>
      <c r="K302" s="642"/>
      <c r="L302" s="642"/>
    </row>
    <row r="303" spans="2:12" x14ac:dyDescent="0.25">
      <c r="B303" s="19">
        <f t="shared" si="4"/>
        <v>288</v>
      </c>
      <c r="C303" s="19"/>
      <c r="D303" s="19"/>
      <c r="E303" s="19"/>
      <c r="F303" s="19"/>
      <c r="G303" s="20"/>
      <c r="H303" s="35"/>
      <c r="I303" s="35"/>
      <c r="J303" s="642"/>
      <c r="K303" s="642"/>
      <c r="L303" s="642"/>
    </row>
    <row r="304" spans="2:12" x14ac:dyDescent="0.25">
      <c r="B304" s="19">
        <f t="shared" si="4"/>
        <v>289</v>
      </c>
      <c r="C304" s="19"/>
      <c r="D304" s="19"/>
      <c r="E304" s="19"/>
      <c r="F304" s="19"/>
      <c r="G304" s="20"/>
      <c r="H304" s="35"/>
      <c r="I304" s="35"/>
      <c r="J304" s="642"/>
      <c r="K304" s="642"/>
      <c r="L304" s="642"/>
    </row>
    <row r="305" spans="2:12" x14ac:dyDescent="0.25">
      <c r="B305" s="19">
        <f t="shared" si="4"/>
        <v>290</v>
      </c>
      <c r="C305" s="19"/>
      <c r="D305" s="19"/>
      <c r="E305" s="19"/>
      <c r="F305" s="19"/>
      <c r="G305" s="20"/>
      <c r="H305" s="35"/>
      <c r="I305" s="35"/>
      <c r="J305" s="642"/>
      <c r="K305" s="642"/>
      <c r="L305" s="642"/>
    </row>
    <row r="306" spans="2:12" x14ac:dyDescent="0.25">
      <c r="B306" s="19">
        <f t="shared" si="4"/>
        <v>291</v>
      </c>
      <c r="C306" s="19"/>
      <c r="D306" s="19"/>
      <c r="E306" s="19"/>
      <c r="F306" s="19"/>
      <c r="G306" s="20"/>
      <c r="H306" s="35"/>
      <c r="I306" s="35"/>
      <c r="J306" s="642"/>
      <c r="K306" s="642"/>
      <c r="L306" s="642"/>
    </row>
    <row r="307" spans="2:12" x14ac:dyDescent="0.25">
      <c r="B307" s="19">
        <f t="shared" si="4"/>
        <v>292</v>
      </c>
      <c r="C307" s="19"/>
      <c r="D307" s="19"/>
      <c r="E307" s="19"/>
      <c r="F307" s="19"/>
      <c r="G307" s="20"/>
      <c r="H307" s="35"/>
      <c r="I307" s="35"/>
      <c r="J307" s="642"/>
      <c r="K307" s="642"/>
      <c r="L307" s="642"/>
    </row>
    <row r="308" spans="2:12" x14ac:dyDescent="0.25">
      <c r="B308" s="19">
        <f t="shared" si="4"/>
        <v>293</v>
      </c>
      <c r="C308" s="19"/>
      <c r="D308" s="19"/>
      <c r="E308" s="19"/>
      <c r="F308" s="19"/>
      <c r="G308" s="20"/>
      <c r="H308" s="35"/>
      <c r="I308" s="35"/>
      <c r="J308" s="642"/>
      <c r="K308" s="642"/>
      <c r="L308" s="642"/>
    </row>
    <row r="309" spans="2:12" x14ac:dyDescent="0.25">
      <c r="B309" s="19">
        <f t="shared" si="4"/>
        <v>294</v>
      </c>
      <c r="C309" s="19"/>
      <c r="D309" s="19"/>
      <c r="E309" s="19"/>
      <c r="F309" s="19"/>
      <c r="G309" s="20"/>
      <c r="H309" s="35"/>
      <c r="I309" s="35"/>
      <c r="J309" s="642"/>
      <c r="K309" s="642"/>
      <c r="L309" s="642"/>
    </row>
    <row r="310" spans="2:12" x14ac:dyDescent="0.25">
      <c r="B310" s="19">
        <f t="shared" si="4"/>
        <v>295</v>
      </c>
      <c r="C310" s="19"/>
      <c r="D310" s="19"/>
      <c r="E310" s="19"/>
      <c r="F310" s="19"/>
      <c r="G310" s="20"/>
      <c r="H310" s="35"/>
      <c r="I310" s="35"/>
      <c r="J310" s="642"/>
      <c r="K310" s="642"/>
      <c r="L310" s="642"/>
    </row>
    <row r="311" spans="2:12" x14ac:dyDescent="0.25">
      <c r="B311" s="19">
        <f t="shared" si="4"/>
        <v>296</v>
      </c>
      <c r="C311" s="19"/>
      <c r="D311" s="19"/>
      <c r="E311" s="19"/>
      <c r="F311" s="19"/>
      <c r="G311" s="20"/>
      <c r="H311" s="35"/>
      <c r="I311" s="35"/>
      <c r="J311" s="642"/>
      <c r="K311" s="642"/>
      <c r="L311" s="642"/>
    </row>
    <row r="312" spans="2:12" x14ac:dyDescent="0.25">
      <c r="B312" s="19">
        <f t="shared" si="4"/>
        <v>297</v>
      </c>
      <c r="C312" s="19"/>
      <c r="D312" s="19"/>
      <c r="E312" s="19"/>
      <c r="F312" s="19"/>
      <c r="G312" s="20"/>
      <c r="H312" s="35"/>
      <c r="I312" s="35"/>
      <c r="J312" s="642"/>
      <c r="K312" s="642"/>
      <c r="L312" s="642"/>
    </row>
    <row r="313" spans="2:12" x14ac:dyDescent="0.25">
      <c r="B313" s="19">
        <f t="shared" si="4"/>
        <v>298</v>
      </c>
      <c r="C313" s="19"/>
      <c r="D313" s="19"/>
      <c r="E313" s="19"/>
      <c r="F313" s="19"/>
      <c r="G313" s="20"/>
      <c r="H313" s="35"/>
      <c r="I313" s="35"/>
      <c r="J313" s="642"/>
      <c r="K313" s="642"/>
      <c r="L313" s="642"/>
    </row>
    <row r="315" spans="2:12" x14ac:dyDescent="0.25">
      <c r="F315" t="s">
        <v>34</v>
      </c>
      <c r="L315" s="19">
        <f>SUM(MasterRoomList_SpaceTypeTable[Area (sf)])</f>
        <v>0</v>
      </c>
    </row>
  </sheetData>
  <sortState xmlns:xlrd2="http://schemas.microsoft.com/office/spreadsheetml/2017/richdata2" ref="A1000:A1297">
    <sortCondition ref="A1000"/>
  </sortState>
  <mergeCells count="3">
    <mergeCell ref="Q1:S1"/>
    <mergeCell ref="B14:L14"/>
    <mergeCell ref="Q14:X14"/>
  </mergeCells>
  <phoneticPr fontId="49" type="noConversion"/>
  <conditionalFormatting sqref="N15">
    <cfRule type="cellIs" dxfId="16" priority="1" operator="lessThanOrEqual">
      <formula>$P$15</formula>
    </cfRule>
    <cfRule type="cellIs" dxfId="15" priority="2" operator="greaterThan">
      <formula>$P$15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opyPasteWithoutDuplicates">
                <anchor moveWithCells="1" sizeWithCells="1">
                  <from>
                    <xdr:col>13</xdr:col>
                    <xdr:colOff>257175</xdr:colOff>
                    <xdr:row>15</xdr:row>
                    <xdr:rowOff>171450</xdr:rowOff>
                  </from>
                  <to>
                    <xdr:col>13</xdr:col>
                    <xdr:colOff>1714500</xdr:colOff>
                    <xdr:row>17</xdr:row>
                    <xdr:rowOff>180975</xdr:rowOff>
                  </to>
                </anchor>
              </controlPr>
            </control>
          </mc:Choice>
        </mc:AlternateContent>
      </controls>
    </mc:Choice>
  </mc:AlternateContent>
  <tableParts count="3">
    <tablePart r:id="rId5"/>
    <tablePart r:id="rId6"/>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73FCE-C5F9-4274-917B-3FBF09F9E68A}">
  <sheetPr codeName="Sheet2">
    <tabColor theme="7" tint="0.79998168889431442"/>
  </sheetPr>
  <dimension ref="A1:U100"/>
  <sheetViews>
    <sheetView zoomScale="80" zoomScaleNormal="80" workbookViewId="0">
      <selection activeCell="D8" sqref="D8"/>
    </sheetView>
  </sheetViews>
  <sheetFormatPr defaultRowHeight="15" x14ac:dyDescent="0.25"/>
  <cols>
    <col min="1" max="1" width="15.5703125" bestFit="1" customWidth="1"/>
    <col min="2" max="2" width="14.140625" bestFit="1" customWidth="1"/>
    <col min="3" max="3" width="13.7109375" bestFit="1" customWidth="1"/>
    <col min="4" max="4" width="9" bestFit="1" customWidth="1"/>
    <col min="5" max="5" width="9.5703125" bestFit="1" customWidth="1"/>
    <col min="6" max="6" width="6.28515625" bestFit="1" customWidth="1"/>
    <col min="7" max="7" width="8.28515625" bestFit="1" customWidth="1"/>
    <col min="8" max="8" width="6.28515625" bestFit="1" customWidth="1"/>
    <col min="9" max="9" width="8.28515625" bestFit="1" customWidth="1"/>
    <col min="10" max="14" width="7.5703125" bestFit="1" customWidth="1"/>
    <col min="15" max="16" width="9.7109375" customWidth="1"/>
    <col min="17" max="17" width="17" bestFit="1" customWidth="1"/>
    <col min="19" max="19" width="9.7109375" customWidth="1"/>
    <col min="20" max="20" width="71.5703125" bestFit="1" customWidth="1"/>
    <col min="21" max="21" width="3.7109375" customWidth="1"/>
  </cols>
  <sheetData>
    <row r="1" spans="1:21" x14ac:dyDescent="0.25">
      <c r="A1" s="106"/>
      <c r="J1" s="4" t="s">
        <v>12</v>
      </c>
      <c r="K1" s="5"/>
      <c r="L1" s="5"/>
      <c r="M1" s="5"/>
      <c r="N1" s="5"/>
      <c r="O1" s="5"/>
      <c r="P1" s="5"/>
      <c r="Q1" s="5"/>
      <c r="R1" s="5"/>
      <c r="S1" s="5"/>
      <c r="T1" s="5"/>
      <c r="U1" s="6"/>
    </row>
    <row r="2" spans="1:21" x14ac:dyDescent="0.25">
      <c r="E2" t="s">
        <v>35</v>
      </c>
      <c r="J2" s="7" t="s">
        <v>36</v>
      </c>
      <c r="K2" s="8"/>
      <c r="L2" s="8"/>
      <c r="M2" s="8"/>
      <c r="N2" s="107" t="s">
        <v>37</v>
      </c>
      <c r="O2" s="8"/>
      <c r="P2" s="8"/>
      <c r="Q2" s="8"/>
      <c r="R2" s="8"/>
      <c r="S2" s="8"/>
      <c r="T2" s="8"/>
      <c r="U2" s="9"/>
    </row>
    <row r="3" spans="1:21" x14ac:dyDescent="0.25">
      <c r="E3" s="106" t="s">
        <v>38</v>
      </c>
      <c r="J3" s="7" t="s">
        <v>39</v>
      </c>
      <c r="K3" s="8"/>
      <c r="L3" s="8"/>
      <c r="M3" s="8"/>
      <c r="N3" s="8"/>
      <c r="O3" s="8"/>
      <c r="P3" s="8"/>
      <c r="Q3" s="8"/>
      <c r="R3" s="8"/>
      <c r="S3" s="8"/>
      <c r="T3" s="8"/>
      <c r="U3" s="9"/>
    </row>
    <row r="4" spans="1:21" x14ac:dyDescent="0.25">
      <c r="J4" s="7" t="s">
        <v>40</v>
      </c>
      <c r="K4" s="8"/>
      <c r="L4" s="8"/>
      <c r="M4" s="8"/>
      <c r="N4" s="8"/>
      <c r="O4" s="8"/>
      <c r="P4" s="8"/>
      <c r="Q4" s="8"/>
      <c r="R4" s="8"/>
      <c r="S4" s="8"/>
      <c r="T4" s="8"/>
      <c r="U4" s="9"/>
    </row>
    <row r="5" spans="1:21" x14ac:dyDescent="0.25">
      <c r="J5" s="7" t="s">
        <v>41</v>
      </c>
      <c r="K5" s="8"/>
      <c r="L5" s="8"/>
      <c r="M5" s="8"/>
      <c r="N5" s="8"/>
      <c r="O5" s="8"/>
      <c r="P5" s="8"/>
      <c r="Q5" s="8"/>
      <c r="R5" s="8"/>
      <c r="S5" s="8"/>
      <c r="T5" s="8"/>
      <c r="U5" s="9"/>
    </row>
    <row r="6" spans="1:21" x14ac:dyDescent="0.25">
      <c r="J6" s="7" t="s">
        <v>42</v>
      </c>
      <c r="K6" s="8"/>
      <c r="L6" s="8"/>
      <c r="M6" s="8"/>
      <c r="N6" s="8"/>
      <c r="O6" s="8"/>
      <c r="P6" s="8"/>
      <c r="Q6" s="8"/>
      <c r="R6" s="8"/>
      <c r="S6" s="8"/>
      <c r="T6" s="8"/>
      <c r="U6" s="9"/>
    </row>
    <row r="7" spans="1:21" ht="15.75" thickBot="1" x14ac:dyDescent="0.3">
      <c r="J7" s="108" t="s">
        <v>43</v>
      </c>
      <c r="K7" s="11"/>
      <c r="L7" s="11"/>
      <c r="M7" s="11"/>
      <c r="N7" s="11"/>
      <c r="O7" s="11"/>
      <c r="P7" s="11"/>
      <c r="Q7" s="11"/>
      <c r="R7" s="11"/>
      <c r="S7" s="11"/>
      <c r="T7" s="11"/>
      <c r="U7" s="12"/>
    </row>
    <row r="8" spans="1:21" ht="15.75" customHeight="1" x14ac:dyDescent="0.25">
      <c r="B8" s="109"/>
      <c r="C8" s="109"/>
      <c r="D8" s="109"/>
      <c r="E8" s="109"/>
      <c r="F8" s="109"/>
      <c r="G8" s="109"/>
    </row>
    <row r="9" spans="1:21" ht="15.75" customHeight="1" x14ac:dyDescent="0.25">
      <c r="B9" s="109"/>
      <c r="C9" s="109"/>
      <c r="D9" s="109"/>
      <c r="E9" s="109"/>
      <c r="F9" s="109"/>
      <c r="G9" s="109"/>
    </row>
    <row r="10" spans="1:21" ht="15.75" customHeight="1" x14ac:dyDescent="0.25">
      <c r="B10" s="464" t="s">
        <v>44</v>
      </c>
      <c r="C10" s="465"/>
      <c r="D10" s="465"/>
      <c r="E10" s="465"/>
      <c r="F10" s="465"/>
      <c r="G10" s="466"/>
      <c r="H10" s="110"/>
      <c r="I10" s="110"/>
      <c r="J10" s="110"/>
      <c r="K10" s="110"/>
      <c r="L10" s="110"/>
      <c r="M10" s="110"/>
      <c r="N10" s="110"/>
      <c r="O10" s="110"/>
      <c r="P10" s="110"/>
      <c r="Q10" s="111"/>
    </row>
    <row r="11" spans="1:21" ht="15.75" customHeight="1" x14ac:dyDescent="0.25">
      <c r="B11" s="704" t="s">
        <v>45</v>
      </c>
      <c r="C11" s="705"/>
      <c r="D11" s="705"/>
      <c r="E11" s="705"/>
      <c r="F11" s="705"/>
      <c r="G11" s="705"/>
      <c r="H11" s="705"/>
      <c r="I11" s="705"/>
      <c r="J11" s="705"/>
      <c r="K11" s="705"/>
      <c r="L11" s="705"/>
      <c r="M11" s="705"/>
      <c r="N11" s="705"/>
      <c r="O11" s="705"/>
      <c r="P11" s="706"/>
      <c r="Q11" s="112"/>
      <c r="S11" t="s">
        <v>46</v>
      </c>
      <c r="T11" t="s">
        <v>47</v>
      </c>
    </row>
    <row r="12" spans="1:21" ht="15.75" customHeight="1" x14ac:dyDescent="0.25">
      <c r="B12" s="707" t="s">
        <v>48</v>
      </c>
      <c r="C12" s="708"/>
      <c r="D12" s="707" t="s">
        <v>49</v>
      </c>
      <c r="E12" s="708"/>
      <c r="F12" s="707" t="s">
        <v>50</v>
      </c>
      <c r="G12" s="708"/>
      <c r="H12" s="707" t="s">
        <v>51</v>
      </c>
      <c r="I12" s="709"/>
      <c r="J12" s="708"/>
      <c r="K12" s="707" t="s">
        <v>52</v>
      </c>
      <c r="L12" s="709"/>
      <c r="M12" s="708"/>
      <c r="N12" s="707" t="s">
        <v>53</v>
      </c>
      <c r="O12" s="708"/>
      <c r="P12" s="707" t="s">
        <v>54</v>
      </c>
      <c r="Q12" s="708"/>
      <c r="S12" s="109" t="s">
        <v>55</v>
      </c>
      <c r="T12" s="109" t="s">
        <v>56</v>
      </c>
    </row>
    <row r="13" spans="1:21" ht="15.75" customHeight="1" x14ac:dyDescent="0.25">
      <c r="B13" s="668" t="s">
        <v>57</v>
      </c>
      <c r="C13" s="669"/>
      <c r="D13" s="669"/>
      <c r="E13" s="669"/>
      <c r="F13" s="669"/>
      <c r="G13" s="669"/>
      <c r="H13" s="669"/>
      <c r="I13" s="669"/>
      <c r="J13" s="669"/>
      <c r="K13" s="669"/>
      <c r="L13" s="669"/>
      <c r="M13" s="669"/>
      <c r="N13" s="669"/>
      <c r="O13" s="669"/>
      <c r="P13" s="669"/>
      <c r="Q13" s="670"/>
      <c r="S13" s="109" t="s">
        <v>58</v>
      </c>
      <c r="T13" s="109" t="s">
        <v>59</v>
      </c>
    </row>
    <row r="14" spans="1:21" ht="15" customHeight="1" x14ac:dyDescent="0.25">
      <c r="B14" s="689" t="s">
        <v>60</v>
      </c>
      <c r="C14" s="683" t="s">
        <v>61</v>
      </c>
      <c r="D14" s="685"/>
      <c r="E14" s="692" t="s">
        <v>62</v>
      </c>
      <c r="F14" s="693"/>
      <c r="G14" s="693"/>
      <c r="H14" s="693"/>
      <c r="I14" s="693"/>
      <c r="J14" s="694"/>
      <c r="K14" s="692" t="s">
        <v>63</v>
      </c>
      <c r="L14" s="693"/>
      <c r="M14" s="693"/>
      <c r="N14" s="694"/>
      <c r="O14" s="683" t="s">
        <v>64</v>
      </c>
      <c r="P14" s="685"/>
      <c r="Q14" s="112"/>
      <c r="S14" s="109" t="s">
        <v>65</v>
      </c>
      <c r="T14" s="109" t="s">
        <v>66</v>
      </c>
    </row>
    <row r="15" spans="1:21" ht="15" customHeight="1" x14ac:dyDescent="0.25">
      <c r="B15" s="690"/>
      <c r="C15" s="686"/>
      <c r="D15" s="688"/>
      <c r="E15" s="695">
        <v>0.996</v>
      </c>
      <c r="F15" s="696"/>
      <c r="G15" s="697"/>
      <c r="H15" s="698">
        <v>0.99</v>
      </c>
      <c r="I15" s="699"/>
      <c r="J15" s="700"/>
      <c r="K15" s="695">
        <v>4.0000000000000001E-3</v>
      </c>
      <c r="L15" s="697"/>
      <c r="M15" s="698">
        <v>0.01</v>
      </c>
      <c r="N15" s="700"/>
      <c r="O15" s="686"/>
      <c r="P15" s="688"/>
      <c r="Q15" s="112"/>
      <c r="S15" s="109" t="s">
        <v>67</v>
      </c>
      <c r="T15" s="109" t="s">
        <v>68</v>
      </c>
    </row>
    <row r="16" spans="1:21" x14ac:dyDescent="0.25">
      <c r="B16" s="691"/>
      <c r="C16" s="113">
        <v>0.996</v>
      </c>
      <c r="D16" s="548">
        <v>0.99</v>
      </c>
      <c r="E16" s="115" t="s">
        <v>67</v>
      </c>
      <c r="F16" s="115" t="s">
        <v>69</v>
      </c>
      <c r="G16" s="115" t="s">
        <v>70</v>
      </c>
      <c r="H16" s="468" t="s">
        <v>67</v>
      </c>
      <c r="I16" s="468" t="s">
        <v>69</v>
      </c>
      <c r="J16" s="468" t="s">
        <v>70</v>
      </c>
      <c r="K16" s="115" t="s">
        <v>71</v>
      </c>
      <c r="L16" s="115" t="s">
        <v>70</v>
      </c>
      <c r="M16" s="468" t="s">
        <v>71</v>
      </c>
      <c r="N16" s="468" t="s">
        <v>70</v>
      </c>
      <c r="O16" s="115" t="s">
        <v>72</v>
      </c>
      <c r="P16" s="115" t="s">
        <v>73</v>
      </c>
      <c r="Q16" s="115"/>
      <c r="S16" s="109" t="s">
        <v>74</v>
      </c>
      <c r="T16" s="109" t="s">
        <v>75</v>
      </c>
    </row>
    <row r="17" spans="2:20" x14ac:dyDescent="0.25">
      <c r="B17" s="115"/>
      <c r="D17" s="89"/>
      <c r="H17" s="89"/>
      <c r="I17" s="89"/>
      <c r="J17" s="89"/>
      <c r="M17" s="89"/>
      <c r="N17" s="89"/>
      <c r="Q17" s="112"/>
      <c r="S17" s="109" t="s">
        <v>76</v>
      </c>
      <c r="T17" s="109" t="s">
        <v>77</v>
      </c>
    </row>
    <row r="18" spans="2:20" ht="15.75" customHeight="1" x14ac:dyDescent="0.25">
      <c r="B18" s="116">
        <v>1</v>
      </c>
      <c r="C18" s="116">
        <v>39.5</v>
      </c>
      <c r="D18" s="467">
        <v>41.6</v>
      </c>
      <c r="E18" s="116">
        <v>25.5</v>
      </c>
      <c r="F18" s="116">
        <v>19.5</v>
      </c>
      <c r="G18" s="116">
        <v>51.5</v>
      </c>
      <c r="H18" s="467">
        <v>29.6</v>
      </c>
      <c r="I18" s="467">
        <v>23.7</v>
      </c>
      <c r="J18" s="467">
        <v>51.7</v>
      </c>
      <c r="K18" s="116">
        <v>29.4</v>
      </c>
      <c r="L18" s="116">
        <v>55.2</v>
      </c>
      <c r="M18" s="467">
        <v>25.7</v>
      </c>
      <c r="N18" s="467">
        <v>54.5</v>
      </c>
      <c r="O18" s="116">
        <v>4.2</v>
      </c>
      <c r="P18" s="116">
        <v>150</v>
      </c>
      <c r="Q18" s="115"/>
      <c r="S18" s="109" t="s">
        <v>78</v>
      </c>
      <c r="T18" s="109" t="s">
        <v>79</v>
      </c>
    </row>
    <row r="19" spans="2:20" ht="31.5" customHeight="1" x14ac:dyDescent="0.25">
      <c r="B19" s="115"/>
      <c r="Q19" s="112"/>
      <c r="S19" s="109" t="s">
        <v>80</v>
      </c>
      <c r="T19" s="109" t="s">
        <v>81</v>
      </c>
    </row>
    <row r="20" spans="2:20" ht="31.5" customHeight="1" x14ac:dyDescent="0.25">
      <c r="B20" s="668" t="s">
        <v>82</v>
      </c>
      <c r="C20" s="669"/>
      <c r="D20" s="669"/>
      <c r="E20" s="669"/>
      <c r="F20" s="669"/>
      <c r="G20" s="669"/>
      <c r="H20" s="669"/>
      <c r="I20" s="669"/>
      <c r="J20" s="669"/>
      <c r="K20" s="669"/>
      <c r="L20" s="669"/>
      <c r="M20" s="669"/>
      <c r="N20" s="669"/>
      <c r="O20" s="669"/>
      <c r="P20" s="669"/>
      <c r="Q20" s="670"/>
      <c r="S20" s="109" t="s">
        <v>83</v>
      </c>
      <c r="T20" s="109" t="s">
        <v>84</v>
      </c>
    </row>
    <row r="21" spans="2:20" ht="15" customHeight="1" x14ac:dyDescent="0.25">
      <c r="B21" s="689" t="s">
        <v>85</v>
      </c>
      <c r="C21" s="493" t="s">
        <v>85</v>
      </c>
      <c r="D21" s="692" t="s">
        <v>86</v>
      </c>
      <c r="E21" s="693"/>
      <c r="F21" s="693"/>
      <c r="G21" s="693"/>
      <c r="H21" s="693"/>
      <c r="I21" s="694"/>
      <c r="J21" s="692" t="s">
        <v>87</v>
      </c>
      <c r="K21" s="693"/>
      <c r="L21" s="693"/>
      <c r="M21" s="693"/>
      <c r="N21" s="693"/>
      <c r="O21" s="694"/>
      <c r="P21" s="683" t="s">
        <v>88</v>
      </c>
      <c r="Q21" s="685"/>
      <c r="S21" s="109" t="s">
        <v>69</v>
      </c>
      <c r="T21" s="109" t="s">
        <v>89</v>
      </c>
    </row>
    <row r="22" spans="2:20" ht="15" customHeight="1" x14ac:dyDescent="0.25">
      <c r="B22" s="690"/>
      <c r="C22" s="494" t="s">
        <v>90</v>
      </c>
      <c r="D22" s="695">
        <v>4.0000000000000001E-3</v>
      </c>
      <c r="E22" s="697"/>
      <c r="F22" s="698">
        <v>0.01</v>
      </c>
      <c r="G22" s="700"/>
      <c r="H22" s="701">
        <v>0.02</v>
      </c>
      <c r="I22" s="703"/>
      <c r="J22" s="695">
        <v>4.0000000000000001E-3</v>
      </c>
      <c r="K22" s="697"/>
      <c r="L22" s="698">
        <v>0.01</v>
      </c>
      <c r="M22" s="700"/>
      <c r="N22" s="701">
        <v>0.02</v>
      </c>
      <c r="O22" s="703"/>
      <c r="P22" s="686"/>
      <c r="Q22" s="688"/>
      <c r="S22" s="109" t="s">
        <v>91</v>
      </c>
      <c r="T22" s="109" t="s">
        <v>92</v>
      </c>
    </row>
    <row r="23" spans="2:20" x14ac:dyDescent="0.25">
      <c r="B23" s="691"/>
      <c r="C23" s="495"/>
      <c r="D23" s="115" t="s">
        <v>65</v>
      </c>
      <c r="E23" s="115" t="s">
        <v>93</v>
      </c>
      <c r="F23" s="468" t="s">
        <v>65</v>
      </c>
      <c r="G23" s="468" t="s">
        <v>93</v>
      </c>
      <c r="H23" s="115" t="s">
        <v>65</v>
      </c>
      <c r="I23" s="115" t="s">
        <v>93</v>
      </c>
      <c r="J23" s="115" t="s">
        <v>94</v>
      </c>
      <c r="K23" s="115" t="s">
        <v>70</v>
      </c>
      <c r="L23" s="468" t="s">
        <v>94</v>
      </c>
      <c r="M23" s="468" t="s">
        <v>70</v>
      </c>
      <c r="N23" s="115" t="s">
        <v>94</v>
      </c>
      <c r="O23" s="115" t="s">
        <v>70</v>
      </c>
      <c r="P23" s="115" t="s">
        <v>72</v>
      </c>
      <c r="Q23" s="115" t="s">
        <v>73</v>
      </c>
      <c r="S23" s="109" t="s">
        <v>95</v>
      </c>
      <c r="T23" s="109" t="s">
        <v>96</v>
      </c>
    </row>
    <row r="24" spans="2:20" x14ac:dyDescent="0.25">
      <c r="B24" s="115"/>
      <c r="F24" s="89"/>
      <c r="G24" s="89"/>
      <c r="L24" s="89"/>
      <c r="M24" s="89"/>
      <c r="Q24" s="112"/>
      <c r="S24" s="109" t="s">
        <v>70</v>
      </c>
      <c r="T24" s="109" t="s">
        <v>97</v>
      </c>
    </row>
    <row r="25" spans="2:20" ht="15.75" customHeight="1" x14ac:dyDescent="0.25">
      <c r="B25" s="116">
        <v>9</v>
      </c>
      <c r="C25" s="116">
        <v>16</v>
      </c>
      <c r="D25" s="116">
        <v>82.6</v>
      </c>
      <c r="E25" s="116">
        <v>62.7</v>
      </c>
      <c r="F25" s="467">
        <v>77.900000000000006</v>
      </c>
      <c r="G25" s="467">
        <v>62</v>
      </c>
      <c r="H25" s="116">
        <v>74.3</v>
      </c>
      <c r="I25" s="116">
        <v>61.4</v>
      </c>
      <c r="J25" s="116">
        <v>65.599999999999994</v>
      </c>
      <c r="K25" s="116">
        <v>77.2</v>
      </c>
      <c r="L25" s="467">
        <v>64.2</v>
      </c>
      <c r="M25" s="467">
        <v>74.3</v>
      </c>
      <c r="N25" s="116">
        <v>62.9</v>
      </c>
      <c r="O25" s="116">
        <v>72</v>
      </c>
      <c r="P25" s="116">
        <v>13</v>
      </c>
      <c r="Q25" s="116">
        <v>290</v>
      </c>
      <c r="S25" s="109" t="s">
        <v>98</v>
      </c>
      <c r="T25" s="109" t="s">
        <v>99</v>
      </c>
    </row>
    <row r="26" spans="2:20" ht="15.75" customHeight="1" x14ac:dyDescent="0.25">
      <c r="B26" s="115"/>
      <c r="Q26" s="112"/>
      <c r="S26" s="109" t="s">
        <v>100</v>
      </c>
      <c r="T26" s="109" t="s">
        <v>101</v>
      </c>
    </row>
    <row r="27" spans="2:20" ht="15" customHeight="1" x14ac:dyDescent="0.25">
      <c r="B27" s="692" t="s">
        <v>102</v>
      </c>
      <c r="C27" s="693"/>
      <c r="D27" s="693"/>
      <c r="E27" s="693"/>
      <c r="F27" s="693"/>
      <c r="G27" s="693"/>
      <c r="H27" s="693"/>
      <c r="I27" s="693"/>
      <c r="J27" s="694"/>
      <c r="K27" s="692" t="s">
        <v>103</v>
      </c>
      <c r="L27" s="693"/>
      <c r="M27" s="693"/>
      <c r="N27" s="693"/>
      <c r="O27" s="693"/>
      <c r="P27" s="694"/>
      <c r="Q27" s="689" t="s">
        <v>104</v>
      </c>
      <c r="S27" s="109" t="s">
        <v>93</v>
      </c>
      <c r="T27" s="109" t="s">
        <v>105</v>
      </c>
    </row>
    <row r="28" spans="2:20" ht="15" customHeight="1" x14ac:dyDescent="0.25">
      <c r="B28" s="695">
        <v>4.0000000000000001E-3</v>
      </c>
      <c r="C28" s="696"/>
      <c r="D28" s="697"/>
      <c r="E28" s="698">
        <v>0.01</v>
      </c>
      <c r="F28" s="699"/>
      <c r="G28" s="700"/>
      <c r="H28" s="701">
        <v>0.02</v>
      </c>
      <c r="I28" s="702"/>
      <c r="J28" s="703"/>
      <c r="K28" s="695">
        <v>4.0000000000000001E-3</v>
      </c>
      <c r="L28" s="697"/>
      <c r="M28" s="698">
        <v>0.01</v>
      </c>
      <c r="N28" s="700"/>
      <c r="O28" s="701">
        <v>0.02</v>
      </c>
      <c r="P28" s="703"/>
      <c r="Q28" s="690"/>
      <c r="S28" s="109" t="s">
        <v>106</v>
      </c>
      <c r="T28" s="109" t="s">
        <v>107</v>
      </c>
    </row>
    <row r="29" spans="2:20" x14ac:dyDescent="0.25">
      <c r="B29" s="115" t="s">
        <v>67</v>
      </c>
      <c r="C29" s="115" t="s">
        <v>69</v>
      </c>
      <c r="D29" s="115" t="s">
        <v>70</v>
      </c>
      <c r="E29" s="468" t="s">
        <v>67</v>
      </c>
      <c r="F29" s="468" t="s">
        <v>69</v>
      </c>
      <c r="G29" s="468" t="s">
        <v>70</v>
      </c>
      <c r="H29" s="115" t="s">
        <v>67</v>
      </c>
      <c r="I29" s="115" t="s">
        <v>69</v>
      </c>
      <c r="J29" s="115" t="s">
        <v>70</v>
      </c>
      <c r="K29" s="115" t="s">
        <v>78</v>
      </c>
      <c r="L29" s="115" t="s">
        <v>70</v>
      </c>
      <c r="M29" s="468" t="s">
        <v>78</v>
      </c>
      <c r="N29" s="468" t="s">
        <v>70</v>
      </c>
      <c r="O29" s="115" t="s">
        <v>78</v>
      </c>
      <c r="P29" s="115" t="s">
        <v>70</v>
      </c>
      <c r="Q29" s="691"/>
      <c r="S29" s="109" t="s">
        <v>72</v>
      </c>
      <c r="T29" s="109" t="s">
        <v>108</v>
      </c>
    </row>
    <row r="30" spans="2:20" x14ac:dyDescent="0.25">
      <c r="B30" s="115"/>
      <c r="E30" s="89"/>
      <c r="F30" s="89"/>
      <c r="G30" s="89"/>
      <c r="M30" s="89"/>
      <c r="N30" s="89"/>
      <c r="Q30" s="112"/>
      <c r="S30" s="109" t="s">
        <v>109</v>
      </c>
      <c r="T30" s="109" t="s">
        <v>110</v>
      </c>
    </row>
    <row r="31" spans="2:20" ht="15.75" customHeight="1" x14ac:dyDescent="0.25">
      <c r="B31" s="116">
        <v>61.4</v>
      </c>
      <c r="C31" s="116">
        <v>81.3</v>
      </c>
      <c r="D31" s="116">
        <v>68.400000000000006</v>
      </c>
      <c r="E31" s="467">
        <v>60.1</v>
      </c>
      <c r="F31" s="467">
        <v>77.7</v>
      </c>
      <c r="G31" s="467">
        <v>67.2</v>
      </c>
      <c r="H31" s="116">
        <v>59</v>
      </c>
      <c r="I31" s="116">
        <v>74.599999999999994</v>
      </c>
      <c r="J31" s="116">
        <v>66.2</v>
      </c>
      <c r="K31" s="116">
        <v>30.4</v>
      </c>
      <c r="L31" s="116">
        <v>77.3</v>
      </c>
      <c r="M31" s="467">
        <v>29.2</v>
      </c>
      <c r="N31" s="467">
        <v>74.3</v>
      </c>
      <c r="O31" s="116">
        <v>28.3</v>
      </c>
      <c r="P31" s="116">
        <v>71.900000000000006</v>
      </c>
      <c r="Q31" s="116">
        <v>72.099999999999994</v>
      </c>
      <c r="S31" s="109" t="s">
        <v>73</v>
      </c>
      <c r="T31" s="109" t="s">
        <v>111</v>
      </c>
    </row>
    <row r="32" spans="2:20" ht="15.75" customHeight="1" x14ac:dyDescent="0.25">
      <c r="B32" s="115"/>
      <c r="Q32" s="112"/>
      <c r="S32" s="109" t="s">
        <v>112</v>
      </c>
      <c r="T32" s="109" t="s">
        <v>113</v>
      </c>
    </row>
    <row r="33" spans="2:20" ht="31.5" customHeight="1" x14ac:dyDescent="0.25">
      <c r="B33" s="668" t="s">
        <v>114</v>
      </c>
      <c r="C33" s="669"/>
      <c r="D33" s="669"/>
      <c r="E33" s="669"/>
      <c r="F33" s="669"/>
      <c r="G33" s="669"/>
      <c r="H33" s="669"/>
      <c r="I33" s="669"/>
      <c r="J33" s="669"/>
      <c r="K33" s="669"/>
      <c r="L33" s="669"/>
      <c r="M33" s="669"/>
      <c r="N33" s="669"/>
      <c r="O33" s="669"/>
      <c r="P33" s="669"/>
      <c r="Q33" s="670"/>
      <c r="S33" s="109" t="s">
        <v>115</v>
      </c>
      <c r="T33" s="109" t="s">
        <v>116</v>
      </c>
    </row>
    <row r="34" spans="2:20" ht="15" customHeight="1" x14ac:dyDescent="0.25">
      <c r="B34" s="683" t="s">
        <v>117</v>
      </c>
      <c r="C34" s="684"/>
      <c r="D34" s="685"/>
      <c r="E34" s="689"/>
      <c r="F34" s="692" t="s">
        <v>118</v>
      </c>
      <c r="G34" s="693"/>
      <c r="H34" s="693"/>
      <c r="I34" s="694"/>
      <c r="J34" s="692" t="s">
        <v>119</v>
      </c>
      <c r="K34" s="693"/>
      <c r="L34" s="693"/>
      <c r="M34" s="693"/>
      <c r="N34" s="693"/>
      <c r="O34" s="693"/>
      <c r="P34" s="693"/>
      <c r="Q34" s="694"/>
      <c r="S34" s="109" t="s">
        <v>120</v>
      </c>
      <c r="T34" s="109" t="s">
        <v>121</v>
      </c>
    </row>
    <row r="35" spans="2:20" ht="30" customHeight="1" x14ac:dyDescent="0.25">
      <c r="B35" s="686"/>
      <c r="C35" s="687"/>
      <c r="D35" s="688"/>
      <c r="E35" s="690"/>
      <c r="F35" s="692" t="s">
        <v>122</v>
      </c>
      <c r="G35" s="694"/>
      <c r="H35" s="692" t="s">
        <v>123</v>
      </c>
      <c r="I35" s="694"/>
      <c r="J35" s="692" t="s">
        <v>124</v>
      </c>
      <c r="K35" s="694"/>
      <c r="L35" s="692" t="s">
        <v>125</v>
      </c>
      <c r="M35" s="694"/>
      <c r="N35" s="692" t="s">
        <v>126</v>
      </c>
      <c r="O35" s="694"/>
      <c r="P35" s="692" t="s">
        <v>127</v>
      </c>
      <c r="Q35" s="694"/>
      <c r="S35" s="109" t="s">
        <v>128</v>
      </c>
      <c r="T35" s="109" t="s">
        <v>129</v>
      </c>
    </row>
    <row r="36" spans="2:20" x14ac:dyDescent="0.25">
      <c r="B36" s="114">
        <v>0.01</v>
      </c>
      <c r="C36" s="113">
        <v>2.5000000000000001E-2</v>
      </c>
      <c r="D36" s="114">
        <v>0.05</v>
      </c>
      <c r="E36" s="691"/>
      <c r="F36" s="115" t="s">
        <v>130</v>
      </c>
      <c r="G36" s="115" t="s">
        <v>131</v>
      </c>
      <c r="H36" s="115" t="s">
        <v>130</v>
      </c>
      <c r="I36" s="115" t="s">
        <v>131</v>
      </c>
      <c r="J36" s="115" t="s">
        <v>130</v>
      </c>
      <c r="K36" s="115" t="s">
        <v>131</v>
      </c>
      <c r="L36" s="115" t="s">
        <v>130</v>
      </c>
      <c r="M36" s="115" t="s">
        <v>131</v>
      </c>
      <c r="N36" s="115" t="s">
        <v>130</v>
      </c>
      <c r="O36" s="115" t="s">
        <v>131</v>
      </c>
      <c r="P36" s="115" t="s">
        <v>130</v>
      </c>
      <c r="Q36" s="115" t="s">
        <v>131</v>
      </c>
      <c r="S36" s="109" t="s">
        <v>132</v>
      </c>
      <c r="T36" s="109" t="s">
        <v>133</v>
      </c>
    </row>
    <row r="37" spans="2:20" x14ac:dyDescent="0.25">
      <c r="B37" s="115"/>
      <c r="C37" s="115"/>
      <c r="D37" s="115"/>
      <c r="E37" s="115"/>
      <c r="F37" s="115"/>
      <c r="G37" s="115"/>
      <c r="H37" s="115"/>
      <c r="I37" s="115"/>
      <c r="J37" s="115"/>
      <c r="K37" s="115"/>
      <c r="L37" s="115"/>
      <c r="M37" s="115"/>
      <c r="N37" s="115"/>
      <c r="O37" s="115"/>
      <c r="P37" s="115"/>
      <c r="Q37" s="115"/>
      <c r="S37" s="109" t="s">
        <v>134</v>
      </c>
      <c r="T37" s="109" t="s">
        <v>135</v>
      </c>
    </row>
    <row r="38" spans="2:20" ht="30" customHeight="1" x14ac:dyDescent="0.25">
      <c r="B38" s="116">
        <v>28.5</v>
      </c>
      <c r="C38" s="116">
        <v>25.5</v>
      </c>
      <c r="D38" s="116">
        <v>23.3</v>
      </c>
      <c r="E38" s="115" t="s">
        <v>65</v>
      </c>
      <c r="F38" s="116">
        <v>35.6</v>
      </c>
      <c r="G38" s="116">
        <v>92.5</v>
      </c>
      <c r="H38" s="116">
        <v>2.8</v>
      </c>
      <c r="I38" s="116">
        <v>3.5</v>
      </c>
      <c r="J38" s="116">
        <v>33.6</v>
      </c>
      <c r="K38" s="116">
        <v>95</v>
      </c>
      <c r="L38" s="116">
        <v>32</v>
      </c>
      <c r="M38" s="116">
        <v>97.1</v>
      </c>
      <c r="N38" s="116">
        <v>30.4</v>
      </c>
      <c r="O38" s="116">
        <v>99</v>
      </c>
      <c r="P38" s="116">
        <v>28.4</v>
      </c>
      <c r="Q38" s="116">
        <v>101.5</v>
      </c>
      <c r="S38" s="109" t="s">
        <v>136</v>
      </c>
      <c r="T38" s="109" t="s">
        <v>137</v>
      </c>
    </row>
    <row r="39" spans="2:20" ht="15.75" customHeight="1" x14ac:dyDescent="0.25">
      <c r="B39" s="115"/>
      <c r="C39" s="115"/>
      <c r="D39" s="115"/>
      <c r="E39" s="115" t="s">
        <v>94</v>
      </c>
      <c r="F39" s="116">
        <v>32.799999999999997</v>
      </c>
      <c r="G39" s="116">
        <v>69</v>
      </c>
      <c r="H39" s="116">
        <v>3.5</v>
      </c>
      <c r="I39" s="116">
        <v>1.6</v>
      </c>
      <c r="J39" s="116">
        <v>30.4</v>
      </c>
      <c r="K39" s="116">
        <v>70.099999999999994</v>
      </c>
      <c r="L39" s="116">
        <v>28.3</v>
      </c>
      <c r="M39" s="116">
        <v>71</v>
      </c>
      <c r="N39" s="116">
        <v>26.4</v>
      </c>
      <c r="O39" s="116">
        <v>71.900000000000006</v>
      </c>
      <c r="P39" s="116">
        <v>23.9</v>
      </c>
      <c r="Q39" s="116">
        <v>73</v>
      </c>
      <c r="S39" s="109" t="s">
        <v>94</v>
      </c>
      <c r="T39" s="109" t="s">
        <v>138</v>
      </c>
    </row>
    <row r="40" spans="2:20" ht="30" customHeight="1" x14ac:dyDescent="0.25">
      <c r="B40" s="115"/>
      <c r="Q40" s="112"/>
      <c r="S40" s="109" t="s">
        <v>71</v>
      </c>
      <c r="T40" s="109" t="s">
        <v>139</v>
      </c>
    </row>
    <row r="41" spans="2:20" ht="15.75" customHeight="1" x14ac:dyDescent="0.25">
      <c r="B41" s="668" t="s">
        <v>140</v>
      </c>
      <c r="C41" s="669"/>
      <c r="D41" s="669"/>
      <c r="E41" s="669"/>
      <c r="F41" s="669"/>
      <c r="G41" s="669"/>
      <c r="H41" s="669"/>
      <c r="I41" s="669"/>
      <c r="J41" s="669"/>
      <c r="K41" s="669"/>
      <c r="L41" s="669"/>
      <c r="M41" s="669"/>
      <c r="N41" s="669"/>
      <c r="O41" s="669"/>
      <c r="P41" s="669"/>
      <c r="Q41" s="670"/>
    </row>
    <row r="42" spans="2:20" x14ac:dyDescent="0.25">
      <c r="B42" s="692"/>
      <c r="C42" s="693"/>
      <c r="D42" s="694"/>
      <c r="E42" s="115" t="s">
        <v>141</v>
      </c>
      <c r="F42" s="115" t="s">
        <v>142</v>
      </c>
      <c r="G42" s="115" t="s">
        <v>143</v>
      </c>
      <c r="H42" s="115" t="s">
        <v>144</v>
      </c>
      <c r="I42" s="115" t="s">
        <v>145</v>
      </c>
      <c r="J42" s="115" t="s">
        <v>146</v>
      </c>
      <c r="K42" s="115" t="s">
        <v>147</v>
      </c>
      <c r="L42" s="115" t="s">
        <v>148</v>
      </c>
      <c r="M42" s="115" t="s">
        <v>149</v>
      </c>
      <c r="N42" s="115" t="s">
        <v>150</v>
      </c>
      <c r="O42" s="115" t="s">
        <v>151</v>
      </c>
      <c r="P42" s="115" t="s">
        <v>152</v>
      </c>
      <c r="Q42" s="115" t="s">
        <v>153</v>
      </c>
    </row>
    <row r="43" spans="2:20" ht="15" customHeight="1" x14ac:dyDescent="0.25">
      <c r="B43" s="671" t="s">
        <v>154</v>
      </c>
      <c r="C43" s="672"/>
      <c r="D43" s="115" t="s">
        <v>155</v>
      </c>
      <c r="E43" s="116">
        <v>58.1</v>
      </c>
      <c r="F43" s="116">
        <v>50.7</v>
      </c>
      <c r="G43" s="116">
        <v>52.7</v>
      </c>
      <c r="H43" s="116">
        <v>54.8</v>
      </c>
      <c r="I43" s="116">
        <v>56.7</v>
      </c>
      <c r="J43" s="116">
        <v>59.3</v>
      </c>
      <c r="K43" s="116">
        <v>61.7</v>
      </c>
      <c r="L43" s="116">
        <v>63.3</v>
      </c>
      <c r="M43" s="116">
        <v>64.099999999999994</v>
      </c>
      <c r="N43" s="116">
        <v>64.5</v>
      </c>
      <c r="O43" s="116">
        <v>62.1</v>
      </c>
      <c r="P43" s="116">
        <v>56.1</v>
      </c>
      <c r="Q43" s="116">
        <v>51</v>
      </c>
    </row>
    <row r="44" spans="2:20" x14ac:dyDescent="0.25">
      <c r="B44" s="673"/>
      <c r="C44" s="674"/>
      <c r="D44" s="115" t="s">
        <v>156</v>
      </c>
      <c r="E44" s="116">
        <v>6.33</v>
      </c>
      <c r="F44" s="116">
        <v>3.73</v>
      </c>
      <c r="G44" s="116">
        <v>3.66</v>
      </c>
      <c r="H44" s="116">
        <v>4</v>
      </c>
      <c r="I44" s="116">
        <v>4.2699999999999996</v>
      </c>
      <c r="J44" s="116">
        <v>4.42</v>
      </c>
      <c r="K44" s="116">
        <v>4.16</v>
      </c>
      <c r="L44" s="116">
        <v>3.26</v>
      </c>
      <c r="M44" s="116">
        <v>3.43</v>
      </c>
      <c r="N44" s="116">
        <v>4.2</v>
      </c>
      <c r="O44" s="116">
        <v>4.51</v>
      </c>
      <c r="P44" s="116">
        <v>4.13</v>
      </c>
      <c r="Q44" s="116">
        <v>4.3600000000000003</v>
      </c>
    </row>
    <row r="45" spans="2:20" x14ac:dyDescent="0.25">
      <c r="B45" s="673"/>
      <c r="C45" s="674"/>
      <c r="D45" s="115" t="s">
        <v>157</v>
      </c>
      <c r="E45" s="116">
        <v>98</v>
      </c>
      <c r="F45" s="116">
        <v>36</v>
      </c>
      <c r="G45" s="116">
        <v>14</v>
      </c>
      <c r="H45" s="116">
        <v>5</v>
      </c>
      <c r="I45" s="116">
        <v>1</v>
      </c>
      <c r="J45" s="116">
        <v>0</v>
      </c>
      <c r="K45" s="116">
        <v>0</v>
      </c>
      <c r="L45" s="116">
        <v>0</v>
      </c>
      <c r="M45" s="116">
        <v>0</v>
      </c>
      <c r="N45" s="116">
        <v>0</v>
      </c>
      <c r="O45" s="116">
        <v>0</v>
      </c>
      <c r="P45" s="116">
        <v>4</v>
      </c>
      <c r="Q45" s="116">
        <v>38</v>
      </c>
    </row>
    <row r="46" spans="2:20" x14ac:dyDescent="0.25">
      <c r="B46" s="673"/>
      <c r="C46" s="674"/>
      <c r="D46" s="115" t="s">
        <v>158</v>
      </c>
      <c r="E46" s="116">
        <v>2679</v>
      </c>
      <c r="F46" s="116">
        <v>444</v>
      </c>
      <c r="G46" s="116">
        <v>346</v>
      </c>
      <c r="H46" s="116">
        <v>316</v>
      </c>
      <c r="I46" s="116">
        <v>255</v>
      </c>
      <c r="J46" s="116">
        <v>189</v>
      </c>
      <c r="K46" s="116">
        <v>119</v>
      </c>
      <c r="L46" s="116">
        <v>74</v>
      </c>
      <c r="M46" s="116">
        <v>58</v>
      </c>
      <c r="N46" s="116">
        <v>59</v>
      </c>
      <c r="O46" s="116">
        <v>116</v>
      </c>
      <c r="P46" s="116">
        <v>268</v>
      </c>
      <c r="Q46" s="116">
        <v>435</v>
      </c>
    </row>
    <row r="47" spans="2:20" x14ac:dyDescent="0.25">
      <c r="B47" s="673"/>
      <c r="C47" s="674"/>
      <c r="D47" s="115" t="s">
        <v>159</v>
      </c>
      <c r="E47" s="116">
        <v>3053</v>
      </c>
      <c r="F47" s="116">
        <v>57</v>
      </c>
      <c r="G47" s="116">
        <v>89</v>
      </c>
      <c r="H47" s="116">
        <v>155</v>
      </c>
      <c r="I47" s="116">
        <v>201</v>
      </c>
      <c r="J47" s="116">
        <v>288</v>
      </c>
      <c r="K47" s="116">
        <v>351</v>
      </c>
      <c r="L47" s="116">
        <v>411</v>
      </c>
      <c r="M47" s="116">
        <v>437</v>
      </c>
      <c r="N47" s="116">
        <v>434</v>
      </c>
      <c r="O47" s="116">
        <v>375</v>
      </c>
      <c r="P47" s="116">
        <v>187</v>
      </c>
      <c r="Q47" s="116">
        <v>68</v>
      </c>
    </row>
    <row r="48" spans="2:20" x14ac:dyDescent="0.25">
      <c r="B48" s="673"/>
      <c r="C48" s="674"/>
      <c r="D48" s="115" t="s">
        <v>160</v>
      </c>
      <c r="E48" s="116">
        <v>157</v>
      </c>
      <c r="F48" s="116">
        <v>0</v>
      </c>
      <c r="G48" s="116">
        <v>0</v>
      </c>
      <c r="H48" s="116">
        <v>1</v>
      </c>
      <c r="I48" s="116">
        <v>5</v>
      </c>
      <c r="J48" s="116">
        <v>12</v>
      </c>
      <c r="K48" s="116">
        <v>19</v>
      </c>
      <c r="L48" s="116">
        <v>20</v>
      </c>
      <c r="M48" s="116">
        <v>30</v>
      </c>
      <c r="N48" s="116">
        <v>43</v>
      </c>
      <c r="O48" s="116">
        <v>26</v>
      </c>
      <c r="P48" s="116">
        <v>1</v>
      </c>
      <c r="Q48" s="116">
        <v>0</v>
      </c>
    </row>
    <row r="49" spans="2:17" x14ac:dyDescent="0.25">
      <c r="B49" s="673"/>
      <c r="C49" s="674"/>
      <c r="D49" s="115" t="s">
        <v>161</v>
      </c>
      <c r="E49" s="116">
        <v>908</v>
      </c>
      <c r="F49" s="116">
        <v>0</v>
      </c>
      <c r="G49" s="116">
        <v>0</v>
      </c>
      <c r="H49" s="116">
        <v>8</v>
      </c>
      <c r="I49" s="116">
        <v>40</v>
      </c>
      <c r="J49" s="116">
        <v>91</v>
      </c>
      <c r="K49" s="116">
        <v>156</v>
      </c>
      <c r="L49" s="116">
        <v>99</v>
      </c>
      <c r="M49" s="116">
        <v>134</v>
      </c>
      <c r="N49" s="116">
        <v>218</v>
      </c>
      <c r="O49" s="116">
        <v>157</v>
      </c>
      <c r="P49" s="116">
        <v>5</v>
      </c>
      <c r="Q49" s="116">
        <v>0</v>
      </c>
    </row>
    <row r="50" spans="2:17" ht="15.75" customHeight="1" x14ac:dyDescent="0.25">
      <c r="B50" s="675"/>
      <c r="C50" s="676"/>
      <c r="D50" s="115" t="s">
        <v>162</v>
      </c>
      <c r="E50" s="116">
        <v>258</v>
      </c>
      <c r="F50" s="116">
        <v>0</v>
      </c>
      <c r="G50" s="116">
        <v>0</v>
      </c>
      <c r="H50" s="116">
        <v>1</v>
      </c>
      <c r="I50" s="116">
        <v>9</v>
      </c>
      <c r="J50" s="116">
        <v>26</v>
      </c>
      <c r="K50" s="116">
        <v>54</v>
      </c>
      <c r="L50" s="116">
        <v>25</v>
      </c>
      <c r="M50" s="116">
        <v>38</v>
      </c>
      <c r="N50" s="116">
        <v>64</v>
      </c>
      <c r="O50" s="116">
        <v>41</v>
      </c>
      <c r="P50" s="116">
        <v>0</v>
      </c>
      <c r="Q50" s="116">
        <v>0</v>
      </c>
    </row>
    <row r="51" spans="2:17" x14ac:dyDescent="0.25">
      <c r="B51" s="668"/>
      <c r="C51" s="669"/>
      <c r="D51" s="669"/>
      <c r="E51" s="669"/>
      <c r="F51" s="669"/>
      <c r="G51" s="669"/>
      <c r="H51" s="669"/>
      <c r="I51" s="669"/>
      <c r="J51" s="669"/>
      <c r="K51" s="669"/>
      <c r="L51" s="669"/>
      <c r="M51" s="669"/>
      <c r="N51" s="669"/>
      <c r="O51" s="669"/>
      <c r="P51" s="669"/>
      <c r="Q51" s="670"/>
    </row>
    <row r="52" spans="2:17" ht="15.75" customHeight="1" x14ac:dyDescent="0.25">
      <c r="B52" s="681" t="s">
        <v>163</v>
      </c>
      <c r="C52" s="682"/>
      <c r="D52" s="115" t="s">
        <v>164</v>
      </c>
      <c r="E52" s="116">
        <v>10.4</v>
      </c>
      <c r="F52" s="116">
        <v>6.8</v>
      </c>
      <c r="G52" s="116">
        <v>8.3000000000000007</v>
      </c>
      <c r="H52" s="116">
        <v>10.199999999999999</v>
      </c>
      <c r="I52" s="116">
        <v>12.6</v>
      </c>
      <c r="J52" s="116">
        <v>13.7</v>
      </c>
      <c r="K52" s="116">
        <v>13.9</v>
      </c>
      <c r="L52" s="116">
        <v>12.7</v>
      </c>
      <c r="M52" s="116">
        <v>12.3</v>
      </c>
      <c r="N52" s="116">
        <v>10.9</v>
      </c>
      <c r="O52" s="116">
        <v>9</v>
      </c>
      <c r="P52" s="116">
        <v>7.3</v>
      </c>
      <c r="Q52" s="116">
        <v>7.2</v>
      </c>
    </row>
    <row r="53" spans="2:17" x14ac:dyDescent="0.25">
      <c r="B53" s="668"/>
      <c r="C53" s="669"/>
      <c r="D53" s="669"/>
      <c r="E53" s="669"/>
      <c r="F53" s="669"/>
      <c r="G53" s="669"/>
      <c r="H53" s="669"/>
      <c r="I53" s="669"/>
      <c r="J53" s="669"/>
      <c r="K53" s="669"/>
      <c r="L53" s="669"/>
      <c r="M53" s="669"/>
      <c r="N53" s="669"/>
      <c r="O53" s="669"/>
      <c r="P53" s="669"/>
      <c r="Q53" s="670"/>
    </row>
    <row r="54" spans="2:17" x14ac:dyDescent="0.25">
      <c r="B54" s="671" t="s">
        <v>165</v>
      </c>
      <c r="C54" s="672"/>
      <c r="D54" s="115" t="s">
        <v>166</v>
      </c>
      <c r="E54" s="116">
        <v>21.6</v>
      </c>
      <c r="F54" s="116">
        <v>4.3</v>
      </c>
      <c r="G54" s="116">
        <v>3.9</v>
      </c>
      <c r="H54" s="116">
        <v>3.1</v>
      </c>
      <c r="I54" s="116">
        <v>1.4</v>
      </c>
      <c r="J54" s="116">
        <v>0.6</v>
      </c>
      <c r="K54" s="116">
        <v>0.2</v>
      </c>
      <c r="L54" s="116">
        <v>0</v>
      </c>
      <c r="M54" s="116">
        <v>0.1</v>
      </c>
      <c r="N54" s="116">
        <v>0.2</v>
      </c>
      <c r="O54" s="116">
        <v>1.2</v>
      </c>
      <c r="P54" s="116">
        <v>2.7</v>
      </c>
      <c r="Q54" s="116">
        <v>4</v>
      </c>
    </row>
    <row r="55" spans="2:17" x14ac:dyDescent="0.25">
      <c r="B55" s="673"/>
      <c r="C55" s="674"/>
      <c r="D55" s="115" t="s">
        <v>167</v>
      </c>
      <c r="E55" s="116">
        <v>42.8</v>
      </c>
      <c r="F55" s="116">
        <v>10.6</v>
      </c>
      <c r="G55" s="116">
        <v>13.7</v>
      </c>
      <c r="H55" s="116">
        <v>10.1</v>
      </c>
      <c r="I55" s="116">
        <v>4.8</v>
      </c>
      <c r="J55" s="116">
        <v>3.1</v>
      </c>
      <c r="K55" s="116">
        <v>1.7</v>
      </c>
      <c r="L55" s="116">
        <v>0.2</v>
      </c>
      <c r="M55" s="116">
        <v>0.8</v>
      </c>
      <c r="N55" s="116">
        <v>1.1000000000000001</v>
      </c>
      <c r="O55" s="116">
        <v>4.0999999999999996</v>
      </c>
      <c r="P55" s="116">
        <v>6.9</v>
      </c>
      <c r="Q55" s="116">
        <v>11</v>
      </c>
    </row>
    <row r="56" spans="2:17" x14ac:dyDescent="0.25">
      <c r="B56" s="673"/>
      <c r="C56" s="674"/>
      <c r="D56" s="115" t="s">
        <v>168</v>
      </c>
      <c r="E56" s="116">
        <v>8.1999999999999993</v>
      </c>
      <c r="F56" s="116">
        <v>0.2</v>
      </c>
      <c r="G56" s="116">
        <v>0</v>
      </c>
      <c r="H56" s="116">
        <v>0</v>
      </c>
      <c r="I56" s="116">
        <v>0.2</v>
      </c>
      <c r="J56" s="116">
        <v>0</v>
      </c>
      <c r="K56" s="116">
        <v>0</v>
      </c>
      <c r="L56" s="116">
        <v>0</v>
      </c>
      <c r="M56" s="116">
        <v>0</v>
      </c>
      <c r="N56" s="116">
        <v>0</v>
      </c>
      <c r="O56" s="116">
        <v>0</v>
      </c>
      <c r="P56" s="116">
        <v>0</v>
      </c>
      <c r="Q56" s="116">
        <v>0</v>
      </c>
    </row>
    <row r="57" spans="2:17" ht="15.75" customHeight="1" x14ac:dyDescent="0.25">
      <c r="B57" s="675"/>
      <c r="C57" s="676"/>
      <c r="D57" s="115" t="s">
        <v>169</v>
      </c>
      <c r="E57" s="116">
        <v>7.4</v>
      </c>
      <c r="F57" s="116">
        <v>2.9</v>
      </c>
      <c r="G57" s="116">
        <v>2.9</v>
      </c>
      <c r="H57" s="116">
        <v>2.6</v>
      </c>
      <c r="I57" s="116">
        <v>1.2</v>
      </c>
      <c r="J57" s="116">
        <v>0.7</v>
      </c>
      <c r="K57" s="116">
        <v>0.3</v>
      </c>
      <c r="L57" s="116">
        <v>0</v>
      </c>
      <c r="M57" s="116">
        <v>0.1</v>
      </c>
      <c r="N57" s="116">
        <v>0.3</v>
      </c>
      <c r="O57" s="116">
        <v>1</v>
      </c>
      <c r="P57" s="116">
        <v>2.1</v>
      </c>
      <c r="Q57" s="116">
        <v>2.8</v>
      </c>
    </row>
    <row r="58" spans="2:17" x14ac:dyDescent="0.25">
      <c r="B58" s="668"/>
      <c r="C58" s="669"/>
      <c r="D58" s="669"/>
      <c r="E58" s="669"/>
      <c r="F58" s="669"/>
      <c r="G58" s="669"/>
      <c r="H58" s="669"/>
      <c r="I58" s="669"/>
      <c r="J58" s="669"/>
      <c r="K58" s="669"/>
      <c r="L58" s="669"/>
      <c r="M58" s="669"/>
      <c r="N58" s="669"/>
      <c r="O58" s="669"/>
      <c r="P58" s="669"/>
      <c r="Q58" s="670"/>
    </row>
    <row r="59" spans="2:17" ht="15" customHeight="1" x14ac:dyDescent="0.25">
      <c r="B59" s="671" t="s">
        <v>170</v>
      </c>
      <c r="C59" s="672"/>
      <c r="D59" s="677">
        <v>4.0000000000000001E-3</v>
      </c>
      <c r="E59" s="115" t="s">
        <v>65</v>
      </c>
      <c r="F59" s="116">
        <v>64.900000000000006</v>
      </c>
      <c r="G59" s="116">
        <v>69.2</v>
      </c>
      <c r="H59" s="116">
        <v>73.900000000000006</v>
      </c>
      <c r="I59" s="116">
        <v>79.3</v>
      </c>
      <c r="J59" s="116">
        <v>83.6</v>
      </c>
      <c r="K59" s="116">
        <v>87</v>
      </c>
      <c r="L59" s="116">
        <v>83.1</v>
      </c>
      <c r="M59" s="116">
        <v>85.5</v>
      </c>
      <c r="N59" s="116">
        <v>87.5</v>
      </c>
      <c r="O59" s="116">
        <v>85.4</v>
      </c>
      <c r="P59" s="116">
        <v>73.5</v>
      </c>
      <c r="Q59" s="116">
        <v>64.5</v>
      </c>
    </row>
    <row r="60" spans="2:17" x14ac:dyDescent="0.25">
      <c r="B60" s="673"/>
      <c r="C60" s="674"/>
      <c r="D60" s="678"/>
      <c r="E60" s="115" t="s">
        <v>93</v>
      </c>
      <c r="F60" s="116">
        <v>52.6</v>
      </c>
      <c r="G60" s="116">
        <v>56.5</v>
      </c>
      <c r="H60" s="116">
        <v>58.3</v>
      </c>
      <c r="I60" s="116">
        <v>60.2</v>
      </c>
      <c r="J60" s="116">
        <v>61.5</v>
      </c>
      <c r="K60" s="116">
        <v>63.4</v>
      </c>
      <c r="L60" s="116">
        <v>65.3</v>
      </c>
      <c r="M60" s="116">
        <v>65</v>
      </c>
      <c r="N60" s="116">
        <v>64.3</v>
      </c>
      <c r="O60" s="116">
        <v>61.4</v>
      </c>
      <c r="P60" s="116">
        <v>58.3</v>
      </c>
      <c r="Q60" s="116">
        <v>57.5</v>
      </c>
    </row>
    <row r="61" spans="2:17" x14ac:dyDescent="0.25">
      <c r="B61" s="673"/>
      <c r="C61" s="674"/>
      <c r="D61" s="679">
        <v>0.02</v>
      </c>
      <c r="E61" s="115" t="s">
        <v>65</v>
      </c>
      <c r="F61" s="116">
        <v>60.9</v>
      </c>
      <c r="G61" s="116">
        <v>63.4</v>
      </c>
      <c r="H61" s="116">
        <v>67.5</v>
      </c>
      <c r="I61" s="116">
        <v>71.7</v>
      </c>
      <c r="J61" s="116">
        <v>74.900000000000006</v>
      </c>
      <c r="K61" s="116">
        <v>77.8</v>
      </c>
      <c r="L61" s="116">
        <v>75.8</v>
      </c>
      <c r="M61" s="116">
        <v>77</v>
      </c>
      <c r="N61" s="116">
        <v>80.2</v>
      </c>
      <c r="O61" s="116">
        <v>78.099999999999994</v>
      </c>
      <c r="P61" s="116">
        <v>68.5</v>
      </c>
      <c r="Q61" s="116">
        <v>61.5</v>
      </c>
    </row>
    <row r="62" spans="2:17" x14ac:dyDescent="0.25">
      <c r="B62" s="673"/>
      <c r="C62" s="674"/>
      <c r="D62" s="680"/>
      <c r="E62" s="115" t="s">
        <v>93</v>
      </c>
      <c r="F62" s="116">
        <v>53.2</v>
      </c>
      <c r="G62" s="116">
        <v>55</v>
      </c>
      <c r="H62" s="116">
        <v>56</v>
      </c>
      <c r="I62" s="116">
        <v>57.6</v>
      </c>
      <c r="J62" s="116">
        <v>59.8</v>
      </c>
      <c r="K62" s="116">
        <v>61.8</v>
      </c>
      <c r="L62" s="116">
        <v>63.5</v>
      </c>
      <c r="M62" s="116">
        <v>63.7</v>
      </c>
      <c r="N62" s="116">
        <v>63</v>
      </c>
      <c r="O62" s="116">
        <v>60</v>
      </c>
      <c r="P62" s="116">
        <v>56.9</v>
      </c>
      <c r="Q62" s="116">
        <v>56.5</v>
      </c>
    </row>
    <row r="63" spans="2:17" x14ac:dyDescent="0.25">
      <c r="B63" s="673"/>
      <c r="C63" s="674"/>
      <c r="D63" s="679">
        <v>0.05</v>
      </c>
      <c r="E63" s="115" t="s">
        <v>65</v>
      </c>
      <c r="F63" s="116">
        <v>58.5</v>
      </c>
      <c r="G63" s="116">
        <v>60.4</v>
      </c>
      <c r="H63" s="116">
        <v>63.5</v>
      </c>
      <c r="I63" s="116">
        <v>66.5</v>
      </c>
      <c r="J63" s="116">
        <v>69.900000000000006</v>
      </c>
      <c r="K63" s="116">
        <v>72.099999999999994</v>
      </c>
      <c r="L63" s="116">
        <v>72.2</v>
      </c>
      <c r="M63" s="116">
        <v>73.099999999999994</v>
      </c>
      <c r="N63" s="116">
        <v>74.8</v>
      </c>
      <c r="O63" s="116">
        <v>73.2</v>
      </c>
      <c r="P63" s="116">
        <v>65.2</v>
      </c>
      <c r="Q63" s="116">
        <v>59.7</v>
      </c>
    </row>
    <row r="64" spans="2:17" x14ac:dyDescent="0.25">
      <c r="B64" s="673"/>
      <c r="C64" s="674"/>
      <c r="D64" s="680"/>
      <c r="E64" s="115" t="s">
        <v>93</v>
      </c>
      <c r="F64" s="116">
        <v>52.9</v>
      </c>
      <c r="G64" s="116">
        <v>54</v>
      </c>
      <c r="H64" s="116">
        <v>55.2</v>
      </c>
      <c r="I64" s="116">
        <v>56.3</v>
      </c>
      <c r="J64" s="116">
        <v>59</v>
      </c>
      <c r="K64" s="116">
        <v>60.4</v>
      </c>
      <c r="L64" s="116">
        <v>61.9</v>
      </c>
      <c r="M64" s="116">
        <v>62.6</v>
      </c>
      <c r="N64" s="116">
        <v>62.5</v>
      </c>
      <c r="O64" s="116">
        <v>59.5</v>
      </c>
      <c r="P64" s="116">
        <v>56.3</v>
      </c>
      <c r="Q64" s="116">
        <v>55.1</v>
      </c>
    </row>
    <row r="65" spans="2:17" x14ac:dyDescent="0.25">
      <c r="B65" s="673"/>
      <c r="C65" s="674"/>
      <c r="D65" s="679">
        <v>0.1</v>
      </c>
      <c r="E65" s="115" t="s">
        <v>65</v>
      </c>
      <c r="F65" s="116">
        <v>56.5</v>
      </c>
      <c r="G65" s="116">
        <v>58.3</v>
      </c>
      <c r="H65" s="116">
        <v>61</v>
      </c>
      <c r="I65" s="116">
        <v>63.2</v>
      </c>
      <c r="J65" s="116">
        <v>66.3</v>
      </c>
      <c r="K65" s="116">
        <v>68.8</v>
      </c>
      <c r="L65" s="116">
        <v>69.8</v>
      </c>
      <c r="M65" s="116">
        <v>70.5</v>
      </c>
      <c r="N65" s="116">
        <v>71.5</v>
      </c>
      <c r="O65" s="116">
        <v>69.400000000000006</v>
      </c>
      <c r="P65" s="116">
        <v>62.6</v>
      </c>
      <c r="Q65" s="116">
        <v>57.9</v>
      </c>
    </row>
    <row r="66" spans="2:17" ht="15.75" customHeight="1" x14ac:dyDescent="0.25">
      <c r="B66" s="675"/>
      <c r="C66" s="676"/>
      <c r="D66" s="680"/>
      <c r="E66" s="115" t="s">
        <v>93</v>
      </c>
      <c r="F66" s="116">
        <v>52</v>
      </c>
      <c r="G66" s="116">
        <v>53.1</v>
      </c>
      <c r="H66" s="116">
        <v>54.4</v>
      </c>
      <c r="I66" s="116">
        <v>55.1</v>
      </c>
      <c r="J66" s="116">
        <v>57.2</v>
      </c>
      <c r="K66" s="116">
        <v>58.9</v>
      </c>
      <c r="L66" s="116">
        <v>60.7</v>
      </c>
      <c r="M66" s="116">
        <v>61.4</v>
      </c>
      <c r="N66" s="116">
        <v>61.5</v>
      </c>
      <c r="O66" s="116">
        <v>59.2</v>
      </c>
      <c r="P66" s="116">
        <v>55.9</v>
      </c>
      <c r="Q66" s="116">
        <v>53.5</v>
      </c>
    </row>
    <row r="67" spans="2:17" x14ac:dyDescent="0.25">
      <c r="B67" s="668"/>
      <c r="C67" s="669"/>
      <c r="D67" s="669"/>
      <c r="E67" s="669"/>
      <c r="F67" s="669"/>
      <c r="G67" s="669"/>
      <c r="H67" s="669"/>
      <c r="I67" s="669"/>
      <c r="J67" s="669"/>
      <c r="K67" s="669"/>
      <c r="L67" s="669"/>
      <c r="M67" s="669"/>
      <c r="N67" s="669"/>
      <c r="O67" s="669"/>
      <c r="P67" s="669"/>
      <c r="Q67" s="670"/>
    </row>
    <row r="68" spans="2:17" ht="15" customHeight="1" x14ac:dyDescent="0.25">
      <c r="B68" s="671" t="s">
        <v>171</v>
      </c>
      <c r="C68" s="672"/>
      <c r="D68" s="677">
        <v>4.0000000000000001E-3</v>
      </c>
      <c r="E68" s="115" t="s">
        <v>94</v>
      </c>
      <c r="F68" s="116">
        <v>58.5</v>
      </c>
      <c r="G68" s="116">
        <v>59.2</v>
      </c>
      <c r="H68" s="116">
        <v>61</v>
      </c>
      <c r="I68" s="116">
        <v>62.8</v>
      </c>
      <c r="J68" s="116">
        <v>65.2</v>
      </c>
      <c r="K68" s="116">
        <v>65.8</v>
      </c>
      <c r="L68" s="116">
        <v>66.5</v>
      </c>
      <c r="M68" s="116">
        <v>66.900000000000006</v>
      </c>
      <c r="N68" s="116">
        <v>67.900000000000006</v>
      </c>
      <c r="O68" s="116">
        <v>65.7</v>
      </c>
      <c r="P68" s="116">
        <v>62.3</v>
      </c>
      <c r="Q68" s="116">
        <v>60.8</v>
      </c>
    </row>
    <row r="69" spans="2:17" x14ac:dyDescent="0.25">
      <c r="B69" s="673"/>
      <c r="C69" s="674"/>
      <c r="D69" s="678"/>
      <c r="E69" s="115" t="s">
        <v>70</v>
      </c>
      <c r="F69" s="116">
        <v>60.2</v>
      </c>
      <c r="G69" s="116">
        <v>64</v>
      </c>
      <c r="H69" s="116">
        <v>70.099999999999994</v>
      </c>
      <c r="I69" s="116">
        <v>74.2</v>
      </c>
      <c r="J69" s="116">
        <v>76.7</v>
      </c>
      <c r="K69" s="116">
        <v>81</v>
      </c>
      <c r="L69" s="116">
        <v>80.3</v>
      </c>
      <c r="M69" s="116">
        <v>78.2</v>
      </c>
      <c r="N69" s="116">
        <v>78</v>
      </c>
      <c r="O69" s="116">
        <v>75.599999999999994</v>
      </c>
      <c r="P69" s="116">
        <v>67.900000000000006</v>
      </c>
      <c r="Q69" s="116">
        <v>62.7</v>
      </c>
    </row>
    <row r="70" spans="2:17" x14ac:dyDescent="0.25">
      <c r="B70" s="673"/>
      <c r="C70" s="674"/>
      <c r="D70" s="679">
        <v>0.02</v>
      </c>
      <c r="E70" s="115" t="s">
        <v>94</v>
      </c>
      <c r="F70" s="116">
        <v>56.2</v>
      </c>
      <c r="G70" s="116">
        <v>57.2</v>
      </c>
      <c r="H70" s="116">
        <v>58.4</v>
      </c>
      <c r="I70" s="116">
        <v>59.6</v>
      </c>
      <c r="J70" s="116">
        <v>62.1</v>
      </c>
      <c r="K70" s="116">
        <v>63.1</v>
      </c>
      <c r="L70" s="116">
        <v>64.099999999999994</v>
      </c>
      <c r="M70" s="116">
        <v>64.7</v>
      </c>
      <c r="N70" s="116">
        <v>65.400000000000006</v>
      </c>
      <c r="O70" s="116">
        <v>63.4</v>
      </c>
      <c r="P70" s="116">
        <v>60.3</v>
      </c>
      <c r="Q70" s="116">
        <v>58.9</v>
      </c>
    </row>
    <row r="71" spans="2:17" x14ac:dyDescent="0.25">
      <c r="B71" s="673"/>
      <c r="C71" s="674"/>
      <c r="D71" s="680"/>
      <c r="E71" s="115" t="s">
        <v>70</v>
      </c>
      <c r="F71" s="116">
        <v>58.1</v>
      </c>
      <c r="G71" s="116">
        <v>60.9</v>
      </c>
      <c r="H71" s="116">
        <v>64.400000000000006</v>
      </c>
      <c r="I71" s="116">
        <v>67.900000000000006</v>
      </c>
      <c r="J71" s="116">
        <v>71.2</v>
      </c>
      <c r="K71" s="116">
        <v>75.400000000000006</v>
      </c>
      <c r="L71" s="116">
        <v>74.599999999999994</v>
      </c>
      <c r="M71" s="116">
        <v>74.7</v>
      </c>
      <c r="N71" s="116">
        <v>76.099999999999994</v>
      </c>
      <c r="O71" s="116">
        <v>72.2</v>
      </c>
      <c r="P71" s="116">
        <v>64.900000000000006</v>
      </c>
      <c r="Q71" s="116">
        <v>60.5</v>
      </c>
    </row>
    <row r="72" spans="2:17" x14ac:dyDescent="0.25">
      <c r="B72" s="673"/>
      <c r="C72" s="674"/>
      <c r="D72" s="679">
        <v>0.05</v>
      </c>
      <c r="E72" s="115" t="s">
        <v>94</v>
      </c>
      <c r="F72" s="116">
        <v>54.4</v>
      </c>
      <c r="G72" s="116">
        <v>55.5</v>
      </c>
      <c r="H72" s="116">
        <v>56.8</v>
      </c>
      <c r="I72" s="116">
        <v>57.6</v>
      </c>
      <c r="J72" s="116">
        <v>59.8</v>
      </c>
      <c r="K72" s="116">
        <v>61.2</v>
      </c>
      <c r="L72" s="116">
        <v>62.4</v>
      </c>
      <c r="M72" s="116">
        <v>63.2</v>
      </c>
      <c r="N72" s="116">
        <v>63.6</v>
      </c>
      <c r="O72" s="116">
        <v>61.9</v>
      </c>
      <c r="P72" s="116">
        <v>58.8</v>
      </c>
      <c r="Q72" s="116">
        <v>56.7</v>
      </c>
    </row>
    <row r="73" spans="2:17" x14ac:dyDescent="0.25">
      <c r="B73" s="673"/>
      <c r="C73" s="674"/>
      <c r="D73" s="680"/>
      <c r="E73" s="115" t="s">
        <v>70</v>
      </c>
      <c r="F73" s="116">
        <v>56.4</v>
      </c>
      <c r="G73" s="116">
        <v>58.9</v>
      </c>
      <c r="H73" s="116">
        <v>61.6</v>
      </c>
      <c r="I73" s="116">
        <v>64.7</v>
      </c>
      <c r="J73" s="116">
        <v>67.900000000000006</v>
      </c>
      <c r="K73" s="116">
        <v>71.099999999999994</v>
      </c>
      <c r="L73" s="116">
        <v>71.3</v>
      </c>
      <c r="M73" s="116">
        <v>72</v>
      </c>
      <c r="N73" s="116">
        <v>73</v>
      </c>
      <c r="O73" s="116">
        <v>70.400000000000006</v>
      </c>
      <c r="P73" s="116">
        <v>63.1</v>
      </c>
      <c r="Q73" s="116">
        <v>58.5</v>
      </c>
    </row>
    <row r="74" spans="2:17" x14ac:dyDescent="0.25">
      <c r="B74" s="673"/>
      <c r="C74" s="674"/>
      <c r="D74" s="679">
        <v>0.1</v>
      </c>
      <c r="E74" s="115" t="s">
        <v>94</v>
      </c>
      <c r="F74" s="116">
        <v>52.9</v>
      </c>
      <c r="G74" s="116">
        <v>54.2</v>
      </c>
      <c r="H74" s="116">
        <v>55.3</v>
      </c>
      <c r="I74" s="116">
        <v>55.8</v>
      </c>
      <c r="J74" s="116">
        <v>58.1</v>
      </c>
      <c r="K74" s="116">
        <v>59.5</v>
      </c>
      <c r="L74" s="116">
        <v>61.1</v>
      </c>
      <c r="M74" s="116">
        <v>61.9</v>
      </c>
      <c r="N74" s="116">
        <v>62.1</v>
      </c>
      <c r="O74" s="116">
        <v>60.2</v>
      </c>
      <c r="P74" s="116">
        <v>57.2</v>
      </c>
      <c r="Q74" s="116">
        <v>54.4</v>
      </c>
    </row>
    <row r="75" spans="2:17" ht="15.75" customHeight="1" x14ac:dyDescent="0.25">
      <c r="B75" s="675"/>
      <c r="C75" s="676"/>
      <c r="D75" s="680"/>
      <c r="E75" s="115" t="s">
        <v>70</v>
      </c>
      <c r="F75" s="116">
        <v>55.2</v>
      </c>
      <c r="G75" s="116">
        <v>57.3</v>
      </c>
      <c r="H75" s="116">
        <v>59.8</v>
      </c>
      <c r="I75" s="116">
        <v>62.1</v>
      </c>
      <c r="J75" s="116">
        <v>65.2</v>
      </c>
      <c r="K75" s="116">
        <v>67.900000000000006</v>
      </c>
      <c r="L75" s="116">
        <v>69.099999999999994</v>
      </c>
      <c r="M75" s="116">
        <v>70.099999999999994</v>
      </c>
      <c r="N75" s="116">
        <v>70.5</v>
      </c>
      <c r="O75" s="116">
        <v>67.900000000000006</v>
      </c>
      <c r="P75" s="116">
        <v>61.4</v>
      </c>
      <c r="Q75" s="116">
        <v>56.7</v>
      </c>
    </row>
    <row r="76" spans="2:17" x14ac:dyDescent="0.25">
      <c r="B76" s="668"/>
      <c r="C76" s="669"/>
      <c r="D76" s="669"/>
      <c r="E76" s="669"/>
      <c r="F76" s="669"/>
      <c r="G76" s="669"/>
      <c r="H76" s="669"/>
      <c r="I76" s="669"/>
      <c r="J76" s="669"/>
      <c r="K76" s="669"/>
      <c r="L76" s="669"/>
      <c r="M76" s="669"/>
      <c r="N76" s="669"/>
      <c r="O76" s="669"/>
      <c r="P76" s="669"/>
      <c r="Q76" s="670"/>
    </row>
    <row r="77" spans="2:17" ht="31.5" customHeight="1" x14ac:dyDescent="0.25">
      <c r="B77" s="671" t="s">
        <v>172</v>
      </c>
      <c r="C77" s="672"/>
      <c r="D77" s="115"/>
      <c r="E77" s="115" t="s">
        <v>109</v>
      </c>
      <c r="F77" s="116">
        <v>11</v>
      </c>
      <c r="G77" s="116">
        <v>11.6</v>
      </c>
      <c r="H77" s="116">
        <v>12.9</v>
      </c>
      <c r="I77" s="116">
        <v>13.8</v>
      </c>
      <c r="J77" s="116">
        <v>14.2</v>
      </c>
      <c r="K77" s="116">
        <v>15.2</v>
      </c>
      <c r="L77" s="116">
        <v>14.7</v>
      </c>
      <c r="M77" s="116">
        <v>14.7</v>
      </c>
      <c r="N77" s="116">
        <v>16</v>
      </c>
      <c r="O77" s="116">
        <v>15.6</v>
      </c>
      <c r="P77" s="116">
        <v>12.9</v>
      </c>
      <c r="Q77" s="116">
        <v>10.8</v>
      </c>
    </row>
    <row r="78" spans="2:17" x14ac:dyDescent="0.25">
      <c r="B78" s="673"/>
      <c r="C78" s="674"/>
      <c r="D78" s="689" t="s">
        <v>173</v>
      </c>
      <c r="E78" s="115" t="s">
        <v>98</v>
      </c>
      <c r="F78" s="116">
        <v>13.7</v>
      </c>
      <c r="G78" s="116">
        <v>15.3</v>
      </c>
      <c r="H78" s="116">
        <v>17.5</v>
      </c>
      <c r="I78" s="116">
        <v>20.6</v>
      </c>
      <c r="J78" s="116">
        <v>21.3</v>
      </c>
      <c r="K78" s="116">
        <v>22.6</v>
      </c>
      <c r="L78" s="116">
        <v>18.8</v>
      </c>
      <c r="M78" s="116">
        <v>19.3</v>
      </c>
      <c r="N78" s="116">
        <v>23</v>
      </c>
      <c r="O78" s="116">
        <v>23.1</v>
      </c>
      <c r="P78" s="116">
        <v>16.8</v>
      </c>
      <c r="Q78" s="116">
        <v>12</v>
      </c>
    </row>
    <row r="79" spans="2:17" ht="31.5" customHeight="1" x14ac:dyDescent="0.25">
      <c r="B79" s="673"/>
      <c r="C79" s="674"/>
      <c r="D79" s="691"/>
      <c r="E79" s="115" t="s">
        <v>106</v>
      </c>
      <c r="F79" s="116">
        <v>8.1999999999999993</v>
      </c>
      <c r="G79" s="116">
        <v>8.9</v>
      </c>
      <c r="H79" s="116">
        <v>9.8000000000000007</v>
      </c>
      <c r="I79" s="116">
        <v>10.6</v>
      </c>
      <c r="J79" s="116">
        <v>10</v>
      </c>
      <c r="K79" s="116">
        <v>10.3</v>
      </c>
      <c r="L79" s="116">
        <v>8.9</v>
      </c>
      <c r="M79" s="116">
        <v>8.8000000000000007</v>
      </c>
      <c r="N79" s="116">
        <v>10.6</v>
      </c>
      <c r="O79" s="116">
        <v>11.1</v>
      </c>
      <c r="P79" s="116">
        <v>8.9</v>
      </c>
      <c r="Q79" s="116">
        <v>7.8</v>
      </c>
    </row>
    <row r="80" spans="2:17" x14ac:dyDescent="0.25">
      <c r="B80" s="673"/>
      <c r="C80" s="674"/>
      <c r="D80" s="689" t="s">
        <v>174</v>
      </c>
      <c r="E80" s="115" t="s">
        <v>98</v>
      </c>
      <c r="F80" s="116">
        <v>9.5</v>
      </c>
      <c r="G80" s="116">
        <v>12.7</v>
      </c>
      <c r="H80" s="116">
        <v>15.1</v>
      </c>
      <c r="I80" s="116">
        <v>18.2</v>
      </c>
      <c r="J80" s="116">
        <v>19.2</v>
      </c>
      <c r="K80" s="116">
        <v>21</v>
      </c>
      <c r="L80" s="116">
        <v>18.100000000000001</v>
      </c>
      <c r="M80" s="116">
        <v>18.5</v>
      </c>
      <c r="N80" s="116">
        <v>21.3</v>
      </c>
      <c r="O80" s="116">
        <v>19.8</v>
      </c>
      <c r="P80" s="116">
        <v>13.6</v>
      </c>
      <c r="Q80" s="116">
        <v>8.1999999999999993</v>
      </c>
    </row>
    <row r="81" spans="2:17" ht="15.75" customHeight="1" x14ac:dyDescent="0.25">
      <c r="B81" s="675"/>
      <c r="C81" s="676"/>
      <c r="D81" s="691"/>
      <c r="E81" s="115" t="s">
        <v>106</v>
      </c>
      <c r="F81" s="116">
        <v>7.2</v>
      </c>
      <c r="G81" s="116">
        <v>8.1999999999999993</v>
      </c>
      <c r="H81" s="116">
        <v>9.3000000000000007</v>
      </c>
      <c r="I81" s="116">
        <v>10.199999999999999</v>
      </c>
      <c r="J81" s="116">
        <v>9.5</v>
      </c>
      <c r="K81" s="116">
        <v>10</v>
      </c>
      <c r="L81" s="116">
        <v>8.6999999999999993</v>
      </c>
      <c r="M81" s="116">
        <v>8.6</v>
      </c>
      <c r="N81" s="116">
        <v>10.6</v>
      </c>
      <c r="O81" s="116">
        <v>11.1</v>
      </c>
      <c r="P81" s="116">
        <v>8.9</v>
      </c>
      <c r="Q81" s="116">
        <v>7.8</v>
      </c>
    </row>
    <row r="82" spans="2:17" ht="15.75" customHeight="1" x14ac:dyDescent="0.25">
      <c r="B82" s="668"/>
      <c r="C82" s="669"/>
      <c r="D82" s="669"/>
      <c r="E82" s="669"/>
      <c r="F82" s="669"/>
      <c r="G82" s="669"/>
      <c r="H82" s="669"/>
      <c r="I82" s="669"/>
      <c r="J82" s="669"/>
      <c r="K82" s="669"/>
      <c r="L82" s="669"/>
      <c r="M82" s="669"/>
      <c r="N82" s="669"/>
      <c r="O82" s="669"/>
      <c r="P82" s="669"/>
      <c r="Q82" s="670"/>
    </row>
    <row r="83" spans="2:17" ht="15.75" customHeight="1" x14ac:dyDescent="0.25">
      <c r="B83" s="671" t="s">
        <v>175</v>
      </c>
      <c r="C83" s="672"/>
      <c r="D83" s="692" t="s">
        <v>128</v>
      </c>
      <c r="E83" s="694"/>
      <c r="F83" s="116">
        <v>0.32400000000000001</v>
      </c>
      <c r="G83" s="116">
        <v>0.33200000000000002</v>
      </c>
      <c r="H83" s="116">
        <v>0.34100000000000003</v>
      </c>
      <c r="I83" s="116">
        <v>0.35799999999999998</v>
      </c>
      <c r="J83" s="116">
        <v>0.36499999999999999</v>
      </c>
      <c r="K83" s="116">
        <v>0.35899999999999999</v>
      </c>
      <c r="L83" s="116">
        <v>0.36699999999999999</v>
      </c>
      <c r="M83" s="116">
        <v>0.34499999999999997</v>
      </c>
      <c r="N83" s="116">
        <v>0.34799999999999998</v>
      </c>
      <c r="O83" s="116">
        <v>0.33800000000000002</v>
      </c>
      <c r="P83" s="116">
        <v>0.32200000000000001</v>
      </c>
      <c r="Q83" s="116">
        <v>0.32400000000000001</v>
      </c>
    </row>
    <row r="84" spans="2:17" ht="15.75" customHeight="1" x14ac:dyDescent="0.25">
      <c r="B84" s="673"/>
      <c r="C84" s="674"/>
      <c r="D84" s="692" t="s">
        <v>132</v>
      </c>
      <c r="E84" s="694"/>
      <c r="F84" s="116">
        <v>2.5619999999999998</v>
      </c>
      <c r="G84" s="116">
        <v>2.5369999999999999</v>
      </c>
      <c r="H84" s="116">
        <v>2.504</v>
      </c>
      <c r="I84" s="116">
        <v>2.4209999999999998</v>
      </c>
      <c r="J84" s="116">
        <v>2.4260000000000002</v>
      </c>
      <c r="K84" s="116">
        <v>2.4489999999999998</v>
      </c>
      <c r="L84" s="116">
        <v>2.4319999999999999</v>
      </c>
      <c r="M84" s="116">
        <v>2.4940000000000002</v>
      </c>
      <c r="N84" s="116">
        <v>2.4700000000000002</v>
      </c>
      <c r="O84" s="116">
        <v>2.54</v>
      </c>
      <c r="P84" s="116">
        <v>2.5680000000000001</v>
      </c>
      <c r="Q84" s="116">
        <v>2.5659999999999998</v>
      </c>
    </row>
    <row r="85" spans="2:17" ht="15" customHeight="1" x14ac:dyDescent="0.25">
      <c r="B85" s="673"/>
      <c r="C85" s="674"/>
      <c r="D85" s="692" t="s">
        <v>74</v>
      </c>
      <c r="E85" s="694"/>
      <c r="F85" s="116">
        <v>275</v>
      </c>
      <c r="G85" s="116">
        <v>286</v>
      </c>
      <c r="H85" s="116">
        <v>293</v>
      </c>
      <c r="I85" s="116">
        <v>292</v>
      </c>
      <c r="J85" s="116">
        <v>290</v>
      </c>
      <c r="K85" s="116">
        <v>291</v>
      </c>
      <c r="L85" s="116">
        <v>288</v>
      </c>
      <c r="M85" s="116">
        <v>293</v>
      </c>
      <c r="N85" s="116">
        <v>287</v>
      </c>
      <c r="O85" s="116">
        <v>280</v>
      </c>
      <c r="P85" s="116">
        <v>273</v>
      </c>
      <c r="Q85" s="116">
        <v>266</v>
      </c>
    </row>
    <row r="86" spans="2:17" ht="15.75" customHeight="1" x14ac:dyDescent="0.25">
      <c r="B86" s="675"/>
      <c r="C86" s="676"/>
      <c r="D86" s="692" t="s">
        <v>176</v>
      </c>
      <c r="E86" s="694"/>
      <c r="F86" s="116">
        <v>24</v>
      </c>
      <c r="G86" s="116">
        <v>28</v>
      </c>
      <c r="H86" s="116">
        <v>31</v>
      </c>
      <c r="I86" s="116">
        <v>36</v>
      </c>
      <c r="J86" s="116">
        <v>36</v>
      </c>
      <c r="K86" s="116">
        <v>36</v>
      </c>
      <c r="L86" s="116">
        <v>36</v>
      </c>
      <c r="M86" s="116">
        <v>33</v>
      </c>
      <c r="N86" s="116">
        <v>32</v>
      </c>
      <c r="O86" s="116">
        <v>27</v>
      </c>
      <c r="P86" s="116">
        <v>23</v>
      </c>
      <c r="Q86" s="116">
        <v>23</v>
      </c>
    </row>
    <row r="87" spans="2:17" ht="15.75" customHeight="1" x14ac:dyDescent="0.25">
      <c r="B87" s="668"/>
      <c r="C87" s="669"/>
      <c r="D87" s="669"/>
      <c r="E87" s="669"/>
      <c r="F87" s="669"/>
      <c r="G87" s="669"/>
      <c r="H87" s="669"/>
      <c r="I87" s="669"/>
      <c r="J87" s="669"/>
      <c r="K87" s="669"/>
      <c r="L87" s="669"/>
      <c r="M87" s="669"/>
      <c r="N87" s="669"/>
      <c r="O87" s="669"/>
      <c r="P87" s="669"/>
      <c r="Q87" s="670"/>
    </row>
    <row r="88" spans="2:17" ht="15" customHeight="1" x14ac:dyDescent="0.25">
      <c r="B88" s="671" t="s">
        <v>177</v>
      </c>
      <c r="C88" s="672"/>
      <c r="D88" s="692" t="s">
        <v>178</v>
      </c>
      <c r="E88" s="694"/>
      <c r="F88" s="116">
        <v>766</v>
      </c>
      <c r="G88" s="116">
        <v>1041</v>
      </c>
      <c r="H88" s="116">
        <v>1493</v>
      </c>
      <c r="I88" s="116">
        <v>1918</v>
      </c>
      <c r="J88" s="116">
        <v>2204</v>
      </c>
      <c r="K88" s="116">
        <v>2329</v>
      </c>
      <c r="L88" s="116">
        <v>2143</v>
      </c>
      <c r="M88" s="116">
        <v>1933</v>
      </c>
      <c r="N88" s="116">
        <v>1658</v>
      </c>
      <c r="O88" s="116">
        <v>1238</v>
      </c>
      <c r="P88" s="116">
        <v>877</v>
      </c>
      <c r="Q88" s="116">
        <v>645</v>
      </c>
    </row>
    <row r="89" spans="2:17" ht="15" customHeight="1" x14ac:dyDescent="0.25">
      <c r="B89" s="675"/>
      <c r="C89" s="676"/>
      <c r="D89" s="692" t="s">
        <v>179</v>
      </c>
      <c r="E89" s="694"/>
      <c r="F89" s="116">
        <v>98</v>
      </c>
      <c r="G89" s="116">
        <v>104</v>
      </c>
      <c r="H89" s="116">
        <v>127</v>
      </c>
      <c r="I89" s="116">
        <v>156</v>
      </c>
      <c r="J89" s="116">
        <v>114</v>
      </c>
      <c r="K89" s="116">
        <v>103</v>
      </c>
      <c r="L89" s="116">
        <v>84</v>
      </c>
      <c r="M89" s="116">
        <v>86</v>
      </c>
      <c r="N89" s="116">
        <v>82</v>
      </c>
      <c r="O89" s="116">
        <v>73</v>
      </c>
      <c r="P89" s="116">
        <v>53</v>
      </c>
      <c r="Q89" s="116">
        <v>91</v>
      </c>
    </row>
    <row r="90" spans="2:17" x14ac:dyDescent="0.25">
      <c r="B90" s="109"/>
      <c r="C90" s="109"/>
      <c r="D90" s="109"/>
      <c r="E90" s="109"/>
      <c r="F90" s="109"/>
      <c r="G90" s="109"/>
    </row>
    <row r="91" spans="2:17" x14ac:dyDescent="0.25">
      <c r="B91" s="109"/>
      <c r="C91" s="109"/>
      <c r="D91" s="109"/>
      <c r="E91" s="109"/>
      <c r="F91" s="109"/>
      <c r="G91" s="109"/>
    </row>
    <row r="92" spans="2:17" ht="30" customHeight="1" x14ac:dyDescent="0.25">
      <c r="B92" s="109"/>
      <c r="C92" s="109"/>
      <c r="D92" s="109"/>
      <c r="E92" s="109"/>
      <c r="F92" s="109"/>
      <c r="G92" s="109"/>
    </row>
    <row r="93" spans="2:17" x14ac:dyDescent="0.25">
      <c r="B93" s="109"/>
      <c r="C93" s="109"/>
      <c r="D93" s="109"/>
      <c r="E93" s="109"/>
      <c r="F93" s="109"/>
      <c r="G93" s="109"/>
    </row>
    <row r="94" spans="2:17" x14ac:dyDescent="0.25">
      <c r="B94" s="109"/>
      <c r="C94" s="710"/>
      <c r="D94" s="109"/>
      <c r="E94" s="109"/>
      <c r="F94" s="109"/>
      <c r="G94" s="109"/>
    </row>
    <row r="95" spans="2:17" x14ac:dyDescent="0.25">
      <c r="B95" s="109"/>
      <c r="C95" s="710"/>
      <c r="D95" s="109"/>
      <c r="E95" s="109"/>
      <c r="F95" s="109"/>
      <c r="G95" s="109"/>
    </row>
    <row r="96" spans="2:17" x14ac:dyDescent="0.25">
      <c r="B96" s="109"/>
      <c r="C96" s="109"/>
      <c r="D96" s="109"/>
      <c r="E96" s="109"/>
      <c r="F96" s="109"/>
      <c r="G96" s="109"/>
    </row>
    <row r="97" spans="2:7" ht="60" customHeight="1" x14ac:dyDescent="0.25">
      <c r="B97" s="109"/>
      <c r="C97" s="109"/>
      <c r="D97" s="109"/>
      <c r="E97" s="109"/>
      <c r="F97" s="109"/>
      <c r="G97" s="109"/>
    </row>
    <row r="98" spans="2:7" x14ac:dyDescent="0.25">
      <c r="B98" s="109"/>
      <c r="C98" s="109"/>
      <c r="D98" s="109"/>
      <c r="E98" s="109"/>
      <c r="F98" s="109"/>
      <c r="G98" s="109"/>
    </row>
    <row r="99" spans="2:7" x14ac:dyDescent="0.25">
      <c r="B99" s="109"/>
      <c r="C99" s="710"/>
      <c r="D99" s="109"/>
      <c r="E99" s="109"/>
      <c r="F99" s="109"/>
      <c r="G99" s="109"/>
    </row>
    <row r="100" spans="2:7" x14ac:dyDescent="0.25">
      <c r="C100" s="710"/>
    </row>
  </sheetData>
  <mergeCells count="84">
    <mergeCell ref="C99:C100"/>
    <mergeCell ref="B87:Q87"/>
    <mergeCell ref="B88:C89"/>
    <mergeCell ref="D88:E88"/>
    <mergeCell ref="D89:E89"/>
    <mergeCell ref="C94:C95"/>
    <mergeCell ref="B83:C86"/>
    <mergeCell ref="D83:E83"/>
    <mergeCell ref="D84:E84"/>
    <mergeCell ref="D85:E85"/>
    <mergeCell ref="D86:E86"/>
    <mergeCell ref="B76:Q76"/>
    <mergeCell ref="B77:C81"/>
    <mergeCell ref="D78:D79"/>
    <mergeCell ref="D80:D81"/>
    <mergeCell ref="B82:Q82"/>
    <mergeCell ref="B11:P11"/>
    <mergeCell ref="B12:C12"/>
    <mergeCell ref="D12:E12"/>
    <mergeCell ref="F12:G12"/>
    <mergeCell ref="H12:J12"/>
    <mergeCell ref="K12:M12"/>
    <mergeCell ref="N12:O12"/>
    <mergeCell ref="P12:Q12"/>
    <mergeCell ref="B13:Q13"/>
    <mergeCell ref="B14:B16"/>
    <mergeCell ref="C14:D15"/>
    <mergeCell ref="E14:J14"/>
    <mergeCell ref="K14:N14"/>
    <mergeCell ref="O14:P15"/>
    <mergeCell ref="E15:G15"/>
    <mergeCell ref="H15:J15"/>
    <mergeCell ref="K15:L15"/>
    <mergeCell ref="M15:N15"/>
    <mergeCell ref="B20:Q20"/>
    <mergeCell ref="B21:B23"/>
    <mergeCell ref="D21:I21"/>
    <mergeCell ref="J21:O21"/>
    <mergeCell ref="P21:Q22"/>
    <mergeCell ref="D22:E22"/>
    <mergeCell ref="F22:G22"/>
    <mergeCell ref="H22:I22"/>
    <mergeCell ref="J22:K22"/>
    <mergeCell ref="L22:M22"/>
    <mergeCell ref="N22:O22"/>
    <mergeCell ref="B27:J27"/>
    <mergeCell ref="K27:P27"/>
    <mergeCell ref="Q27:Q29"/>
    <mergeCell ref="B28:D28"/>
    <mergeCell ref="E28:G28"/>
    <mergeCell ref="H28:J28"/>
    <mergeCell ref="K28:L28"/>
    <mergeCell ref="M28:N28"/>
    <mergeCell ref="O28:P28"/>
    <mergeCell ref="B52:C52"/>
    <mergeCell ref="B33:Q33"/>
    <mergeCell ref="B34:D35"/>
    <mergeCell ref="E34:E36"/>
    <mergeCell ref="F34:I34"/>
    <mergeCell ref="J34:Q34"/>
    <mergeCell ref="F35:G35"/>
    <mergeCell ref="H35:I35"/>
    <mergeCell ref="J35:K35"/>
    <mergeCell ref="L35:M35"/>
    <mergeCell ref="N35:O35"/>
    <mergeCell ref="P35:Q35"/>
    <mergeCell ref="B41:Q41"/>
    <mergeCell ref="B42:D42"/>
    <mergeCell ref="B43:C50"/>
    <mergeCell ref="B51:Q51"/>
    <mergeCell ref="B53:Q53"/>
    <mergeCell ref="B54:C57"/>
    <mergeCell ref="B58:Q58"/>
    <mergeCell ref="B59:C66"/>
    <mergeCell ref="D59:D60"/>
    <mergeCell ref="D61:D62"/>
    <mergeCell ref="D63:D64"/>
    <mergeCell ref="D65:D66"/>
    <mergeCell ref="B67:Q67"/>
    <mergeCell ref="B68:C75"/>
    <mergeCell ref="D68:D69"/>
    <mergeCell ref="D70:D71"/>
    <mergeCell ref="D72:D73"/>
    <mergeCell ref="D74:D75"/>
  </mergeCells>
  <hyperlinks>
    <hyperlink ref="N2" r:id="rId1" xr:uid="{472F0D3A-DB02-4BC0-8E82-2006D9301696}"/>
    <hyperlink ref="E3" r:id="rId2" xr:uid="{51D27E21-02B6-4449-B19A-B24A15D3076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Button 1">
              <controlPr defaultSize="0" print="0" autoFill="0" autoPict="0" macro="[0]!Highlight996DesignWeather">
                <anchor moveWithCells="1" sizeWithCells="1">
                  <from>
                    <xdr:col>0</xdr:col>
                    <xdr:colOff>1028700</xdr:colOff>
                    <xdr:row>3</xdr:row>
                    <xdr:rowOff>171450</xdr:rowOff>
                  </from>
                  <to>
                    <xdr:col>3</xdr:col>
                    <xdr:colOff>9525</xdr:colOff>
                    <xdr:row>5</xdr:row>
                    <xdr:rowOff>180975</xdr:rowOff>
                  </to>
                </anchor>
              </controlPr>
            </control>
          </mc:Choice>
        </mc:AlternateContent>
        <mc:AlternateContent xmlns:mc="http://schemas.openxmlformats.org/markup-compatibility/2006">
          <mc:Choice Requires="x14">
            <control shapeId="3074" r:id="rId7" name="Button 2">
              <controlPr defaultSize="0" print="0" autoFill="0" autoPict="0" macro="[0]!Highlight99DesignWeather">
                <anchor moveWithCells="1" sizeWithCells="1">
                  <from>
                    <xdr:col>4</xdr:col>
                    <xdr:colOff>0</xdr:colOff>
                    <xdr:row>3</xdr:row>
                    <xdr:rowOff>180975</xdr:rowOff>
                  </from>
                  <to>
                    <xdr:col>7</xdr:col>
                    <xdr:colOff>295275</xdr:colOff>
                    <xdr:row>6</xdr:row>
                    <xdr:rowOff>0</xdr:rowOff>
                  </to>
                </anchor>
              </controlPr>
            </control>
          </mc:Choice>
        </mc:AlternateContent>
        <mc:AlternateContent xmlns:mc="http://schemas.openxmlformats.org/markup-compatibility/2006">
          <mc:Choice Requires="x14">
            <control shapeId="3075" r:id="rId8" name="Button 3">
              <controlPr defaultSize="0" print="0" autoFill="0" autoPict="0" macro="[0]!PasteWeatherData">
                <anchor moveWithCells="1" sizeWithCells="1">
                  <from>
                    <xdr:col>0</xdr:col>
                    <xdr:colOff>1028700</xdr:colOff>
                    <xdr:row>0</xdr:row>
                    <xdr:rowOff>171450</xdr:rowOff>
                  </from>
                  <to>
                    <xdr:col>3</xdr:col>
                    <xdr:colOff>9525</xdr:colOff>
                    <xdr:row>2</xdr:row>
                    <xdr:rowOff>180975</xdr:rowOff>
                  </to>
                </anchor>
              </controlPr>
            </control>
          </mc:Choice>
        </mc:AlternateContent>
      </controls>
    </mc:Choice>
  </mc:AlternateContent>
  <tableParts count="1">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0A77F-9485-465E-874E-0EC2EC5BD9FE}">
  <sheetPr codeName="Sheet16">
    <tabColor theme="7" tint="0.79998168889431442"/>
  </sheetPr>
  <dimension ref="B1:I302"/>
  <sheetViews>
    <sheetView zoomScale="80" zoomScaleNormal="80" workbookViewId="0">
      <selection activeCell="D55" sqref="D55"/>
    </sheetView>
  </sheetViews>
  <sheetFormatPr defaultRowHeight="15" x14ac:dyDescent="0.25"/>
  <cols>
    <col min="2" max="2" width="8.85546875" customWidth="1"/>
    <col min="3" max="3" width="45.7109375" bestFit="1" customWidth="1"/>
    <col min="4" max="8" width="12" style="19" customWidth="1"/>
    <col min="9" max="9" width="17.85546875" bestFit="1" customWidth="1"/>
  </cols>
  <sheetData>
    <row r="1" spans="2:9" x14ac:dyDescent="0.25">
      <c r="D1"/>
      <c r="E1"/>
      <c r="F1"/>
      <c r="G1"/>
      <c r="H1"/>
    </row>
    <row r="2" spans="2:9" x14ac:dyDescent="0.25">
      <c r="D2"/>
      <c r="E2"/>
      <c r="F2"/>
      <c r="G2"/>
      <c r="H2"/>
    </row>
    <row r="3" spans="2:9" ht="15.75" thickBot="1" x14ac:dyDescent="0.3">
      <c r="D3"/>
      <c r="E3"/>
      <c r="F3"/>
      <c r="G3"/>
      <c r="H3"/>
    </row>
    <row r="4" spans="2:9" ht="15" customHeight="1" x14ac:dyDescent="0.25">
      <c r="B4" s="711" t="s">
        <v>180</v>
      </c>
      <c r="C4" s="712"/>
      <c r="D4" s="712" t="s">
        <v>181</v>
      </c>
      <c r="E4" s="712"/>
      <c r="F4" s="712"/>
      <c r="G4" s="712"/>
      <c r="H4" s="712"/>
      <c r="I4" s="713" t="s">
        <v>182</v>
      </c>
    </row>
    <row r="5" spans="2:9" ht="30" x14ac:dyDescent="0.25">
      <c r="B5" s="476" t="s">
        <v>24</v>
      </c>
      <c r="C5" s="477" t="s">
        <v>30</v>
      </c>
      <c r="D5" s="477" t="s">
        <v>183</v>
      </c>
      <c r="E5" s="477" t="s">
        <v>184</v>
      </c>
      <c r="F5" s="477" t="s">
        <v>185</v>
      </c>
      <c r="G5" s="477" t="s">
        <v>186</v>
      </c>
      <c r="H5" s="477" t="s">
        <v>187</v>
      </c>
      <c r="I5" s="714"/>
    </row>
    <row r="6" spans="2:9" x14ac:dyDescent="0.25">
      <c r="B6" s="18">
        <v>1</v>
      </c>
      <c r="C6" s="19" t="str">
        <f>IF('Master Room List'!R16="","",'Master Room List'!R16)</f>
        <v/>
      </c>
      <c r="D6" s="478">
        <v>75</v>
      </c>
      <c r="E6" s="478"/>
      <c r="F6" s="478">
        <v>70</v>
      </c>
      <c r="G6" s="478"/>
      <c r="H6" s="478"/>
      <c r="I6" s="36"/>
    </row>
    <row r="7" spans="2:9" x14ac:dyDescent="0.25">
      <c r="B7" s="18">
        <v>2</v>
      </c>
      <c r="C7" s="19" t="str">
        <f>IF('Master Room List'!R17="","",'Master Room List'!R17)</f>
        <v/>
      </c>
      <c r="D7" s="478"/>
      <c r="E7" s="478"/>
      <c r="F7" s="478"/>
      <c r="G7" s="478"/>
      <c r="H7" s="478"/>
      <c r="I7" s="36"/>
    </row>
    <row r="8" spans="2:9" x14ac:dyDescent="0.25">
      <c r="B8" s="18">
        <v>3</v>
      </c>
      <c r="C8" s="19" t="str">
        <f>IF('Master Room List'!R18="","",'Master Room List'!R18)</f>
        <v/>
      </c>
      <c r="D8" s="478"/>
      <c r="E8" s="478"/>
      <c r="F8" s="478"/>
      <c r="G8" s="478"/>
      <c r="H8" s="478"/>
      <c r="I8" s="36"/>
    </row>
    <row r="9" spans="2:9" x14ac:dyDescent="0.25">
      <c r="B9" s="18">
        <v>4</v>
      </c>
      <c r="C9" s="19" t="str">
        <f>IF('Master Room List'!R19="","",'Master Room List'!R19)</f>
        <v/>
      </c>
      <c r="D9" s="478"/>
      <c r="E9" s="478"/>
      <c r="F9" s="478"/>
      <c r="G9" s="478"/>
      <c r="H9" s="478"/>
      <c r="I9" s="36"/>
    </row>
    <row r="10" spans="2:9" x14ac:dyDescent="0.25">
      <c r="B10" s="18">
        <v>5</v>
      </c>
      <c r="C10" s="19" t="str">
        <f>IF('Master Room List'!R20="","",'Master Room List'!R20)</f>
        <v/>
      </c>
      <c r="D10" s="478"/>
      <c r="E10" s="478"/>
      <c r="F10" s="478"/>
      <c r="G10" s="478"/>
      <c r="H10" s="478"/>
      <c r="I10" s="36"/>
    </row>
    <row r="11" spans="2:9" x14ac:dyDescent="0.25">
      <c r="B11" s="18">
        <v>6</v>
      </c>
      <c r="C11" s="19" t="str">
        <f>IF('Master Room List'!R21="","",'Master Room List'!R21)</f>
        <v/>
      </c>
      <c r="D11" s="478"/>
      <c r="E11" s="478"/>
      <c r="F11" s="478"/>
      <c r="G11" s="478"/>
      <c r="H11" s="478"/>
      <c r="I11" s="36"/>
    </row>
    <row r="12" spans="2:9" x14ac:dyDescent="0.25">
      <c r="B12" s="18">
        <v>7</v>
      </c>
      <c r="C12" s="19" t="str">
        <f>IF('Master Room List'!R22="","",'Master Room List'!R22)</f>
        <v/>
      </c>
      <c r="D12" s="478"/>
      <c r="E12" s="478"/>
      <c r="F12" s="478"/>
      <c r="G12" s="478"/>
      <c r="H12" s="478"/>
      <c r="I12" s="36"/>
    </row>
    <row r="13" spans="2:9" x14ac:dyDescent="0.25">
      <c r="B13" s="18">
        <v>8</v>
      </c>
      <c r="C13" s="19" t="str">
        <f>IF('Master Room List'!R23="","",'Master Room List'!R23)</f>
        <v/>
      </c>
      <c r="D13" s="478"/>
      <c r="E13" s="478"/>
      <c r="F13" s="478"/>
      <c r="G13" s="478"/>
      <c r="H13" s="478"/>
      <c r="I13" s="36"/>
    </row>
    <row r="14" spans="2:9" x14ac:dyDescent="0.25">
      <c r="B14" s="18">
        <v>9</v>
      </c>
      <c r="C14" s="19" t="str">
        <f>IF('Master Room List'!R24="","",'Master Room List'!R24)</f>
        <v/>
      </c>
      <c r="D14" s="478"/>
      <c r="E14" s="478"/>
      <c r="F14" s="478"/>
      <c r="G14" s="478"/>
      <c r="H14" s="478"/>
      <c r="I14" s="36"/>
    </row>
    <row r="15" spans="2:9" x14ac:dyDescent="0.25">
      <c r="B15" s="18">
        <v>10</v>
      </c>
      <c r="C15" s="19" t="str">
        <f>IF('Master Room List'!R25="","",'Master Room List'!R25)</f>
        <v/>
      </c>
      <c r="D15" s="478"/>
      <c r="E15" s="478"/>
      <c r="F15" s="478"/>
      <c r="G15" s="478"/>
      <c r="H15" s="478"/>
      <c r="I15" s="36"/>
    </row>
    <row r="16" spans="2:9" x14ac:dyDescent="0.25">
      <c r="B16" s="18">
        <v>11</v>
      </c>
      <c r="C16" s="19" t="str">
        <f>IF('Master Room List'!R26="","",'Master Room List'!R26)</f>
        <v/>
      </c>
      <c r="D16" s="478"/>
      <c r="E16" s="478"/>
      <c r="F16" s="478"/>
      <c r="G16" s="478"/>
      <c r="H16" s="478"/>
      <c r="I16" s="36"/>
    </row>
    <row r="17" spans="2:9" x14ac:dyDescent="0.25">
      <c r="B17" s="18">
        <v>12</v>
      </c>
      <c r="C17" s="19" t="str">
        <f>IF('Master Room List'!R27="","",'Master Room List'!R27)</f>
        <v/>
      </c>
      <c r="D17" s="478"/>
      <c r="E17" s="478"/>
      <c r="F17" s="478"/>
      <c r="G17" s="478"/>
      <c r="H17" s="478"/>
      <c r="I17" s="36"/>
    </row>
    <row r="18" spans="2:9" x14ac:dyDescent="0.25">
      <c r="B18" s="18">
        <v>13</v>
      </c>
      <c r="C18" s="19" t="str">
        <f>IF('Master Room List'!R28="","",'Master Room List'!R28)</f>
        <v/>
      </c>
      <c r="D18" s="478"/>
      <c r="E18" s="478"/>
      <c r="F18" s="478"/>
      <c r="G18" s="478"/>
      <c r="H18" s="478"/>
      <c r="I18" s="36"/>
    </row>
    <row r="19" spans="2:9" x14ac:dyDescent="0.25">
      <c r="B19" s="18">
        <v>14</v>
      </c>
      <c r="C19" s="19" t="str">
        <f>IF('Master Room List'!R29="","",'Master Room List'!R29)</f>
        <v/>
      </c>
      <c r="D19" s="478"/>
      <c r="E19" s="478"/>
      <c r="F19" s="478"/>
      <c r="G19" s="478"/>
      <c r="H19" s="478"/>
      <c r="I19" s="36"/>
    </row>
    <row r="20" spans="2:9" x14ac:dyDescent="0.25">
      <c r="B20" s="18">
        <v>15</v>
      </c>
      <c r="C20" s="19" t="str">
        <f>IF('Master Room List'!R30="","",'Master Room List'!R30)</f>
        <v/>
      </c>
      <c r="D20" s="478"/>
      <c r="E20" s="478"/>
      <c r="F20" s="478"/>
      <c r="G20" s="478"/>
      <c r="H20" s="478"/>
      <c r="I20" s="36"/>
    </row>
    <row r="21" spans="2:9" x14ac:dyDescent="0.25">
      <c r="B21" s="18">
        <v>16</v>
      </c>
      <c r="C21" s="19" t="str">
        <f>IF('Master Room List'!R31="","",'Master Room List'!R31)</f>
        <v/>
      </c>
      <c r="D21" s="478"/>
      <c r="E21" s="478"/>
      <c r="F21" s="478"/>
      <c r="G21" s="478"/>
      <c r="H21" s="478"/>
      <c r="I21" s="36"/>
    </row>
    <row r="22" spans="2:9" x14ac:dyDescent="0.25">
      <c r="B22" s="18">
        <v>17</v>
      </c>
      <c r="C22" s="19" t="str">
        <f>IF('Master Room List'!R32="","",'Master Room List'!R32)</f>
        <v/>
      </c>
      <c r="D22" s="478"/>
      <c r="E22" s="478"/>
      <c r="F22" s="478"/>
      <c r="G22" s="478"/>
      <c r="H22" s="478"/>
      <c r="I22" s="36"/>
    </row>
    <row r="23" spans="2:9" x14ac:dyDescent="0.25">
      <c r="B23" s="18">
        <v>18</v>
      </c>
      <c r="C23" s="19" t="str">
        <f>IF('Master Room List'!R33="","",'Master Room List'!R33)</f>
        <v/>
      </c>
      <c r="D23" s="478"/>
      <c r="E23" s="478"/>
      <c r="F23" s="478"/>
      <c r="G23" s="478"/>
      <c r="H23" s="478"/>
      <c r="I23" s="36"/>
    </row>
    <row r="24" spans="2:9" x14ac:dyDescent="0.25">
      <c r="B24" s="18">
        <v>19</v>
      </c>
      <c r="C24" s="19" t="str">
        <f>IF('Master Room List'!R34="","",'Master Room List'!R34)</f>
        <v/>
      </c>
      <c r="D24" s="478"/>
      <c r="E24" s="478"/>
      <c r="F24" s="478"/>
      <c r="G24" s="478"/>
      <c r="H24" s="478"/>
      <c r="I24" s="36"/>
    </row>
    <row r="25" spans="2:9" x14ac:dyDescent="0.25">
      <c r="B25" s="18">
        <v>20</v>
      </c>
      <c r="C25" s="19" t="str">
        <f>IF('Master Room List'!R35="","",'Master Room List'!R35)</f>
        <v/>
      </c>
      <c r="D25" s="478"/>
      <c r="E25" s="478"/>
      <c r="F25" s="478"/>
      <c r="G25" s="478"/>
      <c r="H25" s="478"/>
      <c r="I25" s="36"/>
    </row>
    <row r="26" spans="2:9" x14ac:dyDescent="0.25">
      <c r="B26" s="18">
        <v>21</v>
      </c>
      <c r="C26" s="19" t="str">
        <f>IF('Master Room List'!R36="","",'Master Room List'!R36)</f>
        <v/>
      </c>
      <c r="D26" s="478"/>
      <c r="E26" s="478"/>
      <c r="F26" s="478"/>
      <c r="G26" s="478"/>
      <c r="H26" s="478"/>
      <c r="I26" s="36"/>
    </row>
    <row r="27" spans="2:9" x14ac:dyDescent="0.25">
      <c r="B27" s="18">
        <v>22</v>
      </c>
      <c r="C27" s="19" t="str">
        <f>IF('Master Room List'!R37="","",'Master Room List'!R37)</f>
        <v/>
      </c>
      <c r="D27" s="478"/>
      <c r="E27" s="478"/>
      <c r="F27" s="478"/>
      <c r="G27" s="478"/>
      <c r="H27" s="478"/>
      <c r="I27" s="36"/>
    </row>
    <row r="28" spans="2:9" x14ac:dyDescent="0.25">
      <c r="B28" s="18">
        <v>23</v>
      </c>
      <c r="C28" s="19" t="str">
        <f>IF('Master Room List'!R38="","",'Master Room List'!R38)</f>
        <v/>
      </c>
      <c r="D28" s="478"/>
      <c r="E28" s="478"/>
      <c r="F28" s="478"/>
      <c r="G28" s="478"/>
      <c r="H28" s="478"/>
      <c r="I28" s="36"/>
    </row>
    <row r="29" spans="2:9" x14ac:dyDescent="0.25">
      <c r="B29" s="18">
        <v>24</v>
      </c>
      <c r="C29" s="19" t="str">
        <f>IF('Master Room List'!R39="","",'Master Room List'!R39)</f>
        <v/>
      </c>
      <c r="D29" s="478"/>
      <c r="E29" s="478"/>
      <c r="F29" s="478"/>
      <c r="G29" s="478"/>
      <c r="H29" s="478"/>
      <c r="I29" s="36"/>
    </row>
    <row r="30" spans="2:9" x14ac:dyDescent="0.25">
      <c r="B30" s="18">
        <v>25</v>
      </c>
      <c r="C30" s="19" t="str">
        <f>IF('Master Room List'!R40="","",'Master Room List'!R40)</f>
        <v/>
      </c>
      <c r="D30" s="478"/>
      <c r="E30" s="478"/>
      <c r="F30" s="478"/>
      <c r="G30" s="478"/>
      <c r="H30" s="478"/>
      <c r="I30" s="36"/>
    </row>
    <row r="31" spans="2:9" x14ac:dyDescent="0.25">
      <c r="B31" s="18">
        <v>26</v>
      </c>
      <c r="C31" s="19" t="str">
        <f>IF('Master Room List'!R41="","",'Master Room List'!R41)</f>
        <v/>
      </c>
      <c r="D31" s="478"/>
      <c r="E31" s="478"/>
      <c r="F31" s="478"/>
      <c r="G31" s="478"/>
      <c r="H31" s="478"/>
      <c r="I31" s="36"/>
    </row>
    <row r="32" spans="2:9" x14ac:dyDescent="0.25">
      <c r="B32" s="18">
        <v>27</v>
      </c>
      <c r="C32" s="19" t="str">
        <f>IF('Master Room List'!R42="","",'Master Room List'!R42)</f>
        <v/>
      </c>
      <c r="D32" s="478"/>
      <c r="E32" s="478"/>
      <c r="F32" s="478"/>
      <c r="G32" s="478"/>
      <c r="H32" s="478"/>
      <c r="I32" s="36"/>
    </row>
    <row r="33" spans="2:9" x14ac:dyDescent="0.25">
      <c r="B33" s="18">
        <v>28</v>
      </c>
      <c r="C33" s="19" t="str">
        <f>IF('Master Room List'!R43="","",'Master Room List'!R43)</f>
        <v/>
      </c>
      <c r="D33" s="478"/>
      <c r="E33" s="478"/>
      <c r="F33" s="478"/>
      <c r="G33" s="478"/>
      <c r="H33" s="478"/>
      <c r="I33" s="36"/>
    </row>
    <row r="34" spans="2:9" x14ac:dyDescent="0.25">
      <c r="B34" s="18">
        <v>29</v>
      </c>
      <c r="C34" s="19" t="str">
        <f>IF('Master Room List'!R44="","",'Master Room List'!R44)</f>
        <v/>
      </c>
      <c r="D34" s="478"/>
      <c r="E34" s="478"/>
      <c r="F34" s="478"/>
      <c r="G34" s="478"/>
      <c r="H34" s="478"/>
      <c r="I34" s="36"/>
    </row>
    <row r="35" spans="2:9" x14ac:dyDescent="0.25">
      <c r="B35" s="18">
        <v>30</v>
      </c>
      <c r="C35" s="19" t="str">
        <f>IF('Master Room List'!R45="","",'Master Room List'!R45)</f>
        <v/>
      </c>
      <c r="D35" s="478"/>
      <c r="E35" s="478"/>
      <c r="F35" s="478"/>
      <c r="G35" s="478"/>
      <c r="H35" s="478"/>
      <c r="I35" s="36"/>
    </row>
    <row r="36" spans="2:9" x14ac:dyDescent="0.25">
      <c r="B36" s="18">
        <v>31</v>
      </c>
      <c r="C36" s="19" t="str">
        <f>IF('Master Room List'!R46="","",'Master Room List'!R46)</f>
        <v/>
      </c>
      <c r="D36" s="478"/>
      <c r="E36" s="478"/>
      <c r="F36" s="478"/>
      <c r="G36" s="478"/>
      <c r="H36" s="478"/>
      <c r="I36" s="36"/>
    </row>
    <row r="37" spans="2:9" x14ac:dyDescent="0.25">
      <c r="B37" s="18">
        <v>32</v>
      </c>
      <c r="C37" s="19" t="str">
        <f>IF('Master Room List'!R47="","",'Master Room List'!R47)</f>
        <v/>
      </c>
      <c r="D37" s="478"/>
      <c r="E37" s="478"/>
      <c r="F37" s="478"/>
      <c r="G37" s="478"/>
      <c r="H37" s="478"/>
      <c r="I37" s="36"/>
    </row>
    <row r="38" spans="2:9" x14ac:dyDescent="0.25">
      <c r="B38" s="18">
        <v>33</v>
      </c>
      <c r="C38" s="19" t="str">
        <f>IF('Master Room List'!R48="","",'Master Room List'!R48)</f>
        <v/>
      </c>
      <c r="D38" s="478"/>
      <c r="E38" s="478"/>
      <c r="F38" s="478"/>
      <c r="G38" s="478"/>
      <c r="H38" s="478"/>
      <c r="I38" s="36"/>
    </row>
    <row r="39" spans="2:9" x14ac:dyDescent="0.25">
      <c r="B39" s="18">
        <v>34</v>
      </c>
      <c r="C39" s="19" t="str">
        <f>IF('Master Room List'!R49="","",'Master Room List'!R49)</f>
        <v/>
      </c>
      <c r="D39" s="478"/>
      <c r="E39" s="478"/>
      <c r="F39" s="478"/>
      <c r="G39" s="478"/>
      <c r="H39" s="478"/>
      <c r="I39" s="36"/>
    </row>
    <row r="40" spans="2:9" x14ac:dyDescent="0.25">
      <c r="B40" s="18">
        <v>35</v>
      </c>
      <c r="C40" s="19" t="str">
        <f>IF('Master Room List'!R50="","",'Master Room List'!R50)</f>
        <v/>
      </c>
      <c r="D40" s="478"/>
      <c r="E40" s="478"/>
      <c r="F40" s="478"/>
      <c r="G40" s="478"/>
      <c r="H40" s="478"/>
      <c r="I40" s="36"/>
    </row>
    <row r="41" spans="2:9" x14ac:dyDescent="0.25">
      <c r="B41" s="18">
        <v>36</v>
      </c>
      <c r="C41" s="19" t="str">
        <f>IF('Master Room List'!R51="","",'Master Room List'!R51)</f>
        <v/>
      </c>
      <c r="D41" s="478"/>
      <c r="E41" s="478"/>
      <c r="F41" s="478"/>
      <c r="G41" s="478"/>
      <c r="H41" s="478"/>
      <c r="I41" s="36"/>
    </row>
    <row r="42" spans="2:9" x14ac:dyDescent="0.25">
      <c r="B42" s="18">
        <v>37</v>
      </c>
      <c r="C42" s="19" t="str">
        <f>IF('Master Room List'!R52="","",'Master Room List'!R52)</f>
        <v/>
      </c>
      <c r="D42" s="478"/>
      <c r="E42" s="478"/>
      <c r="F42" s="478"/>
      <c r="G42" s="478"/>
      <c r="H42" s="478"/>
      <c r="I42" s="36"/>
    </row>
    <row r="43" spans="2:9" x14ac:dyDescent="0.25">
      <c r="B43" s="18">
        <v>38</v>
      </c>
      <c r="C43" s="19" t="str">
        <f>IF('Master Room List'!R53="","",'Master Room List'!R53)</f>
        <v/>
      </c>
      <c r="D43" s="478"/>
      <c r="E43" s="478"/>
      <c r="F43" s="478"/>
      <c r="G43" s="478"/>
      <c r="H43" s="478"/>
      <c r="I43" s="36"/>
    </row>
    <row r="44" spans="2:9" x14ac:dyDescent="0.25">
      <c r="B44" s="18">
        <v>39</v>
      </c>
      <c r="C44" s="19" t="str">
        <f>IF('Master Room List'!R54="","",'Master Room List'!R54)</f>
        <v/>
      </c>
      <c r="D44" s="478"/>
      <c r="E44" s="478"/>
      <c r="F44" s="478"/>
      <c r="G44" s="478"/>
      <c r="H44" s="478"/>
      <c r="I44" s="36"/>
    </row>
    <row r="45" spans="2:9" x14ac:dyDescent="0.25">
      <c r="B45" s="18">
        <v>40</v>
      </c>
      <c r="C45" s="19" t="str">
        <f>IF('Master Room List'!R55="","",'Master Room List'!R55)</f>
        <v/>
      </c>
      <c r="D45" s="478"/>
      <c r="E45" s="478"/>
      <c r="F45" s="478"/>
      <c r="G45" s="478"/>
      <c r="H45" s="478"/>
      <c r="I45" s="36"/>
    </row>
    <row r="46" spans="2:9" x14ac:dyDescent="0.25">
      <c r="B46" s="18">
        <v>41</v>
      </c>
      <c r="C46" s="19" t="str">
        <f>IF('Master Room List'!R56="","",'Master Room List'!R56)</f>
        <v/>
      </c>
      <c r="D46" s="478"/>
      <c r="E46" s="478"/>
      <c r="F46" s="478"/>
      <c r="G46" s="478"/>
      <c r="H46" s="478"/>
      <c r="I46" s="36"/>
    </row>
    <row r="47" spans="2:9" x14ac:dyDescent="0.25">
      <c r="B47" s="18">
        <v>42</v>
      </c>
      <c r="C47" s="19" t="str">
        <f>IF('Master Room List'!R57="","",'Master Room List'!R57)</f>
        <v/>
      </c>
      <c r="D47" s="478"/>
      <c r="E47" s="478"/>
      <c r="F47" s="478"/>
      <c r="G47" s="478"/>
      <c r="H47" s="478"/>
      <c r="I47" s="36"/>
    </row>
    <row r="48" spans="2:9" x14ac:dyDescent="0.25">
      <c r="B48" s="18">
        <v>43</v>
      </c>
      <c r="C48" s="19" t="str">
        <f>IF('Master Room List'!R58="","",'Master Room List'!R58)</f>
        <v/>
      </c>
      <c r="D48" s="478"/>
      <c r="E48" s="478"/>
      <c r="F48" s="478"/>
      <c r="G48" s="478"/>
      <c r="H48" s="478"/>
      <c r="I48" s="36"/>
    </row>
    <row r="49" spans="2:9" x14ac:dyDescent="0.25">
      <c r="B49" s="18">
        <v>44</v>
      </c>
      <c r="C49" s="19" t="str">
        <f>IF('Master Room List'!R59="","",'Master Room List'!R59)</f>
        <v/>
      </c>
      <c r="D49" s="478"/>
      <c r="E49" s="478"/>
      <c r="F49" s="478"/>
      <c r="G49" s="478"/>
      <c r="H49" s="478"/>
      <c r="I49" s="36"/>
    </row>
    <row r="50" spans="2:9" x14ac:dyDescent="0.25">
      <c r="B50" s="18">
        <v>45</v>
      </c>
      <c r="C50" s="19" t="str">
        <f>IF('Master Room List'!R60="","",'Master Room List'!R60)</f>
        <v/>
      </c>
      <c r="D50" s="478"/>
      <c r="E50" s="478"/>
      <c r="F50" s="478"/>
      <c r="G50" s="478"/>
      <c r="H50" s="478"/>
      <c r="I50" s="36"/>
    </row>
    <row r="51" spans="2:9" x14ac:dyDescent="0.25">
      <c r="B51" s="18">
        <v>46</v>
      </c>
      <c r="C51" s="19" t="str">
        <f>IF('Master Room List'!R61="","",'Master Room List'!R61)</f>
        <v/>
      </c>
      <c r="D51" s="478"/>
      <c r="E51" s="478"/>
      <c r="F51" s="478"/>
      <c r="G51" s="478"/>
      <c r="H51" s="478"/>
      <c r="I51" s="36"/>
    </row>
    <row r="52" spans="2:9" x14ac:dyDescent="0.25">
      <c r="B52" s="18">
        <v>47</v>
      </c>
      <c r="C52" s="19" t="str">
        <f>IF('Master Room List'!R62="","",'Master Room List'!R62)</f>
        <v/>
      </c>
      <c r="D52" s="478"/>
      <c r="E52" s="478"/>
      <c r="F52" s="478"/>
      <c r="G52" s="478"/>
      <c r="H52" s="478"/>
      <c r="I52" s="36"/>
    </row>
    <row r="53" spans="2:9" x14ac:dyDescent="0.25">
      <c r="B53" s="18">
        <v>48</v>
      </c>
      <c r="C53" s="19" t="str">
        <f>IF('Master Room List'!R63="","",'Master Room List'!R63)</f>
        <v/>
      </c>
      <c r="D53" s="478"/>
      <c r="E53" s="478"/>
      <c r="F53" s="478"/>
      <c r="G53" s="478"/>
      <c r="H53" s="478"/>
      <c r="I53" s="36"/>
    </row>
    <row r="54" spans="2:9" x14ac:dyDescent="0.25">
      <c r="B54" s="18">
        <v>49</v>
      </c>
      <c r="C54" s="19" t="str">
        <f>IF('Master Room List'!R64="","",'Master Room List'!R64)</f>
        <v/>
      </c>
      <c r="D54" s="478"/>
      <c r="E54" s="478"/>
      <c r="F54" s="478"/>
      <c r="G54" s="478"/>
      <c r="H54" s="478"/>
      <c r="I54" s="36"/>
    </row>
    <row r="55" spans="2:9" x14ac:dyDescent="0.25">
      <c r="B55" s="18">
        <v>50</v>
      </c>
      <c r="C55" s="19"/>
      <c r="D55" s="478"/>
      <c r="E55" s="478"/>
      <c r="F55" s="478"/>
      <c r="G55" s="478"/>
      <c r="H55" s="478"/>
      <c r="I55" s="36"/>
    </row>
    <row r="56" spans="2:9" x14ac:dyDescent="0.25">
      <c r="B56" s="18">
        <v>51</v>
      </c>
      <c r="C56" s="19"/>
      <c r="D56" s="478"/>
      <c r="E56" s="478"/>
      <c r="F56" s="478"/>
      <c r="G56" s="478"/>
      <c r="H56" s="478"/>
      <c r="I56" s="36"/>
    </row>
    <row r="57" spans="2:9" x14ac:dyDescent="0.25">
      <c r="B57" s="18">
        <v>52</v>
      </c>
      <c r="C57" s="19"/>
      <c r="D57" s="478"/>
      <c r="E57" s="478"/>
      <c r="F57" s="478"/>
      <c r="G57" s="478"/>
      <c r="H57" s="478"/>
      <c r="I57" s="36"/>
    </row>
    <row r="58" spans="2:9" x14ac:dyDescent="0.25">
      <c r="B58" s="18">
        <v>53</v>
      </c>
      <c r="C58" s="19"/>
      <c r="D58" s="478"/>
      <c r="E58" s="478"/>
      <c r="F58" s="478"/>
      <c r="G58" s="478"/>
      <c r="H58" s="478"/>
      <c r="I58" s="36"/>
    </row>
    <row r="59" spans="2:9" x14ac:dyDescent="0.25">
      <c r="B59" s="18">
        <v>54</v>
      </c>
      <c r="C59" s="19"/>
      <c r="D59" s="478"/>
      <c r="E59" s="478"/>
      <c r="F59" s="478"/>
      <c r="G59" s="478"/>
      <c r="H59" s="478"/>
      <c r="I59" s="36"/>
    </row>
    <row r="60" spans="2:9" x14ac:dyDescent="0.25">
      <c r="B60" s="18">
        <v>55</v>
      </c>
      <c r="C60" s="19"/>
      <c r="D60" s="478"/>
      <c r="E60" s="478"/>
      <c r="F60" s="478"/>
      <c r="G60" s="478"/>
      <c r="H60" s="478"/>
      <c r="I60" s="36"/>
    </row>
    <row r="61" spans="2:9" x14ac:dyDescent="0.25">
      <c r="B61" s="18">
        <v>56</v>
      </c>
      <c r="C61" s="19"/>
      <c r="D61" s="478"/>
      <c r="E61" s="478"/>
      <c r="F61" s="478"/>
      <c r="G61" s="478"/>
      <c r="H61" s="478"/>
      <c r="I61" s="36"/>
    </row>
    <row r="62" spans="2:9" x14ac:dyDescent="0.25">
      <c r="B62" s="18">
        <v>57</v>
      </c>
      <c r="C62" s="19"/>
      <c r="D62" s="478"/>
      <c r="E62" s="478"/>
      <c r="F62" s="478"/>
      <c r="G62" s="478"/>
      <c r="H62" s="478"/>
      <c r="I62" s="36"/>
    </row>
    <row r="63" spans="2:9" x14ac:dyDescent="0.25">
      <c r="B63" s="18">
        <v>58</v>
      </c>
      <c r="C63" s="19"/>
      <c r="D63" s="478"/>
      <c r="E63" s="478"/>
      <c r="F63" s="478"/>
      <c r="G63" s="478"/>
      <c r="H63" s="478"/>
      <c r="I63" s="36"/>
    </row>
    <row r="64" spans="2:9" x14ac:dyDescent="0.25">
      <c r="B64" s="18">
        <v>59</v>
      </c>
      <c r="C64" s="19"/>
      <c r="D64" s="478"/>
      <c r="E64" s="478"/>
      <c r="F64" s="478"/>
      <c r="G64" s="478"/>
      <c r="H64" s="478"/>
      <c r="I64" s="36"/>
    </row>
    <row r="65" spans="2:9" x14ac:dyDescent="0.25">
      <c r="B65" s="18">
        <v>60</v>
      </c>
      <c r="C65" s="19"/>
      <c r="D65" s="478"/>
      <c r="E65" s="478"/>
      <c r="F65" s="478"/>
      <c r="G65" s="478"/>
      <c r="H65" s="478"/>
      <c r="I65" s="36"/>
    </row>
    <row r="66" spans="2:9" x14ac:dyDescent="0.25">
      <c r="B66" s="18">
        <v>61</v>
      </c>
      <c r="C66" s="19"/>
      <c r="D66" s="478"/>
      <c r="E66" s="478"/>
      <c r="F66" s="478"/>
      <c r="G66" s="478"/>
      <c r="H66" s="478"/>
      <c r="I66" s="36"/>
    </row>
    <row r="67" spans="2:9" x14ac:dyDescent="0.25">
      <c r="B67" s="18">
        <v>62</v>
      </c>
      <c r="C67" s="19"/>
      <c r="D67" s="478"/>
      <c r="E67" s="478"/>
      <c r="F67" s="478"/>
      <c r="G67" s="478"/>
      <c r="H67" s="478"/>
      <c r="I67" s="36"/>
    </row>
    <row r="68" spans="2:9" x14ac:dyDescent="0.25">
      <c r="B68" s="18">
        <v>63</v>
      </c>
      <c r="C68" s="19"/>
      <c r="D68" s="478"/>
      <c r="E68" s="478"/>
      <c r="F68" s="478"/>
      <c r="G68" s="478"/>
      <c r="H68" s="478"/>
      <c r="I68" s="36"/>
    </row>
    <row r="69" spans="2:9" x14ac:dyDescent="0.25">
      <c r="B69" s="18">
        <v>64</v>
      </c>
      <c r="C69" s="19"/>
      <c r="D69" s="478"/>
      <c r="E69" s="478"/>
      <c r="F69" s="478"/>
      <c r="G69" s="478"/>
      <c r="H69" s="478"/>
      <c r="I69" s="36"/>
    </row>
    <row r="70" spans="2:9" x14ac:dyDescent="0.25">
      <c r="B70" s="18">
        <v>65</v>
      </c>
      <c r="C70" s="19"/>
      <c r="D70" s="478"/>
      <c r="E70" s="478"/>
      <c r="F70" s="478"/>
      <c r="G70" s="478"/>
      <c r="H70" s="478"/>
      <c r="I70" s="36"/>
    </row>
    <row r="71" spans="2:9" x14ac:dyDescent="0.25">
      <c r="B71" s="18">
        <v>66</v>
      </c>
      <c r="C71" s="19"/>
      <c r="D71" s="478"/>
      <c r="E71" s="478"/>
      <c r="F71" s="478"/>
      <c r="G71" s="478"/>
      <c r="H71" s="478"/>
      <c r="I71" s="36"/>
    </row>
    <row r="72" spans="2:9" x14ac:dyDescent="0.25">
      <c r="B72" s="18">
        <v>67</v>
      </c>
      <c r="C72" s="19"/>
      <c r="D72" s="478"/>
      <c r="E72" s="478"/>
      <c r="F72" s="478"/>
      <c r="G72" s="478"/>
      <c r="H72" s="478"/>
      <c r="I72" s="36"/>
    </row>
    <row r="73" spans="2:9" x14ac:dyDescent="0.25">
      <c r="B73" s="18">
        <v>68</v>
      </c>
      <c r="C73" s="19"/>
      <c r="D73" s="478"/>
      <c r="E73" s="478"/>
      <c r="F73" s="478"/>
      <c r="G73" s="478"/>
      <c r="H73" s="478"/>
      <c r="I73" s="36"/>
    </row>
    <row r="74" spans="2:9" x14ac:dyDescent="0.25">
      <c r="B74" s="18">
        <v>69</v>
      </c>
      <c r="C74" s="19"/>
      <c r="D74" s="478"/>
      <c r="E74" s="478"/>
      <c r="F74" s="478"/>
      <c r="G74" s="478"/>
      <c r="H74" s="478"/>
      <c r="I74" s="36"/>
    </row>
    <row r="75" spans="2:9" x14ac:dyDescent="0.25">
      <c r="B75" s="18">
        <v>70</v>
      </c>
      <c r="C75" s="19"/>
      <c r="D75" s="478"/>
      <c r="E75" s="478"/>
      <c r="F75" s="478"/>
      <c r="G75" s="478"/>
      <c r="H75" s="478"/>
      <c r="I75" s="36"/>
    </row>
    <row r="76" spans="2:9" x14ac:dyDescent="0.25">
      <c r="B76" s="18">
        <v>71</v>
      </c>
      <c r="C76" s="19"/>
      <c r="D76" s="478"/>
      <c r="E76" s="478"/>
      <c r="F76" s="478"/>
      <c r="G76" s="478"/>
      <c r="H76" s="478"/>
      <c r="I76" s="36"/>
    </row>
    <row r="77" spans="2:9" x14ac:dyDescent="0.25">
      <c r="B77" s="18">
        <v>72</v>
      </c>
      <c r="C77" s="19"/>
      <c r="D77" s="478"/>
      <c r="E77" s="478"/>
      <c r="F77" s="478"/>
      <c r="G77" s="478"/>
      <c r="H77" s="478"/>
      <c r="I77" s="36"/>
    </row>
    <row r="78" spans="2:9" x14ac:dyDescent="0.25">
      <c r="B78" s="18">
        <v>73</v>
      </c>
      <c r="C78" s="19"/>
      <c r="D78" s="478"/>
      <c r="E78" s="478"/>
      <c r="F78" s="478"/>
      <c r="G78" s="478"/>
      <c r="H78" s="478"/>
      <c r="I78" s="36"/>
    </row>
    <row r="79" spans="2:9" x14ac:dyDescent="0.25">
      <c r="B79" s="18">
        <v>74</v>
      </c>
      <c r="C79" s="19"/>
      <c r="D79" s="478"/>
      <c r="E79" s="478"/>
      <c r="F79" s="478"/>
      <c r="G79" s="478"/>
      <c r="H79" s="478"/>
      <c r="I79" s="36"/>
    </row>
    <row r="80" spans="2:9" x14ac:dyDescent="0.25">
      <c r="B80" s="18">
        <v>75</v>
      </c>
      <c r="C80" s="19"/>
      <c r="D80" s="478"/>
      <c r="E80" s="478"/>
      <c r="F80" s="478"/>
      <c r="G80" s="478"/>
      <c r="H80" s="478"/>
      <c r="I80" s="36"/>
    </row>
    <row r="81" spans="2:9" x14ac:dyDescent="0.25">
      <c r="B81" s="18">
        <v>76</v>
      </c>
      <c r="C81" s="19"/>
      <c r="D81" s="478"/>
      <c r="E81" s="478"/>
      <c r="F81" s="478"/>
      <c r="G81" s="478"/>
      <c r="H81" s="478"/>
      <c r="I81" s="36"/>
    </row>
    <row r="82" spans="2:9" x14ac:dyDescent="0.25">
      <c r="B82" s="18">
        <v>77</v>
      </c>
      <c r="C82" s="19"/>
      <c r="D82" s="478"/>
      <c r="E82" s="478"/>
      <c r="F82" s="478"/>
      <c r="G82" s="478"/>
      <c r="H82" s="478"/>
      <c r="I82" s="36"/>
    </row>
    <row r="83" spans="2:9" x14ac:dyDescent="0.25">
      <c r="B83" s="18">
        <v>78</v>
      </c>
      <c r="C83" s="19"/>
      <c r="D83" s="478"/>
      <c r="E83" s="478"/>
      <c r="F83" s="478"/>
      <c r="G83" s="478"/>
      <c r="H83" s="478"/>
      <c r="I83" s="36"/>
    </row>
    <row r="84" spans="2:9" x14ac:dyDescent="0.25">
      <c r="B84" s="18">
        <v>79</v>
      </c>
      <c r="C84" s="19"/>
      <c r="D84" s="478"/>
      <c r="E84" s="478"/>
      <c r="F84" s="478"/>
      <c r="G84" s="478"/>
      <c r="H84" s="478"/>
      <c r="I84" s="36"/>
    </row>
    <row r="85" spans="2:9" x14ac:dyDescent="0.25">
      <c r="B85" s="18">
        <v>80</v>
      </c>
      <c r="C85" s="19"/>
      <c r="D85" s="478"/>
      <c r="E85" s="478"/>
      <c r="F85" s="478"/>
      <c r="G85" s="478"/>
      <c r="H85" s="478"/>
      <c r="I85" s="36"/>
    </row>
    <row r="86" spans="2:9" x14ac:dyDescent="0.25">
      <c r="B86" s="18">
        <v>81</v>
      </c>
      <c r="C86" s="19"/>
      <c r="D86" s="478"/>
      <c r="E86" s="478"/>
      <c r="F86" s="478"/>
      <c r="G86" s="478"/>
      <c r="H86" s="478"/>
      <c r="I86" s="36"/>
    </row>
    <row r="87" spans="2:9" x14ac:dyDescent="0.25">
      <c r="B87" s="18">
        <v>82</v>
      </c>
      <c r="C87" s="19"/>
      <c r="D87" s="478"/>
      <c r="E87" s="478"/>
      <c r="F87" s="478"/>
      <c r="G87" s="478"/>
      <c r="H87" s="478"/>
      <c r="I87" s="36"/>
    </row>
    <row r="88" spans="2:9" x14ac:dyDescent="0.25">
      <c r="B88" s="18">
        <v>83</v>
      </c>
      <c r="C88" s="19"/>
      <c r="D88" s="478"/>
      <c r="E88" s="478"/>
      <c r="F88" s="478"/>
      <c r="G88" s="478"/>
      <c r="H88" s="478"/>
      <c r="I88" s="36"/>
    </row>
    <row r="89" spans="2:9" x14ac:dyDescent="0.25">
      <c r="B89" s="18">
        <v>84</v>
      </c>
      <c r="C89" s="19"/>
      <c r="D89" s="478"/>
      <c r="E89" s="478"/>
      <c r="F89" s="478"/>
      <c r="G89" s="478"/>
      <c r="H89" s="478"/>
      <c r="I89" s="36"/>
    </row>
    <row r="90" spans="2:9" x14ac:dyDescent="0.25">
      <c r="B90" s="18">
        <v>85</v>
      </c>
      <c r="C90" s="19"/>
      <c r="D90" s="478"/>
      <c r="E90" s="478"/>
      <c r="F90" s="478"/>
      <c r="G90" s="478"/>
      <c r="H90" s="478"/>
      <c r="I90" s="36"/>
    </row>
    <row r="91" spans="2:9" x14ac:dyDescent="0.25">
      <c r="B91" s="18">
        <v>86</v>
      </c>
      <c r="C91" s="19"/>
      <c r="D91" s="478"/>
      <c r="E91" s="478"/>
      <c r="F91" s="478"/>
      <c r="G91" s="478"/>
      <c r="H91" s="478"/>
      <c r="I91" s="36"/>
    </row>
    <row r="92" spans="2:9" x14ac:dyDescent="0.25">
      <c r="B92" s="18">
        <v>87</v>
      </c>
      <c r="C92" s="19"/>
      <c r="D92" s="478"/>
      <c r="E92" s="478"/>
      <c r="F92" s="478"/>
      <c r="G92" s="478"/>
      <c r="H92" s="478"/>
      <c r="I92" s="36"/>
    </row>
    <row r="93" spans="2:9" x14ac:dyDescent="0.25">
      <c r="B93" s="18">
        <v>88</v>
      </c>
      <c r="C93" s="19"/>
      <c r="D93" s="478"/>
      <c r="E93" s="478"/>
      <c r="F93" s="478"/>
      <c r="G93" s="478"/>
      <c r="H93" s="478"/>
      <c r="I93" s="36"/>
    </row>
    <row r="94" spans="2:9" x14ac:dyDescent="0.25">
      <c r="B94" s="18">
        <v>89</v>
      </c>
      <c r="C94" s="19"/>
      <c r="D94" s="478"/>
      <c r="E94" s="478"/>
      <c r="F94" s="478"/>
      <c r="G94" s="478"/>
      <c r="H94" s="478"/>
      <c r="I94" s="36"/>
    </row>
    <row r="95" spans="2:9" x14ac:dyDescent="0.25">
      <c r="B95" s="18">
        <v>90</v>
      </c>
      <c r="C95" s="19"/>
      <c r="D95" s="478"/>
      <c r="E95" s="478"/>
      <c r="F95" s="478"/>
      <c r="G95" s="478"/>
      <c r="H95" s="478"/>
      <c r="I95" s="36"/>
    </row>
    <row r="96" spans="2:9" x14ac:dyDescent="0.25">
      <c r="B96" s="18">
        <v>91</v>
      </c>
      <c r="C96" s="19"/>
      <c r="D96" s="478"/>
      <c r="E96" s="478"/>
      <c r="F96" s="478"/>
      <c r="G96" s="478"/>
      <c r="H96" s="478"/>
      <c r="I96" s="36"/>
    </row>
    <row r="97" spans="2:9" x14ac:dyDescent="0.25">
      <c r="B97" s="18">
        <v>92</v>
      </c>
      <c r="C97" s="19"/>
      <c r="D97" s="478"/>
      <c r="E97" s="478"/>
      <c r="F97" s="478"/>
      <c r="G97" s="478"/>
      <c r="H97" s="478"/>
      <c r="I97" s="36"/>
    </row>
    <row r="98" spans="2:9" x14ac:dyDescent="0.25">
      <c r="B98" s="18">
        <v>93</v>
      </c>
      <c r="C98" s="19"/>
      <c r="D98" s="478"/>
      <c r="E98" s="478"/>
      <c r="F98" s="478"/>
      <c r="G98" s="478"/>
      <c r="H98" s="478"/>
      <c r="I98" s="36"/>
    </row>
    <row r="99" spans="2:9" x14ac:dyDescent="0.25">
      <c r="B99" s="18">
        <v>94</v>
      </c>
      <c r="C99" s="19"/>
      <c r="D99" s="478"/>
      <c r="E99" s="478"/>
      <c r="F99" s="478"/>
      <c r="G99" s="478"/>
      <c r="H99" s="478"/>
      <c r="I99" s="36"/>
    </row>
    <row r="100" spans="2:9" x14ac:dyDescent="0.25">
      <c r="B100" s="18">
        <v>95</v>
      </c>
      <c r="C100" s="19"/>
      <c r="D100" s="478"/>
      <c r="E100" s="478"/>
      <c r="F100" s="478"/>
      <c r="G100" s="478"/>
      <c r="H100" s="478"/>
      <c r="I100" s="36"/>
    </row>
    <row r="101" spans="2:9" x14ac:dyDescent="0.25">
      <c r="B101" s="18">
        <v>96</v>
      </c>
      <c r="C101" s="19"/>
      <c r="D101" s="478"/>
      <c r="E101" s="478"/>
      <c r="F101" s="478"/>
      <c r="G101" s="478"/>
      <c r="H101" s="478"/>
      <c r="I101" s="36"/>
    </row>
    <row r="102" spans="2:9" x14ac:dyDescent="0.25">
      <c r="B102" s="18">
        <v>97</v>
      </c>
      <c r="C102" s="19"/>
      <c r="D102" s="478"/>
      <c r="E102" s="478"/>
      <c r="F102" s="478"/>
      <c r="G102" s="478"/>
      <c r="H102" s="478"/>
      <c r="I102" s="36"/>
    </row>
    <row r="103" spans="2:9" x14ac:dyDescent="0.25">
      <c r="B103" s="18">
        <v>98</v>
      </c>
      <c r="C103" s="19"/>
      <c r="D103" s="478"/>
      <c r="E103" s="478"/>
      <c r="F103" s="478"/>
      <c r="G103" s="478"/>
      <c r="H103" s="478"/>
      <c r="I103" s="36"/>
    </row>
    <row r="104" spans="2:9" x14ac:dyDescent="0.25">
      <c r="B104" s="18">
        <v>99</v>
      </c>
      <c r="C104" s="19"/>
      <c r="D104" s="478"/>
      <c r="E104" s="478"/>
      <c r="F104" s="478"/>
      <c r="G104" s="478"/>
      <c r="H104" s="478"/>
      <c r="I104" s="36"/>
    </row>
    <row r="105" spans="2:9" x14ac:dyDescent="0.25">
      <c r="B105" s="18">
        <v>100</v>
      </c>
      <c r="C105" s="19"/>
      <c r="D105" s="478"/>
      <c r="E105" s="478"/>
      <c r="F105" s="478"/>
      <c r="G105" s="478"/>
      <c r="H105" s="478"/>
      <c r="I105" s="36"/>
    </row>
    <row r="106" spans="2:9" x14ac:dyDescent="0.25">
      <c r="B106" s="18">
        <v>101</v>
      </c>
      <c r="C106" s="19"/>
      <c r="D106" s="478"/>
      <c r="E106" s="478"/>
      <c r="F106" s="478"/>
      <c r="G106" s="478"/>
      <c r="H106" s="478"/>
      <c r="I106" s="36"/>
    </row>
    <row r="107" spans="2:9" x14ac:dyDescent="0.25">
      <c r="B107" s="18">
        <v>102</v>
      </c>
      <c r="C107" s="19"/>
      <c r="D107" s="478"/>
      <c r="E107" s="478"/>
      <c r="F107" s="478"/>
      <c r="G107" s="478"/>
      <c r="H107" s="478"/>
      <c r="I107" s="36"/>
    </row>
    <row r="108" spans="2:9" x14ac:dyDescent="0.25">
      <c r="B108" s="18">
        <v>103</v>
      </c>
      <c r="C108" s="19"/>
      <c r="D108" s="478"/>
      <c r="E108" s="478"/>
      <c r="F108" s="478"/>
      <c r="G108" s="478"/>
      <c r="H108" s="478"/>
      <c r="I108" s="36"/>
    </row>
    <row r="109" spans="2:9" x14ac:dyDescent="0.25">
      <c r="B109" s="18">
        <v>104</v>
      </c>
      <c r="C109" s="19"/>
      <c r="D109" s="478"/>
      <c r="E109" s="478"/>
      <c r="F109" s="478"/>
      <c r="G109" s="478"/>
      <c r="H109" s="478"/>
      <c r="I109" s="36"/>
    </row>
    <row r="110" spans="2:9" x14ac:dyDescent="0.25">
      <c r="B110" s="18">
        <v>105</v>
      </c>
      <c r="C110" s="19"/>
      <c r="D110" s="478"/>
      <c r="E110" s="478"/>
      <c r="F110" s="478"/>
      <c r="G110" s="478"/>
      <c r="H110" s="478"/>
      <c r="I110" s="36"/>
    </row>
    <row r="111" spans="2:9" x14ac:dyDescent="0.25">
      <c r="B111" s="18">
        <v>106</v>
      </c>
      <c r="C111" s="19"/>
      <c r="D111" s="478"/>
      <c r="E111" s="478"/>
      <c r="F111" s="478"/>
      <c r="G111" s="478"/>
      <c r="H111" s="478"/>
      <c r="I111" s="36"/>
    </row>
    <row r="112" spans="2:9" x14ac:dyDescent="0.25">
      <c r="B112" s="18">
        <v>107</v>
      </c>
      <c r="C112" s="19"/>
      <c r="D112" s="478"/>
      <c r="E112" s="478"/>
      <c r="F112" s="478"/>
      <c r="G112" s="478"/>
      <c r="H112" s="478"/>
      <c r="I112" s="36"/>
    </row>
    <row r="113" spans="2:9" x14ac:dyDescent="0.25">
      <c r="B113" s="18">
        <v>108</v>
      </c>
      <c r="C113" s="19"/>
      <c r="D113" s="478"/>
      <c r="E113" s="478"/>
      <c r="F113" s="478"/>
      <c r="G113" s="478"/>
      <c r="H113" s="478"/>
      <c r="I113" s="36"/>
    </row>
    <row r="114" spans="2:9" x14ac:dyDescent="0.25">
      <c r="B114" s="18">
        <v>109</v>
      </c>
      <c r="C114" s="19"/>
      <c r="D114" s="478"/>
      <c r="E114" s="478"/>
      <c r="F114" s="478"/>
      <c r="G114" s="478"/>
      <c r="H114" s="478"/>
      <c r="I114" s="36"/>
    </row>
    <row r="115" spans="2:9" x14ac:dyDescent="0.25">
      <c r="B115" s="18">
        <v>110</v>
      </c>
      <c r="C115" s="19"/>
      <c r="D115" s="478"/>
      <c r="E115" s="478"/>
      <c r="F115" s="478"/>
      <c r="G115" s="478"/>
      <c r="H115" s="478"/>
      <c r="I115" s="36"/>
    </row>
    <row r="116" spans="2:9" x14ac:dyDescent="0.25">
      <c r="B116" s="18">
        <v>111</v>
      </c>
      <c r="C116" s="19"/>
      <c r="D116" s="478"/>
      <c r="E116" s="478"/>
      <c r="F116" s="478"/>
      <c r="G116" s="478"/>
      <c r="H116" s="478"/>
      <c r="I116" s="36"/>
    </row>
    <row r="117" spans="2:9" x14ac:dyDescent="0.25">
      <c r="B117" s="18">
        <v>112</v>
      </c>
      <c r="C117" s="19"/>
      <c r="D117" s="478"/>
      <c r="E117" s="478"/>
      <c r="F117" s="478"/>
      <c r="G117" s="478"/>
      <c r="H117" s="478"/>
      <c r="I117" s="36"/>
    </row>
    <row r="118" spans="2:9" x14ac:dyDescent="0.25">
      <c r="B118" s="18">
        <v>113</v>
      </c>
      <c r="C118" s="19"/>
      <c r="D118" s="478"/>
      <c r="E118" s="478"/>
      <c r="F118" s="478"/>
      <c r="G118" s="478"/>
      <c r="H118" s="478"/>
      <c r="I118" s="36"/>
    </row>
    <row r="119" spans="2:9" x14ac:dyDescent="0.25">
      <c r="B119" s="18">
        <v>114</v>
      </c>
      <c r="C119" s="19"/>
      <c r="D119" s="478"/>
      <c r="E119" s="478"/>
      <c r="F119" s="478"/>
      <c r="G119" s="478"/>
      <c r="H119" s="478"/>
      <c r="I119" s="36"/>
    </row>
    <row r="120" spans="2:9" x14ac:dyDescent="0.25">
      <c r="B120" s="18">
        <v>115</v>
      </c>
      <c r="C120" s="19"/>
      <c r="D120" s="478"/>
      <c r="E120" s="478"/>
      <c r="F120" s="478"/>
      <c r="G120" s="478"/>
      <c r="H120" s="478"/>
      <c r="I120" s="36"/>
    </row>
    <row r="121" spans="2:9" x14ac:dyDescent="0.25">
      <c r="B121" s="18">
        <v>116</v>
      </c>
      <c r="C121" s="19"/>
      <c r="D121" s="478"/>
      <c r="E121" s="478"/>
      <c r="F121" s="478"/>
      <c r="G121" s="478"/>
      <c r="H121" s="478"/>
      <c r="I121" s="36"/>
    </row>
    <row r="122" spans="2:9" x14ac:dyDescent="0.25">
      <c r="B122" s="18">
        <v>117</v>
      </c>
      <c r="C122" s="19"/>
      <c r="D122" s="478"/>
      <c r="E122" s="478"/>
      <c r="F122" s="478"/>
      <c r="G122" s="478"/>
      <c r="H122" s="478"/>
      <c r="I122" s="36"/>
    </row>
    <row r="123" spans="2:9" x14ac:dyDescent="0.25">
      <c r="B123" s="18">
        <v>118</v>
      </c>
      <c r="C123" s="19"/>
      <c r="D123" s="478"/>
      <c r="E123" s="478"/>
      <c r="F123" s="478"/>
      <c r="G123" s="478"/>
      <c r="H123" s="478"/>
      <c r="I123" s="36"/>
    </row>
    <row r="124" spans="2:9" x14ac:dyDescent="0.25">
      <c r="B124" s="18">
        <v>119</v>
      </c>
      <c r="C124" s="19"/>
      <c r="D124" s="478"/>
      <c r="E124" s="478"/>
      <c r="F124" s="478"/>
      <c r="G124" s="478"/>
      <c r="H124" s="478"/>
      <c r="I124" s="36"/>
    </row>
    <row r="125" spans="2:9" x14ac:dyDescent="0.25">
      <c r="B125" s="18">
        <v>120</v>
      </c>
      <c r="C125" s="19"/>
      <c r="D125" s="478"/>
      <c r="E125" s="478"/>
      <c r="F125" s="478"/>
      <c r="G125" s="478"/>
      <c r="H125" s="478"/>
      <c r="I125" s="36"/>
    </row>
    <row r="126" spans="2:9" x14ac:dyDescent="0.25">
      <c r="B126" s="18">
        <v>121</v>
      </c>
      <c r="C126" s="19"/>
      <c r="D126" s="478"/>
      <c r="E126" s="478"/>
      <c r="F126" s="478"/>
      <c r="G126" s="478"/>
      <c r="H126" s="478"/>
      <c r="I126" s="36"/>
    </row>
    <row r="127" spans="2:9" x14ac:dyDescent="0.25">
      <c r="B127" s="18">
        <v>122</v>
      </c>
      <c r="C127" s="19"/>
      <c r="D127" s="478"/>
      <c r="E127" s="478"/>
      <c r="F127" s="478"/>
      <c r="G127" s="478"/>
      <c r="H127" s="478"/>
      <c r="I127" s="36"/>
    </row>
    <row r="128" spans="2:9" x14ac:dyDescent="0.25">
      <c r="B128" s="18">
        <v>123</v>
      </c>
      <c r="C128" s="19"/>
      <c r="D128" s="478"/>
      <c r="E128" s="478"/>
      <c r="F128" s="478"/>
      <c r="G128" s="478"/>
      <c r="H128" s="478"/>
      <c r="I128" s="36"/>
    </row>
    <row r="129" spans="2:9" x14ac:dyDescent="0.25">
      <c r="B129" s="18">
        <v>124</v>
      </c>
      <c r="C129" s="19"/>
      <c r="D129" s="478"/>
      <c r="E129" s="478"/>
      <c r="F129" s="478"/>
      <c r="G129" s="478"/>
      <c r="H129" s="478"/>
      <c r="I129" s="36"/>
    </row>
    <row r="130" spans="2:9" x14ac:dyDescent="0.25">
      <c r="B130" s="18">
        <v>125</v>
      </c>
      <c r="C130" s="19"/>
      <c r="D130" s="478"/>
      <c r="E130" s="478"/>
      <c r="F130" s="478"/>
      <c r="G130" s="478"/>
      <c r="H130" s="478"/>
      <c r="I130" s="36"/>
    </row>
    <row r="131" spans="2:9" x14ac:dyDescent="0.25">
      <c r="B131" s="18">
        <v>126</v>
      </c>
      <c r="C131" s="19"/>
      <c r="D131" s="478"/>
      <c r="E131" s="478"/>
      <c r="F131" s="478"/>
      <c r="G131" s="478"/>
      <c r="H131" s="478"/>
      <c r="I131" s="36"/>
    </row>
    <row r="132" spans="2:9" x14ac:dyDescent="0.25">
      <c r="B132" s="18">
        <v>127</v>
      </c>
      <c r="C132" s="19"/>
      <c r="D132" s="478"/>
      <c r="E132" s="478"/>
      <c r="F132" s="478"/>
      <c r="G132" s="478"/>
      <c r="H132" s="478"/>
      <c r="I132" s="36"/>
    </row>
    <row r="133" spans="2:9" x14ac:dyDescent="0.25">
      <c r="B133" s="18">
        <v>128</v>
      </c>
      <c r="C133" s="19"/>
      <c r="D133" s="478"/>
      <c r="E133" s="478"/>
      <c r="F133" s="478"/>
      <c r="G133" s="478"/>
      <c r="H133" s="478"/>
      <c r="I133" s="36"/>
    </row>
    <row r="134" spans="2:9" x14ac:dyDescent="0.25">
      <c r="B134" s="18">
        <v>129</v>
      </c>
      <c r="C134" s="19"/>
      <c r="D134" s="478"/>
      <c r="E134" s="478"/>
      <c r="F134" s="478"/>
      <c r="G134" s="478"/>
      <c r="H134" s="478"/>
      <c r="I134" s="36"/>
    </row>
    <row r="135" spans="2:9" x14ac:dyDescent="0.25">
      <c r="B135" s="18">
        <v>130</v>
      </c>
      <c r="C135" s="19"/>
      <c r="D135" s="478"/>
      <c r="E135" s="478"/>
      <c r="F135" s="478"/>
      <c r="G135" s="478"/>
      <c r="H135" s="478"/>
      <c r="I135" s="36"/>
    </row>
    <row r="136" spans="2:9" x14ac:dyDescent="0.25">
      <c r="B136" s="18">
        <v>131</v>
      </c>
      <c r="C136" s="19"/>
      <c r="D136" s="478"/>
      <c r="E136" s="478"/>
      <c r="F136" s="478"/>
      <c r="G136" s="478"/>
      <c r="H136" s="478"/>
      <c r="I136" s="36"/>
    </row>
    <row r="137" spans="2:9" x14ac:dyDescent="0.25">
      <c r="B137" s="18">
        <v>132</v>
      </c>
      <c r="C137" s="19"/>
      <c r="D137" s="478"/>
      <c r="E137" s="478"/>
      <c r="F137" s="478"/>
      <c r="G137" s="478"/>
      <c r="H137" s="478"/>
      <c r="I137" s="36"/>
    </row>
    <row r="138" spans="2:9" x14ac:dyDescent="0.25">
      <c r="B138" s="18">
        <v>133</v>
      </c>
      <c r="C138" s="19"/>
      <c r="D138" s="478"/>
      <c r="E138" s="478"/>
      <c r="F138" s="478"/>
      <c r="G138" s="478"/>
      <c r="H138" s="478"/>
      <c r="I138" s="36"/>
    </row>
    <row r="139" spans="2:9" x14ac:dyDescent="0.25">
      <c r="B139" s="18">
        <v>134</v>
      </c>
      <c r="C139" s="19"/>
      <c r="D139" s="478"/>
      <c r="E139" s="478"/>
      <c r="F139" s="478"/>
      <c r="G139" s="478"/>
      <c r="H139" s="478"/>
      <c r="I139" s="36"/>
    </row>
    <row r="140" spans="2:9" x14ac:dyDescent="0.25">
      <c r="B140" s="18">
        <v>135</v>
      </c>
      <c r="C140" s="19"/>
      <c r="D140" s="478"/>
      <c r="E140" s="478"/>
      <c r="F140" s="478"/>
      <c r="G140" s="478"/>
      <c r="H140" s="478"/>
      <c r="I140" s="36"/>
    </row>
    <row r="141" spans="2:9" x14ac:dyDescent="0.25">
      <c r="B141" s="18">
        <v>136</v>
      </c>
      <c r="C141" s="19"/>
      <c r="D141" s="478"/>
      <c r="E141" s="478"/>
      <c r="F141" s="478"/>
      <c r="G141" s="478"/>
      <c r="H141" s="478"/>
      <c r="I141" s="36"/>
    </row>
    <row r="142" spans="2:9" x14ac:dyDescent="0.25">
      <c r="B142" s="18">
        <v>137</v>
      </c>
      <c r="C142" s="19"/>
      <c r="D142" s="478"/>
      <c r="E142" s="478"/>
      <c r="F142" s="478"/>
      <c r="G142" s="478"/>
      <c r="H142" s="478"/>
      <c r="I142" s="36"/>
    </row>
    <row r="143" spans="2:9" x14ac:dyDescent="0.25">
      <c r="B143" s="18">
        <v>138</v>
      </c>
      <c r="C143" s="19"/>
      <c r="D143" s="478"/>
      <c r="E143" s="478"/>
      <c r="F143" s="478"/>
      <c r="G143" s="478"/>
      <c r="H143" s="478"/>
      <c r="I143" s="36"/>
    </row>
    <row r="144" spans="2:9" x14ac:dyDescent="0.25">
      <c r="B144" s="18">
        <v>139</v>
      </c>
      <c r="C144" s="19"/>
      <c r="D144" s="478"/>
      <c r="E144" s="478"/>
      <c r="F144" s="478"/>
      <c r="G144" s="478"/>
      <c r="H144" s="478"/>
      <c r="I144" s="36"/>
    </row>
    <row r="145" spans="2:9" x14ac:dyDescent="0.25">
      <c r="B145" s="18">
        <v>140</v>
      </c>
      <c r="C145" s="19"/>
      <c r="D145" s="478"/>
      <c r="E145" s="478"/>
      <c r="F145" s="478"/>
      <c r="G145" s="478"/>
      <c r="H145" s="478"/>
      <c r="I145" s="36"/>
    </row>
    <row r="146" spans="2:9" x14ac:dyDescent="0.25">
      <c r="B146" s="18">
        <v>141</v>
      </c>
      <c r="C146" s="19"/>
      <c r="D146" s="478"/>
      <c r="E146" s="478"/>
      <c r="F146" s="478"/>
      <c r="G146" s="478"/>
      <c r="H146" s="478"/>
      <c r="I146" s="36"/>
    </row>
    <row r="147" spans="2:9" x14ac:dyDescent="0.25">
      <c r="B147" s="18">
        <v>142</v>
      </c>
      <c r="C147" s="19"/>
      <c r="D147" s="478"/>
      <c r="E147" s="478"/>
      <c r="F147" s="478"/>
      <c r="G147" s="478"/>
      <c r="H147" s="478"/>
      <c r="I147" s="36"/>
    </row>
    <row r="148" spans="2:9" x14ac:dyDescent="0.25">
      <c r="B148" s="18">
        <v>143</v>
      </c>
      <c r="C148" s="19"/>
      <c r="D148" s="478"/>
      <c r="E148" s="478"/>
      <c r="F148" s="478"/>
      <c r="G148" s="478"/>
      <c r="H148" s="478"/>
      <c r="I148" s="36"/>
    </row>
    <row r="149" spans="2:9" x14ac:dyDescent="0.25">
      <c r="B149" s="18">
        <v>144</v>
      </c>
      <c r="C149" s="19"/>
      <c r="D149" s="478"/>
      <c r="E149" s="478"/>
      <c r="F149" s="478"/>
      <c r="G149" s="478"/>
      <c r="H149" s="478"/>
      <c r="I149" s="36"/>
    </row>
    <row r="150" spans="2:9" x14ac:dyDescent="0.25">
      <c r="B150" s="18">
        <v>145</v>
      </c>
      <c r="C150" s="19"/>
      <c r="D150" s="478"/>
      <c r="E150" s="478"/>
      <c r="F150" s="478"/>
      <c r="G150" s="478"/>
      <c r="H150" s="478"/>
      <c r="I150" s="36"/>
    </row>
    <row r="151" spans="2:9" x14ac:dyDescent="0.25">
      <c r="B151" s="18">
        <v>146</v>
      </c>
      <c r="C151" s="19"/>
      <c r="D151" s="478"/>
      <c r="E151" s="478"/>
      <c r="F151" s="478"/>
      <c r="G151" s="478"/>
      <c r="H151" s="478"/>
      <c r="I151" s="36"/>
    </row>
    <row r="152" spans="2:9" x14ac:dyDescent="0.25">
      <c r="B152" s="18">
        <v>147</v>
      </c>
      <c r="C152" s="19"/>
      <c r="D152" s="478"/>
      <c r="E152" s="478"/>
      <c r="F152" s="478"/>
      <c r="G152" s="478"/>
      <c r="H152" s="478"/>
      <c r="I152" s="36"/>
    </row>
    <row r="153" spans="2:9" x14ac:dyDescent="0.25">
      <c r="B153" s="18">
        <v>148</v>
      </c>
      <c r="C153" s="19"/>
      <c r="D153" s="478"/>
      <c r="E153" s="478"/>
      <c r="F153" s="478"/>
      <c r="G153" s="478"/>
      <c r="H153" s="478"/>
      <c r="I153" s="36"/>
    </row>
    <row r="154" spans="2:9" x14ac:dyDescent="0.25">
      <c r="B154" s="18">
        <v>149</v>
      </c>
      <c r="C154" s="19"/>
      <c r="D154" s="478"/>
      <c r="E154" s="478"/>
      <c r="F154" s="478"/>
      <c r="G154" s="478"/>
      <c r="H154" s="478"/>
      <c r="I154" s="36"/>
    </row>
    <row r="155" spans="2:9" x14ac:dyDescent="0.25">
      <c r="B155" s="18">
        <v>150</v>
      </c>
      <c r="C155" s="19"/>
      <c r="D155" s="478"/>
      <c r="E155" s="478"/>
      <c r="F155" s="478"/>
      <c r="G155" s="478"/>
      <c r="H155" s="478"/>
      <c r="I155" s="36"/>
    </row>
    <row r="156" spans="2:9" x14ac:dyDescent="0.25">
      <c r="B156" s="18">
        <v>151</v>
      </c>
      <c r="C156" s="19"/>
      <c r="D156" s="478"/>
      <c r="E156" s="478"/>
      <c r="F156" s="478"/>
      <c r="G156" s="478"/>
      <c r="H156" s="478"/>
      <c r="I156" s="36"/>
    </row>
    <row r="157" spans="2:9" x14ac:dyDescent="0.25">
      <c r="B157" s="18">
        <v>152</v>
      </c>
      <c r="C157" s="19"/>
      <c r="D157" s="478"/>
      <c r="E157" s="478"/>
      <c r="F157" s="478"/>
      <c r="G157" s="478"/>
      <c r="H157" s="478"/>
      <c r="I157" s="36"/>
    </row>
    <row r="158" spans="2:9" x14ac:dyDescent="0.25">
      <c r="B158" s="18">
        <v>153</v>
      </c>
      <c r="C158" s="19"/>
      <c r="D158" s="478"/>
      <c r="E158" s="478"/>
      <c r="F158" s="478"/>
      <c r="G158" s="478"/>
      <c r="H158" s="478"/>
      <c r="I158" s="36"/>
    </row>
    <row r="159" spans="2:9" x14ac:dyDescent="0.25">
      <c r="B159" s="18">
        <v>154</v>
      </c>
      <c r="C159" s="19"/>
      <c r="D159" s="478"/>
      <c r="E159" s="478"/>
      <c r="F159" s="478"/>
      <c r="G159" s="478"/>
      <c r="H159" s="478"/>
      <c r="I159" s="36"/>
    </row>
    <row r="160" spans="2:9" x14ac:dyDescent="0.25">
      <c r="B160" s="18">
        <v>155</v>
      </c>
      <c r="C160" s="19"/>
      <c r="D160" s="478"/>
      <c r="E160" s="478"/>
      <c r="F160" s="478"/>
      <c r="G160" s="478"/>
      <c r="H160" s="478"/>
      <c r="I160" s="36"/>
    </row>
    <row r="161" spans="2:9" x14ac:dyDescent="0.25">
      <c r="B161" s="18">
        <v>156</v>
      </c>
      <c r="C161" s="19"/>
      <c r="D161" s="478"/>
      <c r="E161" s="478"/>
      <c r="F161" s="478"/>
      <c r="G161" s="478"/>
      <c r="H161" s="478"/>
      <c r="I161" s="36"/>
    </row>
    <row r="162" spans="2:9" x14ac:dyDescent="0.25">
      <c r="B162" s="18">
        <v>157</v>
      </c>
      <c r="C162" s="19"/>
      <c r="D162" s="478"/>
      <c r="E162" s="478"/>
      <c r="F162" s="478"/>
      <c r="G162" s="478"/>
      <c r="H162" s="478"/>
      <c r="I162" s="36"/>
    </row>
    <row r="163" spans="2:9" x14ac:dyDescent="0.25">
      <c r="B163" s="18">
        <v>158</v>
      </c>
      <c r="C163" s="19"/>
      <c r="D163" s="478"/>
      <c r="E163" s="478"/>
      <c r="F163" s="478"/>
      <c r="G163" s="478"/>
      <c r="H163" s="478"/>
      <c r="I163" s="36"/>
    </row>
    <row r="164" spans="2:9" x14ac:dyDescent="0.25">
      <c r="B164" s="18">
        <v>159</v>
      </c>
      <c r="C164" s="19"/>
      <c r="D164" s="478"/>
      <c r="E164" s="478"/>
      <c r="F164" s="478"/>
      <c r="G164" s="478"/>
      <c r="H164" s="478"/>
      <c r="I164" s="36"/>
    </row>
    <row r="165" spans="2:9" x14ac:dyDescent="0.25">
      <c r="B165" s="18">
        <v>160</v>
      </c>
      <c r="C165" s="19"/>
      <c r="D165" s="478"/>
      <c r="E165" s="478"/>
      <c r="F165" s="478"/>
      <c r="G165" s="478"/>
      <c r="H165" s="478"/>
      <c r="I165" s="36"/>
    </row>
    <row r="166" spans="2:9" x14ac:dyDescent="0.25">
      <c r="B166" s="18">
        <v>161</v>
      </c>
      <c r="C166" s="19"/>
      <c r="D166" s="478"/>
      <c r="E166" s="478"/>
      <c r="F166" s="478"/>
      <c r="G166" s="478"/>
      <c r="H166" s="478"/>
      <c r="I166" s="36"/>
    </row>
    <row r="167" spans="2:9" x14ac:dyDescent="0.25">
      <c r="B167" s="18">
        <v>162</v>
      </c>
      <c r="C167" s="19"/>
      <c r="D167" s="478"/>
      <c r="E167" s="478"/>
      <c r="F167" s="478"/>
      <c r="G167" s="478"/>
      <c r="H167" s="478"/>
      <c r="I167" s="36"/>
    </row>
    <row r="168" spans="2:9" x14ac:dyDescent="0.25">
      <c r="B168" s="18">
        <v>163</v>
      </c>
      <c r="C168" s="19"/>
      <c r="D168" s="478"/>
      <c r="E168" s="478"/>
      <c r="F168" s="478"/>
      <c r="G168" s="478"/>
      <c r="H168" s="478"/>
      <c r="I168" s="36"/>
    </row>
    <row r="169" spans="2:9" x14ac:dyDescent="0.25">
      <c r="B169" s="18">
        <v>164</v>
      </c>
      <c r="C169" s="19"/>
      <c r="D169" s="478"/>
      <c r="E169" s="478"/>
      <c r="F169" s="478"/>
      <c r="G169" s="478"/>
      <c r="H169" s="478"/>
      <c r="I169" s="36"/>
    </row>
    <row r="170" spans="2:9" x14ac:dyDescent="0.25">
      <c r="B170" s="18">
        <v>165</v>
      </c>
      <c r="C170" s="19"/>
      <c r="D170" s="478"/>
      <c r="E170" s="478"/>
      <c r="F170" s="478"/>
      <c r="G170" s="478"/>
      <c r="H170" s="478"/>
      <c r="I170" s="36"/>
    </row>
    <row r="171" spans="2:9" x14ac:dyDescent="0.25">
      <c r="B171" s="18">
        <v>166</v>
      </c>
      <c r="C171" s="19"/>
      <c r="D171" s="478"/>
      <c r="E171" s="478"/>
      <c r="F171" s="478"/>
      <c r="G171" s="478"/>
      <c r="H171" s="478"/>
      <c r="I171" s="36"/>
    </row>
    <row r="172" spans="2:9" x14ac:dyDescent="0.25">
      <c r="B172" s="18">
        <v>167</v>
      </c>
      <c r="C172" s="19"/>
      <c r="D172" s="478"/>
      <c r="E172" s="478"/>
      <c r="F172" s="478"/>
      <c r="G172" s="478"/>
      <c r="H172" s="478"/>
      <c r="I172" s="36"/>
    </row>
    <row r="173" spans="2:9" x14ac:dyDescent="0.25">
      <c r="B173" s="18">
        <v>168</v>
      </c>
      <c r="C173" s="19"/>
      <c r="D173" s="478"/>
      <c r="E173" s="478"/>
      <c r="F173" s="478"/>
      <c r="G173" s="478"/>
      <c r="H173" s="478"/>
      <c r="I173" s="36"/>
    </row>
    <row r="174" spans="2:9" x14ac:dyDescent="0.25">
      <c r="B174" s="18">
        <v>169</v>
      </c>
      <c r="C174" s="19"/>
      <c r="D174" s="478"/>
      <c r="E174" s="478"/>
      <c r="F174" s="478"/>
      <c r="G174" s="478"/>
      <c r="H174" s="478"/>
      <c r="I174" s="36"/>
    </row>
    <row r="175" spans="2:9" x14ac:dyDescent="0.25">
      <c r="B175" s="18">
        <v>170</v>
      </c>
      <c r="C175" s="19"/>
      <c r="D175" s="478"/>
      <c r="E175" s="478"/>
      <c r="F175" s="478"/>
      <c r="G175" s="478"/>
      <c r="H175" s="478"/>
      <c r="I175" s="36"/>
    </row>
    <row r="176" spans="2:9" x14ac:dyDescent="0.25">
      <c r="B176" s="18">
        <v>171</v>
      </c>
      <c r="C176" s="19"/>
      <c r="D176" s="478"/>
      <c r="E176" s="478"/>
      <c r="F176" s="478"/>
      <c r="G176" s="478"/>
      <c r="H176" s="478"/>
      <c r="I176" s="36"/>
    </row>
    <row r="177" spans="2:9" x14ac:dyDescent="0.25">
      <c r="B177" s="18">
        <v>172</v>
      </c>
      <c r="C177" s="19"/>
      <c r="D177" s="478"/>
      <c r="E177" s="478"/>
      <c r="F177" s="478"/>
      <c r="G177" s="478"/>
      <c r="H177" s="478"/>
      <c r="I177" s="36"/>
    </row>
    <row r="178" spans="2:9" x14ac:dyDescent="0.25">
      <c r="B178" s="18">
        <v>173</v>
      </c>
      <c r="C178" s="19"/>
      <c r="D178" s="478"/>
      <c r="E178" s="478"/>
      <c r="F178" s="478"/>
      <c r="G178" s="478"/>
      <c r="H178" s="478"/>
      <c r="I178" s="36"/>
    </row>
    <row r="179" spans="2:9" x14ac:dyDescent="0.25">
      <c r="B179" s="18">
        <v>174</v>
      </c>
      <c r="C179" s="19"/>
      <c r="D179" s="478"/>
      <c r="E179" s="478"/>
      <c r="F179" s="478"/>
      <c r="G179" s="478"/>
      <c r="H179" s="478"/>
      <c r="I179" s="36"/>
    </row>
    <row r="180" spans="2:9" x14ac:dyDescent="0.25">
      <c r="B180" s="18">
        <v>175</v>
      </c>
      <c r="C180" s="19"/>
      <c r="D180" s="478"/>
      <c r="E180" s="478"/>
      <c r="F180" s="478"/>
      <c r="G180" s="478"/>
      <c r="H180" s="478"/>
      <c r="I180" s="36"/>
    </row>
    <row r="181" spans="2:9" x14ac:dyDescent="0.25">
      <c r="B181" s="18">
        <v>176</v>
      </c>
      <c r="C181" s="19"/>
      <c r="D181" s="478"/>
      <c r="E181" s="478"/>
      <c r="F181" s="478"/>
      <c r="G181" s="478"/>
      <c r="H181" s="478"/>
      <c r="I181" s="36"/>
    </row>
    <row r="182" spans="2:9" x14ac:dyDescent="0.25">
      <c r="B182" s="18">
        <v>177</v>
      </c>
      <c r="C182" s="19"/>
      <c r="D182" s="478"/>
      <c r="E182" s="478"/>
      <c r="F182" s="478"/>
      <c r="G182" s="478"/>
      <c r="H182" s="478"/>
      <c r="I182" s="36"/>
    </row>
    <row r="183" spans="2:9" x14ac:dyDescent="0.25">
      <c r="B183" s="18">
        <v>178</v>
      </c>
      <c r="C183" s="19"/>
      <c r="D183" s="478"/>
      <c r="E183" s="478"/>
      <c r="F183" s="478"/>
      <c r="G183" s="478"/>
      <c r="H183" s="478"/>
      <c r="I183" s="36"/>
    </row>
    <row r="184" spans="2:9" x14ac:dyDescent="0.25">
      <c r="B184" s="18">
        <v>179</v>
      </c>
      <c r="C184" s="19"/>
      <c r="D184" s="478"/>
      <c r="E184" s="478"/>
      <c r="F184" s="478"/>
      <c r="G184" s="478"/>
      <c r="H184" s="478"/>
      <c r="I184" s="36"/>
    </row>
    <row r="185" spans="2:9" x14ac:dyDescent="0.25">
      <c r="B185" s="18">
        <v>180</v>
      </c>
      <c r="C185" s="19"/>
      <c r="D185" s="478"/>
      <c r="E185" s="478"/>
      <c r="F185" s="478"/>
      <c r="G185" s="478"/>
      <c r="H185" s="478"/>
      <c r="I185" s="36"/>
    </row>
    <row r="186" spans="2:9" x14ac:dyDescent="0.25">
      <c r="B186" s="18">
        <v>181</v>
      </c>
      <c r="C186" s="19"/>
      <c r="D186" s="478"/>
      <c r="E186" s="478"/>
      <c r="F186" s="478"/>
      <c r="G186" s="478"/>
      <c r="H186" s="478"/>
      <c r="I186" s="36"/>
    </row>
    <row r="187" spans="2:9" x14ac:dyDescent="0.25">
      <c r="B187" s="18">
        <v>182</v>
      </c>
      <c r="C187" s="19"/>
      <c r="D187" s="478"/>
      <c r="E187" s="478"/>
      <c r="F187" s="478"/>
      <c r="G187" s="478"/>
      <c r="H187" s="478"/>
      <c r="I187" s="36"/>
    </row>
    <row r="188" spans="2:9" x14ac:dyDescent="0.25">
      <c r="B188" s="18">
        <v>183</v>
      </c>
      <c r="C188" s="19"/>
      <c r="D188" s="478"/>
      <c r="E188" s="478"/>
      <c r="F188" s="478"/>
      <c r="G188" s="478"/>
      <c r="H188" s="478"/>
      <c r="I188" s="36"/>
    </row>
    <row r="189" spans="2:9" x14ac:dyDescent="0.25">
      <c r="B189" s="18">
        <v>184</v>
      </c>
      <c r="C189" s="19"/>
      <c r="D189" s="478"/>
      <c r="E189" s="478"/>
      <c r="F189" s="478"/>
      <c r="G189" s="478"/>
      <c r="H189" s="478"/>
      <c r="I189" s="36"/>
    </row>
    <row r="190" spans="2:9" x14ac:dyDescent="0.25">
      <c r="B190" s="18">
        <v>185</v>
      </c>
      <c r="C190" s="19"/>
      <c r="D190" s="478"/>
      <c r="E190" s="478"/>
      <c r="F190" s="478"/>
      <c r="G190" s="478"/>
      <c r="H190" s="478"/>
      <c r="I190" s="36"/>
    </row>
    <row r="191" spans="2:9" x14ac:dyDescent="0.25">
      <c r="B191" s="18">
        <v>186</v>
      </c>
      <c r="C191" s="19"/>
      <c r="D191" s="478"/>
      <c r="E191" s="478"/>
      <c r="F191" s="478"/>
      <c r="G191" s="478"/>
      <c r="H191" s="478"/>
      <c r="I191" s="36"/>
    </row>
    <row r="192" spans="2:9" x14ac:dyDescent="0.25">
      <c r="B192" s="18">
        <v>187</v>
      </c>
      <c r="C192" s="19"/>
      <c r="D192" s="478"/>
      <c r="E192" s="478"/>
      <c r="F192" s="478"/>
      <c r="G192" s="478"/>
      <c r="H192" s="478"/>
      <c r="I192" s="36"/>
    </row>
    <row r="193" spans="2:9" x14ac:dyDescent="0.25">
      <c r="B193" s="18">
        <v>188</v>
      </c>
      <c r="C193" s="19"/>
      <c r="D193" s="478"/>
      <c r="E193" s="478"/>
      <c r="F193" s="478"/>
      <c r="G193" s="478"/>
      <c r="H193" s="478"/>
      <c r="I193" s="36"/>
    </row>
    <row r="194" spans="2:9" x14ac:dyDescent="0.25">
      <c r="B194" s="18">
        <v>189</v>
      </c>
      <c r="C194" s="19"/>
      <c r="D194" s="478"/>
      <c r="E194" s="478"/>
      <c r="F194" s="478"/>
      <c r="G194" s="478"/>
      <c r="H194" s="478"/>
      <c r="I194" s="36"/>
    </row>
    <row r="195" spans="2:9" x14ac:dyDescent="0.25">
      <c r="B195" s="18">
        <v>190</v>
      </c>
      <c r="C195" s="19"/>
      <c r="D195" s="478"/>
      <c r="E195" s="478"/>
      <c r="F195" s="478"/>
      <c r="G195" s="478"/>
      <c r="H195" s="478"/>
      <c r="I195" s="36"/>
    </row>
    <row r="196" spans="2:9" x14ac:dyDescent="0.25">
      <c r="B196" s="18">
        <v>191</v>
      </c>
      <c r="C196" s="19"/>
      <c r="D196" s="478"/>
      <c r="E196" s="478"/>
      <c r="F196" s="478"/>
      <c r="G196" s="478"/>
      <c r="H196" s="478"/>
      <c r="I196" s="36"/>
    </row>
    <row r="197" spans="2:9" x14ac:dyDescent="0.25">
      <c r="B197" s="18">
        <v>192</v>
      </c>
      <c r="C197" s="19"/>
      <c r="D197" s="478"/>
      <c r="E197" s="478"/>
      <c r="F197" s="478"/>
      <c r="G197" s="478"/>
      <c r="H197" s="478"/>
      <c r="I197" s="36"/>
    </row>
    <row r="198" spans="2:9" x14ac:dyDescent="0.25">
      <c r="B198" s="18">
        <v>193</v>
      </c>
      <c r="C198" s="19"/>
      <c r="D198" s="478"/>
      <c r="E198" s="478"/>
      <c r="F198" s="478"/>
      <c r="G198" s="478"/>
      <c r="H198" s="478"/>
      <c r="I198" s="36"/>
    </row>
    <row r="199" spans="2:9" x14ac:dyDescent="0.25">
      <c r="B199" s="18">
        <v>194</v>
      </c>
      <c r="C199" s="19"/>
      <c r="D199" s="478"/>
      <c r="E199" s="478"/>
      <c r="F199" s="478"/>
      <c r="G199" s="478"/>
      <c r="H199" s="478"/>
      <c r="I199" s="36"/>
    </row>
    <row r="200" spans="2:9" x14ac:dyDescent="0.25">
      <c r="B200" s="18">
        <v>195</v>
      </c>
      <c r="C200" s="19"/>
      <c r="D200" s="478"/>
      <c r="E200" s="478"/>
      <c r="F200" s="478"/>
      <c r="G200" s="478"/>
      <c r="H200" s="478"/>
      <c r="I200" s="36"/>
    </row>
    <row r="201" spans="2:9" x14ac:dyDescent="0.25">
      <c r="B201" s="18">
        <v>196</v>
      </c>
      <c r="C201" s="19"/>
      <c r="D201" s="478"/>
      <c r="E201" s="478"/>
      <c r="F201" s="478"/>
      <c r="G201" s="478"/>
      <c r="H201" s="478"/>
      <c r="I201" s="36"/>
    </row>
    <row r="202" spans="2:9" x14ac:dyDescent="0.25">
      <c r="B202" s="18">
        <v>197</v>
      </c>
      <c r="C202" s="19"/>
      <c r="D202" s="478"/>
      <c r="E202" s="478"/>
      <c r="F202" s="478"/>
      <c r="G202" s="478"/>
      <c r="H202" s="478"/>
      <c r="I202" s="36"/>
    </row>
    <row r="203" spans="2:9" x14ac:dyDescent="0.25">
      <c r="B203" s="18">
        <v>198</v>
      </c>
      <c r="C203" s="19"/>
      <c r="D203" s="478"/>
      <c r="E203" s="478"/>
      <c r="F203" s="478"/>
      <c r="G203" s="478"/>
      <c r="H203" s="478"/>
      <c r="I203" s="36"/>
    </row>
    <row r="204" spans="2:9" x14ac:dyDescent="0.25">
      <c r="B204" s="18">
        <v>199</v>
      </c>
      <c r="C204" s="19"/>
      <c r="D204" s="478"/>
      <c r="E204" s="478"/>
      <c r="F204" s="478"/>
      <c r="G204" s="478"/>
      <c r="H204" s="478"/>
      <c r="I204" s="36"/>
    </row>
    <row r="205" spans="2:9" x14ac:dyDescent="0.25">
      <c r="B205" s="18">
        <v>200</v>
      </c>
      <c r="C205" s="19"/>
      <c r="D205" s="478"/>
      <c r="E205" s="478"/>
      <c r="F205" s="478"/>
      <c r="G205" s="478"/>
      <c r="H205" s="478"/>
      <c r="I205" s="36"/>
    </row>
    <row r="206" spans="2:9" x14ac:dyDescent="0.25">
      <c r="B206" s="18">
        <v>201</v>
      </c>
      <c r="C206" s="19"/>
      <c r="D206" s="478"/>
      <c r="E206" s="478"/>
      <c r="F206" s="478"/>
      <c r="G206" s="478"/>
      <c r="H206" s="478"/>
      <c r="I206" s="36"/>
    </row>
    <row r="207" spans="2:9" x14ac:dyDescent="0.25">
      <c r="B207" s="18">
        <v>202</v>
      </c>
      <c r="C207" s="19"/>
      <c r="D207" s="478"/>
      <c r="E207" s="478"/>
      <c r="F207" s="478"/>
      <c r="G207" s="478"/>
      <c r="H207" s="478"/>
      <c r="I207" s="36"/>
    </row>
    <row r="208" spans="2:9" x14ac:dyDescent="0.25">
      <c r="B208" s="18">
        <v>203</v>
      </c>
      <c r="C208" s="19"/>
      <c r="D208" s="478"/>
      <c r="E208" s="478"/>
      <c r="F208" s="478"/>
      <c r="G208" s="478"/>
      <c r="H208" s="478"/>
      <c r="I208" s="36"/>
    </row>
    <row r="209" spans="2:9" x14ac:dyDescent="0.25">
      <c r="B209" s="18">
        <v>204</v>
      </c>
      <c r="C209" s="19"/>
      <c r="D209" s="478"/>
      <c r="E209" s="478"/>
      <c r="F209" s="478"/>
      <c r="G209" s="478"/>
      <c r="H209" s="478"/>
      <c r="I209" s="36"/>
    </row>
    <row r="210" spans="2:9" x14ac:dyDescent="0.25">
      <c r="B210" s="18">
        <v>205</v>
      </c>
      <c r="C210" s="19"/>
      <c r="D210" s="478"/>
      <c r="E210" s="478"/>
      <c r="F210" s="478"/>
      <c r="G210" s="478"/>
      <c r="H210" s="478"/>
      <c r="I210" s="36"/>
    </row>
    <row r="211" spans="2:9" x14ac:dyDescent="0.25">
      <c r="B211" s="18">
        <v>206</v>
      </c>
      <c r="C211" s="19"/>
      <c r="D211" s="478"/>
      <c r="E211" s="478"/>
      <c r="F211" s="478"/>
      <c r="G211" s="478"/>
      <c r="H211" s="478"/>
      <c r="I211" s="36"/>
    </row>
    <row r="212" spans="2:9" x14ac:dyDescent="0.25">
      <c r="B212" s="18">
        <v>207</v>
      </c>
      <c r="C212" s="19"/>
      <c r="D212" s="478"/>
      <c r="E212" s="478"/>
      <c r="F212" s="478"/>
      <c r="G212" s="478"/>
      <c r="H212" s="478"/>
      <c r="I212" s="36"/>
    </row>
    <row r="213" spans="2:9" x14ac:dyDescent="0.25">
      <c r="B213" s="18">
        <v>208</v>
      </c>
      <c r="C213" s="19"/>
      <c r="D213" s="478"/>
      <c r="E213" s="478"/>
      <c r="F213" s="478"/>
      <c r="G213" s="478"/>
      <c r="H213" s="478"/>
      <c r="I213" s="36"/>
    </row>
    <row r="214" spans="2:9" x14ac:dyDescent="0.25">
      <c r="B214" s="18">
        <v>209</v>
      </c>
      <c r="C214" s="19"/>
      <c r="D214" s="478"/>
      <c r="E214" s="478"/>
      <c r="F214" s="478"/>
      <c r="G214" s="478"/>
      <c r="H214" s="478"/>
      <c r="I214" s="36"/>
    </row>
    <row r="215" spans="2:9" x14ac:dyDescent="0.25">
      <c r="B215" s="18">
        <v>210</v>
      </c>
      <c r="C215" s="19"/>
      <c r="D215" s="478"/>
      <c r="E215" s="478"/>
      <c r="F215" s="478"/>
      <c r="G215" s="478"/>
      <c r="H215" s="478"/>
      <c r="I215" s="36"/>
    </row>
    <row r="216" spans="2:9" x14ac:dyDescent="0.25">
      <c r="B216" s="18">
        <v>211</v>
      </c>
      <c r="C216" s="19"/>
      <c r="D216" s="478"/>
      <c r="E216" s="478"/>
      <c r="F216" s="478"/>
      <c r="G216" s="478"/>
      <c r="H216" s="478"/>
      <c r="I216" s="36"/>
    </row>
    <row r="217" spans="2:9" x14ac:dyDescent="0.25">
      <c r="B217" s="18">
        <v>212</v>
      </c>
      <c r="C217" s="19"/>
      <c r="D217" s="478"/>
      <c r="E217" s="478"/>
      <c r="F217" s="478"/>
      <c r="G217" s="478"/>
      <c r="H217" s="478"/>
      <c r="I217" s="36"/>
    </row>
    <row r="218" spans="2:9" x14ac:dyDescent="0.25">
      <c r="B218" s="18">
        <v>213</v>
      </c>
      <c r="C218" s="19"/>
      <c r="D218" s="478"/>
      <c r="E218" s="478"/>
      <c r="F218" s="478"/>
      <c r="G218" s="478"/>
      <c r="H218" s="478"/>
      <c r="I218" s="36"/>
    </row>
    <row r="219" spans="2:9" x14ac:dyDescent="0.25">
      <c r="B219" s="18">
        <v>214</v>
      </c>
      <c r="C219" s="19"/>
      <c r="D219" s="478"/>
      <c r="E219" s="478"/>
      <c r="F219" s="478"/>
      <c r="G219" s="478"/>
      <c r="H219" s="478"/>
      <c r="I219" s="36"/>
    </row>
    <row r="220" spans="2:9" x14ac:dyDescent="0.25">
      <c r="B220" s="18">
        <v>215</v>
      </c>
      <c r="C220" s="19"/>
      <c r="D220" s="478"/>
      <c r="E220" s="478"/>
      <c r="F220" s="478"/>
      <c r="G220" s="478"/>
      <c r="H220" s="478"/>
      <c r="I220" s="36"/>
    </row>
    <row r="221" spans="2:9" x14ac:dyDescent="0.25">
      <c r="B221" s="18">
        <v>216</v>
      </c>
      <c r="C221" s="19"/>
      <c r="D221" s="478"/>
      <c r="E221" s="478"/>
      <c r="F221" s="478"/>
      <c r="G221" s="478"/>
      <c r="H221" s="478"/>
      <c r="I221" s="36"/>
    </row>
    <row r="222" spans="2:9" x14ac:dyDescent="0.25">
      <c r="B222" s="18">
        <v>217</v>
      </c>
      <c r="C222" s="19"/>
      <c r="D222" s="478"/>
      <c r="E222" s="478"/>
      <c r="F222" s="478"/>
      <c r="G222" s="478"/>
      <c r="H222" s="478"/>
      <c r="I222" s="36"/>
    </row>
    <row r="223" spans="2:9" x14ac:dyDescent="0.25">
      <c r="B223" s="18">
        <v>218</v>
      </c>
      <c r="C223" s="19"/>
      <c r="D223" s="478"/>
      <c r="E223" s="478"/>
      <c r="F223" s="478"/>
      <c r="G223" s="478"/>
      <c r="H223" s="478"/>
      <c r="I223" s="36"/>
    </row>
    <row r="224" spans="2:9" x14ac:dyDescent="0.25">
      <c r="B224" s="18">
        <v>219</v>
      </c>
      <c r="C224" s="19"/>
      <c r="D224" s="478"/>
      <c r="E224" s="478"/>
      <c r="F224" s="478"/>
      <c r="G224" s="478"/>
      <c r="H224" s="478"/>
      <c r="I224" s="36"/>
    </row>
    <row r="225" spans="2:9" x14ac:dyDescent="0.25">
      <c r="B225" s="18">
        <v>220</v>
      </c>
      <c r="C225" s="19"/>
      <c r="D225" s="478"/>
      <c r="E225" s="478"/>
      <c r="F225" s="478"/>
      <c r="G225" s="478"/>
      <c r="H225" s="478"/>
      <c r="I225" s="36"/>
    </row>
    <row r="226" spans="2:9" x14ac:dyDescent="0.25">
      <c r="B226" s="18">
        <v>221</v>
      </c>
      <c r="C226" s="19"/>
      <c r="D226" s="478"/>
      <c r="E226" s="478"/>
      <c r="F226" s="478"/>
      <c r="G226" s="478"/>
      <c r="H226" s="478"/>
      <c r="I226" s="36"/>
    </row>
    <row r="227" spans="2:9" x14ac:dyDescent="0.25">
      <c r="B227" s="18">
        <v>222</v>
      </c>
      <c r="C227" s="19"/>
      <c r="D227" s="478"/>
      <c r="E227" s="478"/>
      <c r="F227" s="478"/>
      <c r="G227" s="478"/>
      <c r="H227" s="478"/>
      <c r="I227" s="36"/>
    </row>
    <row r="228" spans="2:9" x14ac:dyDescent="0.25">
      <c r="B228" s="18">
        <v>223</v>
      </c>
      <c r="C228" s="19"/>
      <c r="D228" s="478"/>
      <c r="E228" s="478"/>
      <c r="F228" s="478"/>
      <c r="G228" s="478"/>
      <c r="H228" s="478"/>
      <c r="I228" s="36"/>
    </row>
    <row r="229" spans="2:9" x14ac:dyDescent="0.25">
      <c r="B229" s="18">
        <v>224</v>
      </c>
      <c r="C229" s="19"/>
      <c r="D229" s="478"/>
      <c r="E229" s="478"/>
      <c r="F229" s="478"/>
      <c r="G229" s="478"/>
      <c r="H229" s="478"/>
      <c r="I229" s="36"/>
    </row>
    <row r="230" spans="2:9" x14ac:dyDescent="0.25">
      <c r="B230" s="18">
        <v>225</v>
      </c>
      <c r="C230" s="19"/>
      <c r="D230" s="478"/>
      <c r="E230" s="478"/>
      <c r="F230" s="478"/>
      <c r="G230" s="478"/>
      <c r="H230" s="478"/>
      <c r="I230" s="36"/>
    </row>
    <row r="231" spans="2:9" x14ac:dyDescent="0.25">
      <c r="B231" s="18">
        <v>226</v>
      </c>
      <c r="C231" s="19"/>
      <c r="D231" s="478"/>
      <c r="E231" s="478"/>
      <c r="F231" s="478"/>
      <c r="G231" s="478"/>
      <c r="H231" s="478"/>
      <c r="I231" s="36"/>
    </row>
    <row r="232" spans="2:9" x14ac:dyDescent="0.25">
      <c r="B232" s="18">
        <v>227</v>
      </c>
      <c r="C232" s="19"/>
      <c r="D232" s="478"/>
      <c r="E232" s="478"/>
      <c r="F232" s="478"/>
      <c r="G232" s="478"/>
      <c r="H232" s="478"/>
      <c r="I232" s="36"/>
    </row>
    <row r="233" spans="2:9" x14ac:dyDescent="0.25">
      <c r="B233" s="18">
        <v>228</v>
      </c>
      <c r="C233" s="19"/>
      <c r="D233" s="478"/>
      <c r="E233" s="478"/>
      <c r="F233" s="478"/>
      <c r="G233" s="478"/>
      <c r="H233" s="478"/>
      <c r="I233" s="36"/>
    </row>
    <row r="234" spans="2:9" x14ac:dyDescent="0.25">
      <c r="B234" s="18">
        <v>229</v>
      </c>
      <c r="C234" s="19"/>
      <c r="D234" s="478"/>
      <c r="E234" s="478"/>
      <c r="F234" s="478"/>
      <c r="G234" s="478"/>
      <c r="H234" s="478"/>
      <c r="I234" s="36"/>
    </row>
    <row r="235" spans="2:9" x14ac:dyDescent="0.25">
      <c r="B235" s="18">
        <v>230</v>
      </c>
      <c r="C235" s="19"/>
      <c r="D235" s="478"/>
      <c r="E235" s="478"/>
      <c r="F235" s="478"/>
      <c r="G235" s="478"/>
      <c r="H235" s="478"/>
      <c r="I235" s="36"/>
    </row>
    <row r="236" spans="2:9" x14ac:dyDescent="0.25">
      <c r="B236" s="18">
        <v>231</v>
      </c>
      <c r="C236" s="19"/>
      <c r="D236" s="478"/>
      <c r="E236" s="478"/>
      <c r="F236" s="478"/>
      <c r="G236" s="478"/>
      <c r="H236" s="478"/>
      <c r="I236" s="36"/>
    </row>
    <row r="237" spans="2:9" x14ac:dyDescent="0.25">
      <c r="B237" s="18">
        <v>232</v>
      </c>
      <c r="C237" s="19"/>
      <c r="D237" s="478"/>
      <c r="E237" s="478"/>
      <c r="F237" s="478"/>
      <c r="G237" s="478"/>
      <c r="H237" s="478"/>
      <c r="I237" s="36"/>
    </row>
    <row r="238" spans="2:9" x14ac:dyDescent="0.25">
      <c r="B238" s="18">
        <v>233</v>
      </c>
      <c r="C238" s="19"/>
      <c r="D238" s="478"/>
      <c r="E238" s="478"/>
      <c r="F238" s="478"/>
      <c r="G238" s="478"/>
      <c r="H238" s="478"/>
      <c r="I238" s="36"/>
    </row>
    <row r="239" spans="2:9" x14ac:dyDescent="0.25">
      <c r="B239" s="18">
        <v>234</v>
      </c>
      <c r="C239" s="19"/>
      <c r="D239" s="478"/>
      <c r="E239" s="478"/>
      <c r="F239" s="478"/>
      <c r="G239" s="478"/>
      <c r="H239" s="478"/>
      <c r="I239" s="36"/>
    </row>
    <row r="240" spans="2:9" x14ac:dyDescent="0.25">
      <c r="B240" s="18">
        <v>235</v>
      </c>
      <c r="C240" s="19"/>
      <c r="D240" s="478"/>
      <c r="E240" s="478"/>
      <c r="F240" s="478"/>
      <c r="G240" s="478"/>
      <c r="H240" s="478"/>
      <c r="I240" s="36"/>
    </row>
    <row r="241" spans="2:9" x14ac:dyDescent="0.25">
      <c r="B241" s="18">
        <v>236</v>
      </c>
      <c r="C241" s="19"/>
      <c r="D241" s="478"/>
      <c r="E241" s="478"/>
      <c r="F241" s="478"/>
      <c r="G241" s="478"/>
      <c r="H241" s="478"/>
      <c r="I241" s="36"/>
    </row>
    <row r="242" spans="2:9" x14ac:dyDescent="0.25">
      <c r="B242" s="18">
        <v>237</v>
      </c>
      <c r="C242" s="19"/>
      <c r="D242" s="478"/>
      <c r="E242" s="478"/>
      <c r="F242" s="478"/>
      <c r="G242" s="478"/>
      <c r="H242" s="478"/>
      <c r="I242" s="36"/>
    </row>
    <row r="243" spans="2:9" x14ac:dyDescent="0.25">
      <c r="B243" s="18">
        <v>238</v>
      </c>
      <c r="C243" s="19"/>
      <c r="D243" s="478"/>
      <c r="E243" s="478"/>
      <c r="F243" s="478"/>
      <c r="G243" s="478"/>
      <c r="H243" s="478"/>
      <c r="I243" s="36"/>
    </row>
    <row r="244" spans="2:9" x14ac:dyDescent="0.25">
      <c r="B244" s="18">
        <v>239</v>
      </c>
      <c r="C244" s="19"/>
      <c r="D244" s="478"/>
      <c r="E244" s="478"/>
      <c r="F244" s="478"/>
      <c r="G244" s="478"/>
      <c r="H244" s="478"/>
      <c r="I244" s="36"/>
    </row>
    <row r="245" spans="2:9" x14ac:dyDescent="0.25">
      <c r="B245" s="18">
        <v>240</v>
      </c>
      <c r="C245" s="19"/>
      <c r="D245" s="478"/>
      <c r="E245" s="478"/>
      <c r="F245" s="478"/>
      <c r="G245" s="478"/>
      <c r="H245" s="478"/>
      <c r="I245" s="36"/>
    </row>
    <row r="246" spans="2:9" x14ac:dyDescent="0.25">
      <c r="B246" s="18">
        <v>241</v>
      </c>
      <c r="C246" s="19"/>
      <c r="D246" s="478"/>
      <c r="E246" s="478"/>
      <c r="F246" s="478"/>
      <c r="G246" s="478"/>
      <c r="H246" s="478"/>
      <c r="I246" s="36"/>
    </row>
    <row r="247" spans="2:9" x14ac:dyDescent="0.25">
      <c r="B247" s="18">
        <v>242</v>
      </c>
      <c r="C247" s="19"/>
      <c r="D247" s="478"/>
      <c r="E247" s="478"/>
      <c r="F247" s="478"/>
      <c r="G247" s="478"/>
      <c r="H247" s="478"/>
      <c r="I247" s="36"/>
    </row>
    <row r="248" spans="2:9" x14ac:dyDescent="0.25">
      <c r="B248" s="18">
        <v>243</v>
      </c>
      <c r="C248" s="19"/>
      <c r="D248" s="478"/>
      <c r="E248" s="478"/>
      <c r="F248" s="478"/>
      <c r="G248" s="478"/>
      <c r="H248" s="478"/>
      <c r="I248" s="36"/>
    </row>
    <row r="249" spans="2:9" x14ac:dyDescent="0.25">
      <c r="B249" s="18">
        <v>244</v>
      </c>
      <c r="C249" s="19"/>
      <c r="D249" s="478"/>
      <c r="E249" s="478"/>
      <c r="F249" s="478"/>
      <c r="G249" s="478"/>
      <c r="H249" s="478"/>
      <c r="I249" s="36"/>
    </row>
    <row r="250" spans="2:9" x14ac:dyDescent="0.25">
      <c r="B250" s="18">
        <v>245</v>
      </c>
      <c r="C250" s="19"/>
      <c r="D250" s="478"/>
      <c r="E250" s="478"/>
      <c r="F250" s="478"/>
      <c r="G250" s="478"/>
      <c r="H250" s="478"/>
      <c r="I250" s="36"/>
    </row>
    <row r="251" spans="2:9" x14ac:dyDescent="0.25">
      <c r="B251" s="18">
        <v>246</v>
      </c>
      <c r="C251" s="19"/>
      <c r="D251" s="478"/>
      <c r="E251" s="478"/>
      <c r="F251" s="478"/>
      <c r="G251" s="478"/>
      <c r="H251" s="478"/>
      <c r="I251" s="36"/>
    </row>
    <row r="252" spans="2:9" x14ac:dyDescent="0.25">
      <c r="B252" s="18">
        <v>247</v>
      </c>
      <c r="C252" s="19"/>
      <c r="D252" s="478"/>
      <c r="E252" s="478"/>
      <c r="F252" s="478"/>
      <c r="G252" s="478"/>
      <c r="H252" s="478"/>
      <c r="I252" s="36"/>
    </row>
    <row r="253" spans="2:9" x14ac:dyDescent="0.25">
      <c r="B253" s="18">
        <v>248</v>
      </c>
      <c r="C253" s="19"/>
      <c r="D253" s="478"/>
      <c r="E253" s="478"/>
      <c r="F253" s="478"/>
      <c r="G253" s="478"/>
      <c r="H253" s="478"/>
      <c r="I253" s="36"/>
    </row>
    <row r="254" spans="2:9" x14ac:dyDescent="0.25">
      <c r="B254" s="18">
        <v>249</v>
      </c>
      <c r="C254" s="19"/>
      <c r="D254" s="478"/>
      <c r="E254" s="478"/>
      <c r="F254" s="478"/>
      <c r="G254" s="478"/>
      <c r="H254" s="478"/>
      <c r="I254" s="36"/>
    </row>
    <row r="255" spans="2:9" x14ac:dyDescent="0.25">
      <c r="B255" s="18">
        <v>250</v>
      </c>
      <c r="C255" s="19"/>
      <c r="D255" s="478"/>
      <c r="E255" s="478"/>
      <c r="F255" s="478"/>
      <c r="G255" s="478"/>
      <c r="H255" s="478"/>
      <c r="I255" s="36"/>
    </row>
    <row r="256" spans="2:9" x14ac:dyDescent="0.25">
      <c r="B256" s="18">
        <v>251</v>
      </c>
      <c r="C256" s="19"/>
      <c r="D256" s="478"/>
      <c r="E256" s="478"/>
      <c r="F256" s="478"/>
      <c r="G256" s="478"/>
      <c r="H256" s="478"/>
      <c r="I256" s="36"/>
    </row>
    <row r="257" spans="2:9" x14ac:dyDescent="0.25">
      <c r="B257" s="18">
        <v>252</v>
      </c>
      <c r="C257" s="19"/>
      <c r="D257" s="478"/>
      <c r="E257" s="478"/>
      <c r="F257" s="478"/>
      <c r="G257" s="478"/>
      <c r="H257" s="478"/>
      <c r="I257" s="36"/>
    </row>
    <row r="258" spans="2:9" x14ac:dyDescent="0.25">
      <c r="B258" s="18">
        <v>253</v>
      </c>
      <c r="C258" s="19"/>
      <c r="D258" s="478"/>
      <c r="E258" s="478"/>
      <c r="F258" s="478"/>
      <c r="G258" s="478"/>
      <c r="H258" s="478"/>
      <c r="I258" s="36"/>
    </row>
    <row r="259" spans="2:9" x14ac:dyDescent="0.25">
      <c r="B259" s="18">
        <v>254</v>
      </c>
      <c r="C259" s="19"/>
      <c r="D259" s="478"/>
      <c r="E259" s="478"/>
      <c r="F259" s="478"/>
      <c r="G259" s="478"/>
      <c r="H259" s="478"/>
      <c r="I259" s="36"/>
    </row>
    <row r="260" spans="2:9" x14ac:dyDescent="0.25">
      <c r="B260" s="18">
        <v>255</v>
      </c>
      <c r="C260" s="19"/>
      <c r="D260" s="478"/>
      <c r="E260" s="478"/>
      <c r="F260" s="478"/>
      <c r="G260" s="478"/>
      <c r="H260" s="478"/>
      <c r="I260" s="36"/>
    </row>
    <row r="261" spans="2:9" x14ac:dyDescent="0.25">
      <c r="B261" s="18">
        <v>256</v>
      </c>
      <c r="C261" s="19"/>
      <c r="D261" s="478"/>
      <c r="E261" s="478"/>
      <c r="F261" s="478"/>
      <c r="G261" s="478"/>
      <c r="H261" s="478"/>
      <c r="I261" s="36"/>
    </row>
    <row r="262" spans="2:9" x14ac:dyDescent="0.25">
      <c r="B262" s="18">
        <v>257</v>
      </c>
      <c r="C262" s="19"/>
      <c r="D262" s="478"/>
      <c r="E262" s="478"/>
      <c r="F262" s="478"/>
      <c r="G262" s="478"/>
      <c r="H262" s="478"/>
      <c r="I262" s="36"/>
    </row>
    <row r="263" spans="2:9" x14ac:dyDescent="0.25">
      <c r="B263" s="18">
        <v>258</v>
      </c>
      <c r="C263" s="19"/>
      <c r="D263" s="478"/>
      <c r="E263" s="478"/>
      <c r="F263" s="478"/>
      <c r="G263" s="478"/>
      <c r="H263" s="478"/>
      <c r="I263" s="36"/>
    </row>
    <row r="264" spans="2:9" x14ac:dyDescent="0.25">
      <c r="B264" s="18">
        <v>259</v>
      </c>
      <c r="C264" s="19"/>
      <c r="D264" s="478"/>
      <c r="E264" s="478"/>
      <c r="F264" s="478"/>
      <c r="G264" s="478"/>
      <c r="H264" s="478"/>
      <c r="I264" s="36"/>
    </row>
    <row r="265" spans="2:9" x14ac:dyDescent="0.25">
      <c r="B265" s="18">
        <v>260</v>
      </c>
      <c r="C265" s="19"/>
      <c r="D265" s="478"/>
      <c r="E265" s="478"/>
      <c r="F265" s="478"/>
      <c r="G265" s="478"/>
      <c r="H265" s="478"/>
      <c r="I265" s="36"/>
    </row>
    <row r="266" spans="2:9" x14ac:dyDescent="0.25">
      <c r="B266" s="18">
        <v>261</v>
      </c>
      <c r="C266" s="19"/>
      <c r="D266" s="478"/>
      <c r="E266" s="478"/>
      <c r="F266" s="478"/>
      <c r="G266" s="478"/>
      <c r="H266" s="478"/>
      <c r="I266" s="36"/>
    </row>
    <row r="267" spans="2:9" x14ac:dyDescent="0.25">
      <c r="B267" s="18">
        <v>262</v>
      </c>
      <c r="C267" s="19"/>
      <c r="D267" s="478"/>
      <c r="E267" s="478"/>
      <c r="F267" s="478"/>
      <c r="G267" s="478"/>
      <c r="H267" s="478"/>
      <c r="I267" s="36"/>
    </row>
    <row r="268" spans="2:9" x14ac:dyDescent="0.25">
      <c r="B268" s="18">
        <v>263</v>
      </c>
      <c r="C268" s="19"/>
      <c r="D268" s="478"/>
      <c r="E268" s="478"/>
      <c r="F268" s="478"/>
      <c r="G268" s="478"/>
      <c r="H268" s="478"/>
      <c r="I268" s="36"/>
    </row>
    <row r="269" spans="2:9" x14ac:dyDescent="0.25">
      <c r="B269" s="18">
        <v>264</v>
      </c>
      <c r="C269" s="19"/>
      <c r="D269" s="478"/>
      <c r="E269" s="478"/>
      <c r="F269" s="478"/>
      <c r="G269" s="478"/>
      <c r="H269" s="478"/>
      <c r="I269" s="36"/>
    </row>
    <row r="270" spans="2:9" x14ac:dyDescent="0.25">
      <c r="B270" s="18">
        <v>265</v>
      </c>
      <c r="C270" s="19"/>
      <c r="D270" s="478"/>
      <c r="E270" s="478"/>
      <c r="F270" s="478"/>
      <c r="G270" s="478"/>
      <c r="H270" s="478"/>
      <c r="I270" s="36"/>
    </row>
    <row r="271" spans="2:9" x14ac:dyDescent="0.25">
      <c r="B271" s="18">
        <v>266</v>
      </c>
      <c r="C271" s="19"/>
      <c r="D271" s="478"/>
      <c r="E271" s="478"/>
      <c r="F271" s="478"/>
      <c r="G271" s="478"/>
      <c r="H271" s="478"/>
      <c r="I271" s="36"/>
    </row>
    <row r="272" spans="2:9" x14ac:dyDescent="0.25">
      <c r="B272" s="18">
        <v>267</v>
      </c>
      <c r="C272" s="19"/>
      <c r="D272" s="478"/>
      <c r="E272" s="478"/>
      <c r="F272" s="478"/>
      <c r="G272" s="478"/>
      <c r="H272" s="478"/>
      <c r="I272" s="36"/>
    </row>
    <row r="273" spans="2:9" x14ac:dyDescent="0.25">
      <c r="B273" s="18">
        <v>268</v>
      </c>
      <c r="C273" s="19"/>
      <c r="D273" s="478"/>
      <c r="E273" s="478"/>
      <c r="F273" s="478"/>
      <c r="G273" s="478"/>
      <c r="H273" s="478"/>
      <c r="I273" s="36"/>
    </row>
    <row r="274" spans="2:9" x14ac:dyDescent="0.25">
      <c r="B274" s="18">
        <v>269</v>
      </c>
      <c r="C274" s="19"/>
      <c r="D274" s="478"/>
      <c r="E274" s="478"/>
      <c r="F274" s="478"/>
      <c r="G274" s="478"/>
      <c r="H274" s="478"/>
      <c r="I274" s="36"/>
    </row>
    <row r="275" spans="2:9" x14ac:dyDescent="0.25">
      <c r="B275" s="18">
        <v>270</v>
      </c>
      <c r="C275" s="19"/>
      <c r="D275" s="478"/>
      <c r="E275" s="478"/>
      <c r="F275" s="478"/>
      <c r="G275" s="478"/>
      <c r="H275" s="478"/>
      <c r="I275" s="36"/>
    </row>
    <row r="276" spans="2:9" x14ac:dyDescent="0.25">
      <c r="B276" s="18">
        <v>271</v>
      </c>
      <c r="C276" s="19"/>
      <c r="D276" s="478"/>
      <c r="E276" s="478"/>
      <c r="F276" s="478"/>
      <c r="G276" s="478"/>
      <c r="H276" s="478"/>
      <c r="I276" s="36"/>
    </row>
    <row r="277" spans="2:9" x14ac:dyDescent="0.25">
      <c r="B277" s="18">
        <v>272</v>
      </c>
      <c r="C277" s="19"/>
      <c r="D277" s="478"/>
      <c r="E277" s="478"/>
      <c r="F277" s="478"/>
      <c r="G277" s="478"/>
      <c r="H277" s="478"/>
      <c r="I277" s="36"/>
    </row>
    <row r="278" spans="2:9" x14ac:dyDescent="0.25">
      <c r="B278" s="18">
        <v>273</v>
      </c>
      <c r="C278" s="19"/>
      <c r="D278" s="478"/>
      <c r="E278" s="478"/>
      <c r="F278" s="478"/>
      <c r="G278" s="478"/>
      <c r="H278" s="478"/>
      <c r="I278" s="36"/>
    </row>
    <row r="279" spans="2:9" x14ac:dyDescent="0.25">
      <c r="B279" s="18">
        <v>274</v>
      </c>
      <c r="C279" s="19"/>
      <c r="D279" s="478"/>
      <c r="E279" s="478"/>
      <c r="F279" s="478"/>
      <c r="G279" s="478"/>
      <c r="H279" s="478"/>
      <c r="I279" s="36"/>
    </row>
    <row r="280" spans="2:9" x14ac:dyDescent="0.25">
      <c r="B280" s="18">
        <v>275</v>
      </c>
      <c r="C280" s="19"/>
      <c r="D280" s="478"/>
      <c r="E280" s="478"/>
      <c r="F280" s="478"/>
      <c r="G280" s="478"/>
      <c r="H280" s="478"/>
      <c r="I280" s="36"/>
    </row>
    <row r="281" spans="2:9" x14ac:dyDescent="0.25">
      <c r="B281" s="18">
        <v>276</v>
      </c>
      <c r="C281" s="19"/>
      <c r="D281" s="478"/>
      <c r="E281" s="478"/>
      <c r="F281" s="478"/>
      <c r="G281" s="478"/>
      <c r="H281" s="478"/>
      <c r="I281" s="36"/>
    </row>
    <row r="282" spans="2:9" x14ac:dyDescent="0.25">
      <c r="B282" s="18">
        <v>277</v>
      </c>
      <c r="C282" s="19"/>
      <c r="D282" s="478"/>
      <c r="E282" s="478"/>
      <c r="F282" s="478"/>
      <c r="G282" s="478"/>
      <c r="H282" s="478"/>
      <c r="I282" s="36"/>
    </row>
    <row r="283" spans="2:9" x14ac:dyDescent="0.25">
      <c r="B283" s="18">
        <v>278</v>
      </c>
      <c r="C283" s="19"/>
      <c r="D283" s="478"/>
      <c r="E283" s="478"/>
      <c r="F283" s="478"/>
      <c r="G283" s="478"/>
      <c r="H283" s="478"/>
      <c r="I283" s="36"/>
    </row>
    <row r="284" spans="2:9" x14ac:dyDescent="0.25">
      <c r="B284" s="18">
        <v>279</v>
      </c>
      <c r="C284" s="19"/>
      <c r="D284" s="478"/>
      <c r="E284" s="478"/>
      <c r="F284" s="478"/>
      <c r="G284" s="478"/>
      <c r="H284" s="478"/>
      <c r="I284" s="36"/>
    </row>
    <row r="285" spans="2:9" x14ac:dyDescent="0.25">
      <c r="B285" s="18">
        <v>280</v>
      </c>
      <c r="C285" s="19"/>
      <c r="D285" s="478"/>
      <c r="E285" s="478"/>
      <c r="F285" s="478"/>
      <c r="G285" s="478"/>
      <c r="H285" s="478"/>
      <c r="I285" s="36"/>
    </row>
    <row r="286" spans="2:9" x14ac:dyDescent="0.25">
      <c r="B286" s="18">
        <v>281</v>
      </c>
      <c r="C286" s="19"/>
      <c r="D286" s="478"/>
      <c r="E286" s="478"/>
      <c r="F286" s="478"/>
      <c r="G286" s="478"/>
      <c r="H286" s="478"/>
      <c r="I286" s="36"/>
    </row>
    <row r="287" spans="2:9" x14ac:dyDescent="0.25">
      <c r="B287" s="18">
        <v>282</v>
      </c>
      <c r="C287" s="19"/>
      <c r="D287" s="478"/>
      <c r="E287" s="478"/>
      <c r="F287" s="478"/>
      <c r="G287" s="478"/>
      <c r="H287" s="478"/>
      <c r="I287" s="36"/>
    </row>
    <row r="288" spans="2:9" x14ac:dyDescent="0.25">
      <c r="B288" s="18">
        <v>283</v>
      </c>
      <c r="C288" s="19"/>
      <c r="D288" s="478"/>
      <c r="E288" s="478"/>
      <c r="F288" s="478"/>
      <c r="G288" s="478"/>
      <c r="H288" s="478"/>
      <c r="I288" s="36"/>
    </row>
    <row r="289" spans="2:9" x14ac:dyDescent="0.25">
      <c r="B289" s="18">
        <v>284</v>
      </c>
      <c r="C289" s="19"/>
      <c r="D289" s="478"/>
      <c r="E289" s="478"/>
      <c r="F289" s="478"/>
      <c r="G289" s="478"/>
      <c r="H289" s="478"/>
      <c r="I289" s="36"/>
    </row>
    <row r="290" spans="2:9" x14ac:dyDescent="0.25">
      <c r="B290" s="18">
        <v>285</v>
      </c>
      <c r="C290" s="19"/>
      <c r="D290" s="478"/>
      <c r="E290" s="478"/>
      <c r="F290" s="478"/>
      <c r="G290" s="478"/>
      <c r="H290" s="478"/>
      <c r="I290" s="36"/>
    </row>
    <row r="291" spans="2:9" x14ac:dyDescent="0.25">
      <c r="B291" s="18">
        <v>286</v>
      </c>
      <c r="C291" s="19"/>
      <c r="D291" s="478"/>
      <c r="E291" s="478"/>
      <c r="F291" s="478"/>
      <c r="G291" s="478"/>
      <c r="H291" s="478"/>
      <c r="I291" s="36"/>
    </row>
    <row r="292" spans="2:9" x14ac:dyDescent="0.25">
      <c r="B292" s="18">
        <v>287</v>
      </c>
      <c r="C292" s="19"/>
      <c r="D292" s="478"/>
      <c r="E292" s="478"/>
      <c r="F292" s="478"/>
      <c r="G292" s="478"/>
      <c r="H292" s="478"/>
      <c r="I292" s="36"/>
    </row>
    <row r="293" spans="2:9" x14ac:dyDescent="0.25">
      <c r="B293" s="18">
        <v>288</v>
      </c>
      <c r="C293" s="19"/>
      <c r="D293" s="478"/>
      <c r="E293" s="478"/>
      <c r="F293" s="478"/>
      <c r="G293" s="478"/>
      <c r="H293" s="478"/>
      <c r="I293" s="36"/>
    </row>
    <row r="294" spans="2:9" x14ac:dyDescent="0.25">
      <c r="B294" s="18">
        <v>289</v>
      </c>
      <c r="C294" s="19"/>
      <c r="D294" s="478"/>
      <c r="E294" s="478"/>
      <c r="F294" s="478"/>
      <c r="G294" s="478"/>
      <c r="H294" s="478"/>
      <c r="I294" s="36"/>
    </row>
    <row r="295" spans="2:9" x14ac:dyDescent="0.25">
      <c r="B295" s="18">
        <v>290</v>
      </c>
      <c r="C295" s="19"/>
      <c r="D295" s="478"/>
      <c r="E295" s="478"/>
      <c r="F295" s="478"/>
      <c r="G295" s="478"/>
      <c r="H295" s="478"/>
      <c r="I295" s="36"/>
    </row>
    <row r="296" spans="2:9" x14ac:dyDescent="0.25">
      <c r="B296" s="18">
        <v>291</v>
      </c>
      <c r="C296" s="19"/>
      <c r="D296" s="478"/>
      <c r="E296" s="478"/>
      <c r="F296" s="478"/>
      <c r="G296" s="478"/>
      <c r="H296" s="478"/>
      <c r="I296" s="36"/>
    </row>
    <row r="297" spans="2:9" x14ac:dyDescent="0.25">
      <c r="B297" s="18">
        <v>292</v>
      </c>
      <c r="C297" s="19"/>
      <c r="D297" s="478"/>
      <c r="E297" s="478"/>
      <c r="F297" s="478"/>
      <c r="G297" s="478"/>
      <c r="H297" s="478"/>
      <c r="I297" s="36"/>
    </row>
    <row r="298" spans="2:9" x14ac:dyDescent="0.25">
      <c r="B298" s="18">
        <v>293</v>
      </c>
      <c r="C298" s="19"/>
      <c r="D298" s="478"/>
      <c r="E298" s="478"/>
      <c r="F298" s="478"/>
      <c r="G298" s="478"/>
      <c r="H298" s="478"/>
      <c r="I298" s="36"/>
    </row>
    <row r="299" spans="2:9" x14ac:dyDescent="0.25">
      <c r="B299" s="18">
        <v>294</v>
      </c>
      <c r="C299" s="19"/>
      <c r="D299" s="478"/>
      <c r="E299" s="478"/>
      <c r="F299" s="478"/>
      <c r="G299" s="478"/>
      <c r="H299" s="478"/>
      <c r="I299" s="36"/>
    </row>
    <row r="300" spans="2:9" x14ac:dyDescent="0.25">
      <c r="B300" s="18">
        <v>295</v>
      </c>
      <c r="C300" s="19"/>
      <c r="D300" s="478"/>
      <c r="E300" s="478"/>
      <c r="F300" s="478"/>
      <c r="G300" s="478"/>
      <c r="H300" s="478"/>
      <c r="I300" s="36"/>
    </row>
    <row r="301" spans="2:9" x14ac:dyDescent="0.25">
      <c r="B301" s="18">
        <v>296</v>
      </c>
      <c r="C301" s="19"/>
      <c r="D301" s="478"/>
      <c r="E301" s="478"/>
      <c r="F301" s="478"/>
      <c r="G301" s="478"/>
      <c r="H301" s="478"/>
      <c r="I301" s="36"/>
    </row>
    <row r="302" spans="2:9" ht="15.75" thickBot="1" x14ac:dyDescent="0.3">
      <c r="B302" s="157">
        <v>297</v>
      </c>
      <c r="C302" s="158"/>
      <c r="D302" s="479"/>
      <c r="E302" s="479"/>
      <c r="F302" s="479"/>
      <c r="G302" s="479"/>
      <c r="H302" s="479"/>
      <c r="I302" s="162"/>
    </row>
  </sheetData>
  <mergeCells count="3">
    <mergeCell ref="B4:C4"/>
    <mergeCell ref="D4:H4"/>
    <mergeCell ref="I4:I5"/>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C4C08-6ABC-407A-B19B-BB562AE72BDF}">
  <sheetPr codeName="Sheet3">
    <tabColor theme="7" tint="0.79998168889431442"/>
  </sheetPr>
  <dimension ref="A1:Z93"/>
  <sheetViews>
    <sheetView zoomScale="90" zoomScaleNormal="90" workbookViewId="0">
      <selection activeCell="H10" sqref="H10"/>
    </sheetView>
  </sheetViews>
  <sheetFormatPr defaultRowHeight="15" x14ac:dyDescent="0.25"/>
  <cols>
    <col min="1" max="1" width="35.7109375" bestFit="1" customWidth="1"/>
    <col min="2" max="22" width="19" customWidth="1"/>
    <col min="23" max="26" width="25.7109375" customWidth="1"/>
  </cols>
  <sheetData>
    <row r="1" spans="1:26" ht="15.75" thickBot="1" x14ac:dyDescent="0.3"/>
    <row r="2" spans="1:26" x14ac:dyDescent="0.25">
      <c r="A2" s="4" t="s">
        <v>12</v>
      </c>
      <c r="B2" s="5"/>
      <c r="C2" s="5"/>
      <c r="D2" s="5"/>
      <c r="E2" s="5"/>
      <c r="F2" s="5"/>
      <c r="G2" s="5"/>
      <c r="H2" s="5"/>
      <c r="I2" s="5"/>
      <c r="J2" s="5"/>
      <c r="K2" s="5"/>
      <c r="L2" s="5"/>
      <c r="M2" s="5"/>
      <c r="N2" s="5"/>
      <c r="O2" s="5"/>
      <c r="P2" s="5"/>
      <c r="Q2" s="5"/>
      <c r="R2" s="5"/>
      <c r="S2" s="6"/>
    </row>
    <row r="3" spans="1:26" x14ac:dyDescent="0.25">
      <c r="A3" s="117" t="s">
        <v>188</v>
      </c>
      <c r="B3" s="8"/>
      <c r="C3" s="8"/>
      <c r="D3" s="8"/>
      <c r="E3" s="8"/>
      <c r="F3" s="8"/>
      <c r="G3" s="8"/>
      <c r="H3" s="8"/>
      <c r="I3" s="8"/>
      <c r="J3" s="8"/>
      <c r="K3" s="8"/>
      <c r="L3" s="8"/>
      <c r="M3" s="8"/>
      <c r="N3" s="8"/>
      <c r="O3" s="8"/>
      <c r="P3" s="8"/>
      <c r="Q3" s="8"/>
      <c r="R3" s="8"/>
      <c r="S3" s="9"/>
    </row>
    <row r="4" spans="1:26" x14ac:dyDescent="0.25">
      <c r="A4" s="7" t="s">
        <v>189</v>
      </c>
      <c r="B4" s="8"/>
      <c r="C4" s="8"/>
      <c r="D4" s="8"/>
      <c r="E4" s="8"/>
      <c r="F4" s="8"/>
      <c r="G4" s="8"/>
      <c r="H4" s="8"/>
      <c r="I4" s="8"/>
      <c r="J4" s="8"/>
      <c r="K4" s="8"/>
      <c r="L4" s="8"/>
      <c r="M4" s="8"/>
      <c r="N4" s="8"/>
      <c r="O4" s="8"/>
      <c r="P4" s="8"/>
      <c r="Q4" s="8"/>
      <c r="R4" s="8"/>
      <c r="S4" s="9"/>
    </row>
    <row r="5" spans="1:26" ht="15.75" thickBot="1" x14ac:dyDescent="0.3">
      <c r="A5" s="108"/>
      <c r="B5" s="11"/>
      <c r="C5" s="11"/>
      <c r="D5" s="11"/>
      <c r="E5" s="11"/>
      <c r="F5" s="11"/>
      <c r="G5" s="11"/>
      <c r="H5" s="11"/>
      <c r="I5" s="11"/>
      <c r="J5" s="11"/>
      <c r="K5" s="11"/>
      <c r="L5" s="11"/>
      <c r="M5" s="11"/>
      <c r="N5" s="11"/>
      <c r="O5" s="11"/>
      <c r="P5" s="11"/>
      <c r="Q5" s="11"/>
      <c r="R5" s="11"/>
      <c r="S5" s="12"/>
    </row>
    <row r="6" spans="1:26" ht="15.75" thickBot="1" x14ac:dyDescent="0.3"/>
    <row r="7" spans="1:26" ht="15.75" thickBot="1" x14ac:dyDescent="0.3">
      <c r="W7" s="582" t="s">
        <v>190</v>
      </c>
      <c r="X7" s="582" t="s">
        <v>191</v>
      </c>
      <c r="Y7" s="582" t="s">
        <v>192</v>
      </c>
      <c r="Z7" s="582" t="s">
        <v>193</v>
      </c>
    </row>
    <row r="8" spans="1:26" ht="15.75" thickBot="1" x14ac:dyDescent="0.3">
      <c r="W8" s="583" t="s">
        <v>194</v>
      </c>
      <c r="X8" s="583">
        <v>9964</v>
      </c>
      <c r="Y8" s="583">
        <v>7061</v>
      </c>
      <c r="Z8" s="583">
        <v>70.900000000000006</v>
      </c>
    </row>
    <row r="9" spans="1:26" ht="15.75" thickBot="1" x14ac:dyDescent="0.3">
      <c r="W9" s="583" t="s">
        <v>195</v>
      </c>
      <c r="X9" s="583">
        <v>8848</v>
      </c>
      <c r="Y9" s="583">
        <v>3260</v>
      </c>
      <c r="Z9" s="583">
        <v>36.799999999999997</v>
      </c>
    </row>
    <row r="10" spans="1:26" ht="15.75" thickBot="1" x14ac:dyDescent="0.3">
      <c r="W10" s="583" t="s">
        <v>196</v>
      </c>
      <c r="X10" s="583">
        <v>9964</v>
      </c>
      <c r="Y10" s="583">
        <v>1544</v>
      </c>
      <c r="Z10" s="583">
        <v>15.5</v>
      </c>
    </row>
    <row r="11" spans="1:26" ht="15.75" thickBot="1" x14ac:dyDescent="0.3">
      <c r="W11" s="583" t="s">
        <v>197</v>
      </c>
      <c r="X11" s="583">
        <v>8848</v>
      </c>
      <c r="Y11" s="583">
        <v>3185</v>
      </c>
      <c r="Z11" s="583">
        <v>36</v>
      </c>
    </row>
    <row r="12" spans="1:26" ht="15.75" thickBot="1" x14ac:dyDescent="0.3">
      <c r="W12" s="583" t="s">
        <v>198</v>
      </c>
      <c r="X12" s="583">
        <v>19902</v>
      </c>
      <c r="Y12" s="580"/>
      <c r="Z12" s="581"/>
    </row>
    <row r="14" spans="1:26" ht="32.25" customHeight="1" x14ac:dyDescent="0.25">
      <c r="A14" s="118"/>
      <c r="B14" s="715" t="s">
        <v>199</v>
      </c>
      <c r="C14" s="716"/>
      <c r="D14" s="717"/>
      <c r="E14" s="715" t="s">
        <v>200</v>
      </c>
      <c r="F14" s="716"/>
      <c r="G14" s="717"/>
      <c r="H14" s="715" t="s">
        <v>201</v>
      </c>
      <c r="I14" s="716"/>
      <c r="J14" s="717"/>
      <c r="K14" s="715" t="s">
        <v>202</v>
      </c>
      <c r="L14" s="716"/>
      <c r="M14" s="717"/>
      <c r="N14" s="715" t="s">
        <v>203</v>
      </c>
      <c r="O14" s="716"/>
      <c r="P14" s="717"/>
      <c r="Q14" s="715" t="s">
        <v>204</v>
      </c>
      <c r="R14" s="716"/>
      <c r="S14" s="717"/>
      <c r="T14" s="716" t="s">
        <v>205</v>
      </c>
      <c r="U14" s="716"/>
      <c r="V14" s="717"/>
      <c r="W14" s="585" t="s">
        <v>206</v>
      </c>
      <c r="X14">
        <f>SUM(X8:X11)</f>
        <v>37624</v>
      </c>
      <c r="Y14">
        <f>SUM(Y8:Y11)</f>
        <v>15050</v>
      </c>
      <c r="Z14" s="584">
        <f>Y14/X14</f>
        <v>0.400010631511801</v>
      </c>
    </row>
    <row r="15" spans="1:26" ht="30" x14ac:dyDescent="0.25">
      <c r="A15" s="119" t="s">
        <v>207</v>
      </c>
      <c r="B15" s="720" t="s">
        <v>208</v>
      </c>
      <c r="C15" s="721"/>
      <c r="D15" s="120" t="s">
        <v>209</v>
      </c>
      <c r="E15" s="720" t="s">
        <v>208</v>
      </c>
      <c r="F15" s="721"/>
      <c r="G15" s="120" t="s">
        <v>209</v>
      </c>
      <c r="H15" s="720" t="s">
        <v>208</v>
      </c>
      <c r="I15" s="721"/>
      <c r="J15" s="120" t="s">
        <v>209</v>
      </c>
      <c r="K15" s="720" t="s">
        <v>208</v>
      </c>
      <c r="L15" s="721"/>
      <c r="M15" s="120" t="s">
        <v>209</v>
      </c>
      <c r="N15" s="720" t="s">
        <v>208</v>
      </c>
      <c r="O15" s="721"/>
      <c r="P15" s="120" t="s">
        <v>209</v>
      </c>
      <c r="Q15" s="720" t="s">
        <v>208</v>
      </c>
      <c r="R15" s="721"/>
      <c r="S15" s="120" t="s">
        <v>209</v>
      </c>
      <c r="T15" s="721" t="s">
        <v>208</v>
      </c>
      <c r="U15" s="721"/>
      <c r="V15" s="120" t="s">
        <v>209</v>
      </c>
    </row>
    <row r="16" spans="1:26" x14ac:dyDescent="0.25">
      <c r="A16" s="121" t="s">
        <v>210</v>
      </c>
      <c r="B16" s="122"/>
      <c r="C16" s="123"/>
      <c r="D16" s="124"/>
      <c r="E16" s="122"/>
      <c r="F16" s="123"/>
      <c r="G16" s="124"/>
      <c r="H16" s="122"/>
      <c r="I16" s="123"/>
      <c r="J16" s="124"/>
      <c r="K16" s="122"/>
      <c r="L16" s="123"/>
      <c r="M16" s="124"/>
      <c r="N16" s="122"/>
      <c r="O16" s="123"/>
      <c r="P16" s="124"/>
      <c r="Q16" s="122"/>
      <c r="R16" s="123"/>
      <c r="S16" s="124"/>
      <c r="T16" s="123"/>
      <c r="U16" s="123"/>
      <c r="V16" s="124"/>
    </row>
    <row r="17" spans="1:22" x14ac:dyDescent="0.25">
      <c r="A17" s="125" t="s">
        <v>211</v>
      </c>
      <c r="B17" s="718">
        <v>4.8000000000000001E-2</v>
      </c>
      <c r="C17" s="719"/>
      <c r="D17" s="126" t="s">
        <v>212</v>
      </c>
      <c r="E17" s="718">
        <v>4.8000000000000001E-2</v>
      </c>
      <c r="F17" s="719"/>
      <c r="G17" s="126" t="s">
        <v>212</v>
      </c>
      <c r="H17" s="718">
        <v>3.9E-2</v>
      </c>
      <c r="I17" s="719"/>
      <c r="J17" s="126" t="s">
        <v>213</v>
      </c>
      <c r="K17" s="718">
        <v>3.9E-2</v>
      </c>
      <c r="L17" s="719"/>
      <c r="M17" s="126" t="s">
        <v>213</v>
      </c>
      <c r="N17" s="718">
        <v>3.9E-2</v>
      </c>
      <c r="O17" s="719"/>
      <c r="P17" s="126" t="s">
        <v>213</v>
      </c>
      <c r="Q17" s="718" t="s">
        <v>214</v>
      </c>
      <c r="R17" s="719"/>
      <c r="S17" s="126" t="s">
        <v>214</v>
      </c>
      <c r="T17" s="719"/>
      <c r="U17" s="719"/>
      <c r="V17" s="126"/>
    </row>
    <row r="18" spans="1:22" x14ac:dyDescent="0.25">
      <c r="A18" s="125" t="s">
        <v>215</v>
      </c>
      <c r="B18" s="718">
        <v>6.5000000000000002E-2</v>
      </c>
      <c r="C18" s="719"/>
      <c r="D18" s="126" t="s">
        <v>216</v>
      </c>
      <c r="E18" s="718">
        <v>5.5E-2</v>
      </c>
      <c r="F18" s="719"/>
      <c r="G18" s="126" t="s">
        <v>217</v>
      </c>
      <c r="H18" s="718">
        <v>4.1000000000000002E-2</v>
      </c>
      <c r="I18" s="719"/>
      <c r="J18" s="126" t="s">
        <v>218</v>
      </c>
      <c r="K18" s="718">
        <v>4.1000000000000002E-2</v>
      </c>
      <c r="L18" s="719"/>
      <c r="M18" s="126" t="s">
        <v>218</v>
      </c>
      <c r="N18" s="718">
        <v>4.1000000000000002E-2</v>
      </c>
      <c r="O18" s="719"/>
      <c r="P18" s="126" t="s">
        <v>218</v>
      </c>
      <c r="Q18" s="718">
        <v>4.1000000000000002E-2</v>
      </c>
      <c r="R18" s="719"/>
      <c r="S18" s="126" t="s">
        <v>214</v>
      </c>
      <c r="T18" s="719"/>
      <c r="U18" s="719"/>
      <c r="V18" s="126"/>
    </row>
    <row r="19" spans="1:22" x14ac:dyDescent="0.25">
      <c r="A19" s="125" t="s">
        <v>219</v>
      </c>
      <c r="B19" s="718">
        <v>2.7E-2</v>
      </c>
      <c r="C19" s="719"/>
      <c r="D19" s="126" t="s">
        <v>220</v>
      </c>
      <c r="E19" s="718">
        <v>2.7E-2</v>
      </c>
      <c r="F19" s="719"/>
      <c r="G19" s="126" t="s">
        <v>220</v>
      </c>
      <c r="H19" s="718">
        <v>2.7E-2</v>
      </c>
      <c r="I19" s="719"/>
      <c r="J19" s="126" t="s">
        <v>220</v>
      </c>
      <c r="K19" s="718">
        <v>2.7E-2</v>
      </c>
      <c r="L19" s="719"/>
      <c r="M19" s="126" t="s">
        <v>220</v>
      </c>
      <c r="N19" s="718">
        <v>2.7E-2</v>
      </c>
      <c r="O19" s="719"/>
      <c r="P19" s="126" t="s">
        <v>220</v>
      </c>
      <c r="Q19" s="718">
        <v>3.4000000000000002E-2</v>
      </c>
      <c r="R19" s="719"/>
      <c r="S19" s="126" t="s">
        <v>214</v>
      </c>
      <c r="T19" s="719"/>
      <c r="U19" s="719"/>
      <c r="V19" s="126"/>
    </row>
    <row r="20" spans="1:22" x14ac:dyDescent="0.25">
      <c r="A20" s="121" t="s">
        <v>221</v>
      </c>
      <c r="B20" s="122"/>
      <c r="C20" s="123"/>
      <c r="D20" s="127"/>
      <c r="E20" s="122"/>
      <c r="F20" s="123"/>
      <c r="G20" s="127"/>
      <c r="H20" s="122"/>
      <c r="I20" s="123"/>
      <c r="J20" s="127"/>
      <c r="K20" s="122"/>
      <c r="L20" s="123"/>
      <c r="M20" s="127"/>
      <c r="N20" s="122"/>
      <c r="O20" s="123"/>
      <c r="P20" s="127"/>
      <c r="Q20" s="122"/>
      <c r="R20" s="123"/>
      <c r="S20" s="127"/>
      <c r="T20" s="123"/>
      <c r="U20" s="123"/>
      <c r="V20" s="127"/>
    </row>
    <row r="21" spans="1:22" x14ac:dyDescent="0.25">
      <c r="A21" s="125" t="s">
        <v>222</v>
      </c>
      <c r="B21" s="128" t="s">
        <v>214</v>
      </c>
      <c r="C21" s="129" t="s">
        <v>214</v>
      </c>
      <c r="D21" s="126" t="s">
        <v>214</v>
      </c>
      <c r="E21" s="128" t="s">
        <v>214</v>
      </c>
      <c r="F21" s="129" t="s">
        <v>214</v>
      </c>
      <c r="G21" s="126" t="s">
        <v>214</v>
      </c>
      <c r="H21" s="128" t="s">
        <v>214</v>
      </c>
      <c r="I21" s="129" t="s">
        <v>214</v>
      </c>
      <c r="J21" s="126" t="s">
        <v>214</v>
      </c>
      <c r="K21" s="128" t="s">
        <v>214</v>
      </c>
      <c r="L21" s="129" t="s">
        <v>214</v>
      </c>
      <c r="M21" s="126" t="s">
        <v>214</v>
      </c>
      <c r="N21" s="128" t="s">
        <v>214</v>
      </c>
      <c r="O21" s="129" t="s">
        <v>214</v>
      </c>
      <c r="P21" s="126" t="s">
        <v>214</v>
      </c>
      <c r="Q21" s="718">
        <v>0.63</v>
      </c>
      <c r="R21" s="719"/>
      <c r="S21" s="126" t="s">
        <v>214</v>
      </c>
      <c r="T21" s="129"/>
      <c r="U21" s="129"/>
      <c r="V21" s="126"/>
    </row>
    <row r="22" spans="1:22" x14ac:dyDescent="0.25">
      <c r="A22" s="125" t="s">
        <v>223</v>
      </c>
      <c r="B22" s="128" t="s">
        <v>214</v>
      </c>
      <c r="C22" s="129" t="s">
        <v>214</v>
      </c>
      <c r="D22" s="126" t="s">
        <v>214</v>
      </c>
      <c r="E22" s="128" t="s">
        <v>214</v>
      </c>
      <c r="F22" s="129" t="s">
        <v>214</v>
      </c>
      <c r="G22" s="126" t="s">
        <v>214</v>
      </c>
      <c r="H22" s="128" t="s">
        <v>214</v>
      </c>
      <c r="I22" s="129" t="s">
        <v>214</v>
      </c>
      <c r="J22" s="126" t="s">
        <v>214</v>
      </c>
      <c r="K22" s="128" t="s">
        <v>214</v>
      </c>
      <c r="L22" s="129" t="s">
        <v>214</v>
      </c>
      <c r="M22" s="126" t="s">
        <v>214</v>
      </c>
      <c r="N22" s="128" t="s">
        <v>214</v>
      </c>
      <c r="O22" s="129" t="s">
        <v>214</v>
      </c>
      <c r="P22" s="126" t="s">
        <v>214</v>
      </c>
      <c r="Q22" s="718">
        <v>0.75</v>
      </c>
      <c r="R22" s="719"/>
      <c r="S22" s="126" t="s">
        <v>214</v>
      </c>
      <c r="T22" s="129"/>
      <c r="U22" s="129"/>
      <c r="V22" s="126"/>
    </row>
    <row r="23" spans="1:22" x14ac:dyDescent="0.25">
      <c r="A23" s="125" t="s">
        <v>224</v>
      </c>
      <c r="B23" s="128" t="s">
        <v>214</v>
      </c>
      <c r="C23" s="129" t="s">
        <v>214</v>
      </c>
      <c r="D23" s="126" t="s">
        <v>214</v>
      </c>
      <c r="E23" s="128" t="s">
        <v>214</v>
      </c>
      <c r="F23" s="129" t="s">
        <v>214</v>
      </c>
      <c r="G23" s="126" t="s">
        <v>214</v>
      </c>
      <c r="H23" s="128" t="s">
        <v>214</v>
      </c>
      <c r="I23" s="129" t="s">
        <v>214</v>
      </c>
      <c r="J23" s="126" t="s">
        <v>214</v>
      </c>
      <c r="K23" s="128" t="s">
        <v>214</v>
      </c>
      <c r="L23" s="129" t="s">
        <v>214</v>
      </c>
      <c r="M23" s="126" t="s">
        <v>214</v>
      </c>
      <c r="N23" s="128" t="s">
        <v>214</v>
      </c>
      <c r="O23" s="129" t="s">
        <v>214</v>
      </c>
      <c r="P23" s="126" t="s">
        <v>214</v>
      </c>
      <c r="Q23" s="718">
        <v>0.2</v>
      </c>
      <c r="R23" s="719"/>
      <c r="S23" s="126" t="s">
        <v>214</v>
      </c>
      <c r="T23" s="129"/>
      <c r="U23" s="129"/>
      <c r="V23" s="126"/>
    </row>
    <row r="24" spans="1:22" x14ac:dyDescent="0.25">
      <c r="A24" s="125" t="s">
        <v>225</v>
      </c>
      <c r="B24" s="128" t="s">
        <v>214</v>
      </c>
      <c r="C24" s="129" t="s">
        <v>214</v>
      </c>
      <c r="D24" s="126" t="s">
        <v>214</v>
      </c>
      <c r="E24" s="128" t="s">
        <v>214</v>
      </c>
      <c r="F24" s="129" t="s">
        <v>214</v>
      </c>
      <c r="G24" s="126" t="s">
        <v>214</v>
      </c>
      <c r="H24" s="128" t="s">
        <v>214</v>
      </c>
      <c r="I24" s="129" t="s">
        <v>214</v>
      </c>
      <c r="J24" s="126" t="s">
        <v>214</v>
      </c>
      <c r="K24" s="128" t="s">
        <v>214</v>
      </c>
      <c r="L24" s="129" t="s">
        <v>214</v>
      </c>
      <c r="M24" s="126" t="s">
        <v>214</v>
      </c>
      <c r="N24" s="128" t="s">
        <v>214</v>
      </c>
      <c r="O24" s="129" t="s">
        <v>214</v>
      </c>
      <c r="P24" s="126" t="s">
        <v>214</v>
      </c>
      <c r="Q24" s="718">
        <v>0.75</v>
      </c>
      <c r="R24" s="719"/>
      <c r="S24" s="126" t="s">
        <v>214</v>
      </c>
      <c r="T24" s="129"/>
      <c r="U24" s="129"/>
      <c r="V24" s="126"/>
    </row>
    <row r="25" spans="1:22" x14ac:dyDescent="0.25">
      <c r="A25" s="121" t="s">
        <v>226</v>
      </c>
      <c r="B25" s="122"/>
      <c r="C25" s="123"/>
      <c r="D25" s="127"/>
      <c r="E25" s="122"/>
      <c r="F25" s="123"/>
      <c r="G25" s="127"/>
      <c r="H25" s="122"/>
      <c r="I25" s="123"/>
      <c r="J25" s="127"/>
      <c r="K25" s="122"/>
      <c r="L25" s="123"/>
      <c r="M25" s="127"/>
      <c r="N25" s="122"/>
      <c r="O25" s="123"/>
      <c r="P25" s="127"/>
      <c r="Q25" s="122"/>
      <c r="R25" s="123"/>
      <c r="S25" s="127"/>
      <c r="T25" s="123"/>
      <c r="U25" s="123"/>
      <c r="V25" s="127"/>
    </row>
    <row r="26" spans="1:22" x14ac:dyDescent="0.25">
      <c r="A26" s="125" t="s">
        <v>227</v>
      </c>
      <c r="B26" s="718"/>
      <c r="C26" s="719"/>
      <c r="D26" s="126"/>
      <c r="E26" s="718"/>
      <c r="F26" s="719"/>
      <c r="G26" s="126"/>
      <c r="H26" s="718"/>
      <c r="I26" s="719"/>
      <c r="J26" s="126"/>
      <c r="K26" s="718"/>
      <c r="L26" s="719"/>
      <c r="M26" s="126"/>
      <c r="N26" s="718"/>
      <c r="O26" s="719"/>
      <c r="P26" s="126"/>
      <c r="Q26" s="718">
        <v>2.7799999999999998E-2</v>
      </c>
      <c r="R26" s="719"/>
      <c r="S26" s="126" t="s">
        <v>214</v>
      </c>
      <c r="T26" s="129"/>
      <c r="U26" s="129"/>
      <c r="V26" s="126"/>
    </row>
    <row r="27" spans="1:22" x14ac:dyDescent="0.25">
      <c r="A27" s="125" t="s">
        <v>228</v>
      </c>
      <c r="B27" s="718">
        <v>0.123</v>
      </c>
      <c r="C27" s="719"/>
      <c r="D27" s="126" t="s">
        <v>229</v>
      </c>
      <c r="E27" s="718">
        <v>0.123</v>
      </c>
      <c r="F27" s="719"/>
      <c r="G27" s="126" t="s">
        <v>229</v>
      </c>
      <c r="H27" s="718">
        <v>0.123</v>
      </c>
      <c r="I27" s="719"/>
      <c r="J27" s="126" t="s">
        <v>229</v>
      </c>
      <c r="K27" s="718">
        <v>0.151</v>
      </c>
      <c r="L27" s="719"/>
      <c r="M27" s="126" t="s">
        <v>230</v>
      </c>
      <c r="N27" s="718">
        <v>0.123</v>
      </c>
      <c r="O27" s="719"/>
      <c r="P27" s="126" t="s">
        <v>229</v>
      </c>
      <c r="Q27" s="718">
        <v>0.65</v>
      </c>
      <c r="R27" s="719"/>
      <c r="S27" s="126" t="s">
        <v>214</v>
      </c>
      <c r="T27" s="719"/>
      <c r="U27" s="719"/>
      <c r="V27" s="126"/>
    </row>
    <row r="28" spans="1:22" x14ac:dyDescent="0.25">
      <c r="A28" s="125" t="s">
        <v>215</v>
      </c>
      <c r="B28" s="718">
        <v>0.113</v>
      </c>
      <c r="C28" s="719"/>
      <c r="D28" s="126" t="s">
        <v>231</v>
      </c>
      <c r="E28" s="718">
        <v>8.4000000000000005E-2</v>
      </c>
      <c r="F28" s="719"/>
      <c r="G28" s="126" t="s">
        <v>216</v>
      </c>
      <c r="H28" s="718">
        <v>9.4E-2</v>
      </c>
      <c r="I28" s="719"/>
      <c r="J28" s="126" t="s">
        <v>232</v>
      </c>
      <c r="K28" s="718">
        <v>9.4E-2</v>
      </c>
      <c r="L28" s="719"/>
      <c r="M28" s="126" t="s">
        <v>232</v>
      </c>
      <c r="N28" s="718">
        <v>9.4E-2</v>
      </c>
      <c r="O28" s="719"/>
      <c r="P28" s="126" t="s">
        <v>232</v>
      </c>
      <c r="Q28" s="718">
        <v>0.113</v>
      </c>
      <c r="R28" s="719"/>
      <c r="S28" s="126" t="s">
        <v>214</v>
      </c>
      <c r="T28" s="719"/>
      <c r="U28" s="719"/>
      <c r="V28" s="126"/>
    </row>
    <row r="29" spans="1:22" x14ac:dyDescent="0.25">
      <c r="A29" s="125" t="s">
        <v>233</v>
      </c>
      <c r="B29" s="718">
        <v>8.4000000000000005E-2</v>
      </c>
      <c r="C29" s="719"/>
      <c r="D29" s="126" t="s">
        <v>234</v>
      </c>
      <c r="E29" s="718">
        <v>8.4000000000000005E-2</v>
      </c>
      <c r="F29" s="719"/>
      <c r="G29" s="126" t="s">
        <v>234</v>
      </c>
      <c r="H29" s="718">
        <v>7.6999999999999999E-2</v>
      </c>
      <c r="I29" s="719"/>
      <c r="J29" s="126" t="s">
        <v>235</v>
      </c>
      <c r="K29" s="718">
        <v>8.4000000000000005E-2</v>
      </c>
      <c r="L29" s="719"/>
      <c r="M29" s="126" t="s">
        <v>234</v>
      </c>
      <c r="N29" s="718">
        <v>7.6999999999999999E-2</v>
      </c>
      <c r="O29" s="719"/>
      <c r="P29" s="126" t="s">
        <v>235</v>
      </c>
      <c r="Q29" s="718">
        <v>8.2000000000000003E-2</v>
      </c>
      <c r="R29" s="719"/>
      <c r="S29" s="126" t="s">
        <v>214</v>
      </c>
      <c r="T29" s="719"/>
      <c r="U29" s="719"/>
      <c r="V29" s="126"/>
    </row>
    <row r="30" spans="1:22" x14ac:dyDescent="0.25">
      <c r="A30" s="125" t="s">
        <v>236</v>
      </c>
      <c r="B30" s="718">
        <v>8.8999999999999996E-2</v>
      </c>
      <c r="C30" s="719"/>
      <c r="D30" s="126" t="s">
        <v>231</v>
      </c>
      <c r="E30" s="718">
        <v>8.8999999999999996E-2</v>
      </c>
      <c r="F30" s="719"/>
      <c r="G30" s="126" t="s">
        <v>231</v>
      </c>
      <c r="H30" s="718">
        <v>8.8999999999999996E-2</v>
      </c>
      <c r="I30" s="719"/>
      <c r="J30" s="126" t="s">
        <v>231</v>
      </c>
      <c r="K30" s="718">
        <v>8.8999999999999996E-2</v>
      </c>
      <c r="L30" s="719"/>
      <c r="M30" s="126" t="s">
        <v>231</v>
      </c>
      <c r="N30" s="718">
        <v>8.8999999999999996E-2</v>
      </c>
      <c r="O30" s="719"/>
      <c r="P30" s="126" t="s">
        <v>231</v>
      </c>
      <c r="Q30" s="718">
        <v>0.11</v>
      </c>
      <c r="R30" s="719"/>
      <c r="S30" s="126" t="s">
        <v>214</v>
      </c>
      <c r="T30" s="719"/>
      <c r="U30" s="719"/>
      <c r="V30" s="126"/>
    </row>
    <row r="31" spans="1:22" x14ac:dyDescent="0.25">
      <c r="A31" s="121" t="s">
        <v>237</v>
      </c>
      <c r="B31" s="122"/>
      <c r="C31" s="123"/>
      <c r="D31" s="127"/>
      <c r="E31" s="122"/>
      <c r="F31" s="123"/>
      <c r="G31" s="127"/>
      <c r="H31" s="122"/>
      <c r="I31" s="123"/>
      <c r="J31" s="127"/>
      <c r="K31" s="122"/>
      <c r="L31" s="123"/>
      <c r="M31" s="127"/>
      <c r="N31" s="122"/>
      <c r="O31" s="123"/>
      <c r="P31" s="127"/>
      <c r="Q31" s="122"/>
      <c r="R31" s="123"/>
      <c r="S31" s="127"/>
      <c r="T31" s="123"/>
      <c r="U31" s="123"/>
      <c r="V31" s="127"/>
    </row>
    <row r="32" spans="1:22" x14ac:dyDescent="0.25">
      <c r="A32" s="125" t="s">
        <v>238</v>
      </c>
      <c r="B32" s="718" t="s">
        <v>239</v>
      </c>
      <c r="C32" s="719"/>
      <c r="D32" s="126" t="s">
        <v>240</v>
      </c>
      <c r="E32" s="718" t="s">
        <v>239</v>
      </c>
      <c r="F32" s="719"/>
      <c r="G32" s="126" t="s">
        <v>240</v>
      </c>
      <c r="H32" s="718" t="s">
        <v>239</v>
      </c>
      <c r="I32" s="719"/>
      <c r="J32" s="126" t="s">
        <v>240</v>
      </c>
      <c r="K32" s="718" t="s">
        <v>239</v>
      </c>
      <c r="L32" s="719"/>
      <c r="M32" s="126" t="s">
        <v>240</v>
      </c>
      <c r="N32" s="718" t="s">
        <v>239</v>
      </c>
      <c r="O32" s="719"/>
      <c r="P32" s="126" t="s">
        <v>240</v>
      </c>
      <c r="Q32" s="718" t="s">
        <v>214</v>
      </c>
      <c r="R32" s="719"/>
      <c r="S32" s="126" t="s">
        <v>214</v>
      </c>
      <c r="T32" s="719"/>
      <c r="U32" s="719"/>
      <c r="V32" s="126"/>
    </row>
    <row r="33" spans="1:22" x14ac:dyDescent="0.25">
      <c r="A33" s="121" t="s">
        <v>241</v>
      </c>
      <c r="B33" s="122"/>
      <c r="C33" s="123"/>
      <c r="D33" s="127"/>
      <c r="E33" s="122"/>
      <c r="F33" s="123"/>
      <c r="G33" s="127"/>
      <c r="H33" s="122"/>
      <c r="I33" s="123"/>
      <c r="J33" s="127"/>
      <c r="K33" s="122"/>
      <c r="L33" s="123"/>
      <c r="M33" s="127"/>
      <c r="N33" s="122"/>
      <c r="O33" s="123"/>
      <c r="P33" s="127"/>
      <c r="Q33" s="122"/>
      <c r="R33" s="123"/>
      <c r="S33" s="127"/>
      <c r="T33" s="123"/>
      <c r="U33" s="123"/>
      <c r="V33" s="127"/>
    </row>
    <row r="34" spans="1:22" x14ac:dyDescent="0.25">
      <c r="A34" s="125" t="s">
        <v>242</v>
      </c>
      <c r="B34" s="718">
        <v>0.107</v>
      </c>
      <c r="C34" s="719"/>
      <c r="D34" s="126" t="s">
        <v>243</v>
      </c>
      <c r="E34" s="718">
        <v>0.107</v>
      </c>
      <c r="F34" s="719"/>
      <c r="G34" s="126" t="s">
        <v>243</v>
      </c>
      <c r="H34" s="718">
        <v>7.3999999999999996E-2</v>
      </c>
      <c r="I34" s="719"/>
      <c r="J34" s="126" t="s">
        <v>244</v>
      </c>
      <c r="K34" s="718">
        <v>0.107</v>
      </c>
      <c r="L34" s="719"/>
      <c r="M34" s="126" t="s">
        <v>243</v>
      </c>
      <c r="N34" s="718">
        <v>7.3999999999999996E-2</v>
      </c>
      <c r="O34" s="719"/>
      <c r="P34" s="126" t="s">
        <v>244</v>
      </c>
      <c r="Q34" s="718">
        <v>0.26900000000000002</v>
      </c>
      <c r="R34" s="719"/>
      <c r="S34" s="126" t="s">
        <v>214</v>
      </c>
      <c r="T34" s="719"/>
      <c r="U34" s="719"/>
      <c r="V34" s="126"/>
    </row>
    <row r="35" spans="1:22" x14ac:dyDescent="0.25">
      <c r="A35" s="125" t="s">
        <v>245</v>
      </c>
      <c r="B35" s="718">
        <v>5.1999999999999998E-2</v>
      </c>
      <c r="C35" s="719"/>
      <c r="D35" s="126" t="s">
        <v>216</v>
      </c>
      <c r="E35" s="718">
        <v>5.1999999999999998E-2</v>
      </c>
      <c r="F35" s="719"/>
      <c r="G35" s="126" t="s">
        <v>216</v>
      </c>
      <c r="H35" s="718">
        <v>3.7999999999999999E-2</v>
      </c>
      <c r="I35" s="719"/>
      <c r="J35" s="126" t="s">
        <v>246</v>
      </c>
      <c r="K35" s="718">
        <v>3.7999999999999999E-2</v>
      </c>
      <c r="L35" s="719"/>
      <c r="M35" s="126" t="s">
        <v>246</v>
      </c>
      <c r="N35" s="718">
        <v>3.7999999999999999E-2</v>
      </c>
      <c r="O35" s="719"/>
      <c r="P35" s="126" t="s">
        <v>246</v>
      </c>
      <c r="Q35" s="718" t="s">
        <v>214</v>
      </c>
      <c r="R35" s="719"/>
      <c r="S35" s="126" t="s">
        <v>214</v>
      </c>
      <c r="T35" s="719"/>
      <c r="U35" s="719"/>
      <c r="V35" s="126"/>
    </row>
    <row r="36" spans="1:22" x14ac:dyDescent="0.25">
      <c r="A36" s="125" t="s">
        <v>236</v>
      </c>
      <c r="B36" s="718">
        <v>5.0999999999999997E-2</v>
      </c>
      <c r="C36" s="719"/>
      <c r="D36" s="126" t="s">
        <v>216</v>
      </c>
      <c r="E36" s="718">
        <v>5.0999999999999997E-2</v>
      </c>
      <c r="F36" s="719"/>
      <c r="G36" s="126" t="s">
        <v>216</v>
      </c>
      <c r="H36" s="718">
        <v>3.3000000000000002E-2</v>
      </c>
      <c r="I36" s="719"/>
      <c r="J36" s="126" t="s">
        <v>246</v>
      </c>
      <c r="K36" s="718">
        <v>3.3000000000000002E-2</v>
      </c>
      <c r="L36" s="719"/>
      <c r="M36" s="126" t="s">
        <v>246</v>
      </c>
      <c r="N36" s="718">
        <v>3.3000000000000002E-2</v>
      </c>
      <c r="O36" s="719"/>
      <c r="P36" s="126" t="s">
        <v>246</v>
      </c>
      <c r="Q36" s="718">
        <v>7.0999999999999994E-2</v>
      </c>
      <c r="R36" s="719"/>
      <c r="S36" s="126" t="s">
        <v>214</v>
      </c>
      <c r="T36" s="719"/>
      <c r="U36" s="719"/>
      <c r="V36" s="126"/>
    </row>
    <row r="37" spans="1:22" x14ac:dyDescent="0.25">
      <c r="A37" s="121" t="s">
        <v>247</v>
      </c>
      <c r="B37" s="122"/>
      <c r="C37" s="123"/>
      <c r="D37" s="127"/>
      <c r="E37" s="122"/>
      <c r="F37" s="123"/>
      <c r="G37" s="127"/>
      <c r="H37" s="122"/>
      <c r="I37" s="123"/>
      <c r="J37" s="127"/>
      <c r="K37" s="122"/>
      <c r="L37" s="123"/>
      <c r="M37" s="127"/>
      <c r="N37" s="122"/>
      <c r="O37" s="123"/>
      <c r="P37" s="127"/>
      <c r="Q37" s="122"/>
      <c r="R37" s="123"/>
      <c r="S37" s="127"/>
      <c r="T37" s="123"/>
      <c r="U37" s="123"/>
      <c r="V37" s="127"/>
    </row>
    <row r="38" spans="1:22" x14ac:dyDescent="0.25">
      <c r="A38" s="125" t="s">
        <v>248</v>
      </c>
      <c r="B38" s="718" t="s">
        <v>249</v>
      </c>
      <c r="C38" s="719"/>
      <c r="D38" s="126" t="s">
        <v>214</v>
      </c>
      <c r="E38" s="718" t="s">
        <v>249</v>
      </c>
      <c r="F38" s="719"/>
      <c r="G38" s="126" t="s">
        <v>214</v>
      </c>
      <c r="H38" s="718" t="s">
        <v>249</v>
      </c>
      <c r="I38" s="719"/>
      <c r="J38" s="126" t="s">
        <v>214</v>
      </c>
      <c r="K38" s="718">
        <v>0.37</v>
      </c>
      <c r="L38" s="719"/>
      <c r="M38" s="126" t="s">
        <v>214</v>
      </c>
      <c r="N38" s="718">
        <v>0.37</v>
      </c>
      <c r="O38" s="719"/>
      <c r="P38" s="126" t="s">
        <v>214</v>
      </c>
      <c r="Q38" s="718" t="s">
        <v>250</v>
      </c>
      <c r="R38" s="719"/>
      <c r="S38" s="126" t="s">
        <v>214</v>
      </c>
      <c r="T38" s="719"/>
      <c r="U38" s="719"/>
      <c r="V38" s="126"/>
    </row>
    <row r="39" spans="1:22" x14ac:dyDescent="0.25">
      <c r="A39" s="125" t="s">
        <v>251</v>
      </c>
      <c r="B39" s="718" t="s">
        <v>252</v>
      </c>
      <c r="C39" s="719"/>
      <c r="D39" s="126" t="s">
        <v>253</v>
      </c>
      <c r="E39" s="718" t="s">
        <v>252</v>
      </c>
      <c r="F39" s="719"/>
      <c r="G39" s="126" t="s">
        <v>253</v>
      </c>
      <c r="H39" s="718" t="s">
        <v>254</v>
      </c>
      <c r="I39" s="719"/>
      <c r="J39" s="126" t="s">
        <v>255</v>
      </c>
      <c r="K39" s="718">
        <v>0.31</v>
      </c>
      <c r="L39" s="719"/>
      <c r="M39" s="126" t="s">
        <v>253</v>
      </c>
      <c r="N39" s="718">
        <v>0.31</v>
      </c>
      <c r="O39" s="719"/>
      <c r="P39" s="126" t="s">
        <v>214</v>
      </c>
      <c r="Q39" s="718" t="s">
        <v>214</v>
      </c>
      <c r="R39" s="719"/>
      <c r="S39" s="126" t="s">
        <v>214</v>
      </c>
      <c r="T39" s="719"/>
      <c r="U39" s="719"/>
      <c r="V39" s="126"/>
    </row>
    <row r="40" spans="1:22" x14ac:dyDescent="0.25">
      <c r="A40" s="121" t="s">
        <v>256</v>
      </c>
      <c r="B40" s="122"/>
      <c r="C40" s="123"/>
      <c r="D40" s="127"/>
      <c r="E40" s="122"/>
      <c r="F40" s="123"/>
      <c r="G40" s="127"/>
      <c r="H40" s="122"/>
      <c r="I40" s="123"/>
      <c r="J40" s="127"/>
      <c r="K40" s="122"/>
      <c r="L40" s="123"/>
      <c r="M40" s="127"/>
      <c r="N40" s="122"/>
      <c r="O40" s="123"/>
      <c r="P40" s="127"/>
      <c r="Q40" s="122"/>
      <c r="R40" s="123"/>
      <c r="S40" s="127"/>
      <c r="T40" s="123"/>
      <c r="U40" s="123"/>
      <c r="V40" s="127"/>
    </row>
    <row r="41" spans="1:22" x14ac:dyDescent="0.25">
      <c r="A41" s="125" t="s">
        <v>257</v>
      </c>
      <c r="B41" s="718" t="s">
        <v>258</v>
      </c>
      <c r="C41" s="719"/>
      <c r="D41" s="126" t="s">
        <v>214</v>
      </c>
      <c r="E41" s="718" t="s">
        <v>258</v>
      </c>
      <c r="F41" s="719"/>
      <c r="G41" s="126" t="s">
        <v>214</v>
      </c>
      <c r="H41" s="718" t="s">
        <v>258</v>
      </c>
      <c r="I41" s="719"/>
      <c r="J41" s="126" t="s">
        <v>214</v>
      </c>
      <c r="K41" s="718">
        <v>0.37</v>
      </c>
      <c r="L41" s="719"/>
      <c r="M41" s="126" t="s">
        <v>214</v>
      </c>
      <c r="N41" s="718" t="s">
        <v>258</v>
      </c>
      <c r="O41" s="719"/>
      <c r="P41" s="126" t="s">
        <v>214</v>
      </c>
      <c r="Q41" s="718">
        <v>0.7</v>
      </c>
      <c r="R41" s="719"/>
      <c r="S41" s="126" t="s">
        <v>214</v>
      </c>
      <c r="T41" s="129"/>
      <c r="U41" s="129"/>
      <c r="V41" s="126"/>
    </row>
    <row r="42" spans="1:22" x14ac:dyDescent="0.25">
      <c r="A42" s="125" t="s">
        <v>259</v>
      </c>
      <c r="B42" s="718" t="s">
        <v>260</v>
      </c>
      <c r="C42" s="719"/>
      <c r="D42" s="126" t="s">
        <v>214</v>
      </c>
      <c r="E42" s="718" t="s">
        <v>260</v>
      </c>
      <c r="F42" s="719"/>
      <c r="G42" s="126" t="s">
        <v>214</v>
      </c>
      <c r="H42" s="718" t="s">
        <v>261</v>
      </c>
      <c r="I42" s="719"/>
      <c r="J42" s="126" t="s">
        <v>214</v>
      </c>
      <c r="K42" s="718">
        <v>0.31</v>
      </c>
      <c r="L42" s="719"/>
      <c r="M42" s="126" t="s">
        <v>214</v>
      </c>
      <c r="N42" s="718" t="s">
        <v>260</v>
      </c>
      <c r="O42" s="719"/>
      <c r="P42" s="126" t="s">
        <v>214</v>
      </c>
      <c r="Q42" s="718">
        <v>1.45</v>
      </c>
      <c r="R42" s="719"/>
      <c r="S42" s="126" t="s">
        <v>214</v>
      </c>
      <c r="T42" s="129"/>
      <c r="U42" s="129"/>
      <c r="V42" s="126"/>
    </row>
    <row r="43" spans="1:22" ht="30" x14ac:dyDescent="0.25">
      <c r="A43" s="130" t="s">
        <v>262</v>
      </c>
      <c r="B43" s="131" t="s">
        <v>263</v>
      </c>
      <c r="C43" s="132" t="s">
        <v>264</v>
      </c>
      <c r="D43" s="133" t="s">
        <v>265</v>
      </c>
      <c r="E43" s="131" t="s">
        <v>263</v>
      </c>
      <c r="F43" s="132" t="s">
        <v>264</v>
      </c>
      <c r="G43" s="133" t="s">
        <v>265</v>
      </c>
      <c r="H43" s="131" t="s">
        <v>263</v>
      </c>
      <c r="I43" s="132" t="s">
        <v>264</v>
      </c>
      <c r="J43" s="133" t="s">
        <v>265</v>
      </c>
      <c r="K43" s="131" t="s">
        <v>263</v>
      </c>
      <c r="L43" s="132" t="s">
        <v>264</v>
      </c>
      <c r="M43" s="133" t="s">
        <v>265</v>
      </c>
      <c r="N43" s="131" t="s">
        <v>263</v>
      </c>
      <c r="O43" s="132" t="s">
        <v>264</v>
      </c>
      <c r="P43" s="133" t="s">
        <v>265</v>
      </c>
      <c r="Q43" s="131" t="s">
        <v>263</v>
      </c>
      <c r="R43" s="132" t="s">
        <v>264</v>
      </c>
      <c r="S43" s="133" t="s">
        <v>265</v>
      </c>
      <c r="T43" s="132" t="s">
        <v>263</v>
      </c>
      <c r="U43" s="132" t="s">
        <v>264</v>
      </c>
      <c r="V43" s="133" t="s">
        <v>265</v>
      </c>
    </row>
    <row r="44" spans="1:22" x14ac:dyDescent="0.25">
      <c r="A44" s="121" t="s">
        <v>266</v>
      </c>
      <c r="B44" s="122"/>
      <c r="C44" s="123"/>
      <c r="D44" s="127"/>
      <c r="E44" s="122"/>
      <c r="F44" s="123"/>
      <c r="G44" s="127"/>
      <c r="H44" s="122"/>
      <c r="I44" s="123"/>
      <c r="J44" s="127"/>
      <c r="K44" s="122"/>
      <c r="L44" s="123"/>
      <c r="M44" s="127"/>
      <c r="N44" s="122"/>
      <c r="O44" s="123"/>
      <c r="P44" s="127"/>
      <c r="Q44" s="122"/>
      <c r="R44" s="123"/>
      <c r="S44" s="127"/>
      <c r="T44" s="123"/>
      <c r="U44" s="123"/>
      <c r="V44" s="127"/>
    </row>
    <row r="45" spans="1:22" x14ac:dyDescent="0.25">
      <c r="A45" s="125" t="s">
        <v>267</v>
      </c>
      <c r="B45" s="128">
        <v>0.65</v>
      </c>
      <c r="C45" s="134">
        <v>0.25</v>
      </c>
      <c r="D45" s="126" t="s">
        <v>214</v>
      </c>
      <c r="E45" s="128">
        <v>0.65</v>
      </c>
      <c r="F45" s="134">
        <v>0.25</v>
      </c>
      <c r="G45" s="126" t="s">
        <v>214</v>
      </c>
      <c r="H45" s="128">
        <v>0.35</v>
      </c>
      <c r="I45" s="134">
        <v>0.25</v>
      </c>
      <c r="J45" s="126" t="s">
        <v>214</v>
      </c>
      <c r="K45" s="128">
        <v>0.37</v>
      </c>
      <c r="L45" s="570">
        <v>0.25</v>
      </c>
      <c r="M45" s="571">
        <v>1.1000000000000001</v>
      </c>
      <c r="N45" s="128" t="s">
        <v>214</v>
      </c>
      <c r="O45" s="129" t="s">
        <v>214</v>
      </c>
      <c r="P45" s="126" t="s">
        <v>214</v>
      </c>
      <c r="Q45" s="128" t="s">
        <v>214</v>
      </c>
      <c r="R45" s="129" t="s">
        <v>214</v>
      </c>
      <c r="S45" s="126" t="s">
        <v>214</v>
      </c>
      <c r="T45" s="129"/>
      <c r="U45" s="129"/>
      <c r="V45" s="126"/>
    </row>
    <row r="46" spans="1:22" x14ac:dyDescent="0.25">
      <c r="A46" s="125" t="s">
        <v>268</v>
      </c>
      <c r="B46" s="128">
        <v>0.6</v>
      </c>
      <c r="C46" s="134">
        <v>0.25</v>
      </c>
      <c r="D46" s="126" t="s">
        <v>214</v>
      </c>
      <c r="E46" s="128">
        <v>0.6</v>
      </c>
      <c r="F46" s="134">
        <v>0.25</v>
      </c>
      <c r="G46" s="126" t="s">
        <v>214</v>
      </c>
      <c r="H46" s="128">
        <v>0.5</v>
      </c>
      <c r="I46" s="134">
        <v>0.25</v>
      </c>
      <c r="J46" s="126" t="s">
        <v>214</v>
      </c>
      <c r="K46" s="128">
        <v>0.54</v>
      </c>
      <c r="L46" s="570">
        <v>0.25</v>
      </c>
      <c r="M46" s="571">
        <v>1.1000000000000001</v>
      </c>
      <c r="N46" s="128" t="s">
        <v>214</v>
      </c>
      <c r="O46" s="129" t="s">
        <v>214</v>
      </c>
      <c r="P46" s="126" t="s">
        <v>214</v>
      </c>
      <c r="Q46" s="128">
        <v>0.41</v>
      </c>
      <c r="R46" s="129">
        <v>0.26</v>
      </c>
      <c r="S46" s="126">
        <v>0.46</v>
      </c>
      <c r="T46" s="129"/>
      <c r="U46" s="129"/>
      <c r="V46" s="126"/>
    </row>
    <row r="47" spans="1:22" x14ac:dyDescent="0.25">
      <c r="A47" s="125" t="s">
        <v>269</v>
      </c>
      <c r="B47" s="128">
        <v>0.9</v>
      </c>
      <c r="C47" s="134">
        <v>0.25</v>
      </c>
      <c r="D47" s="126" t="s">
        <v>214</v>
      </c>
      <c r="E47" s="128">
        <v>0.9</v>
      </c>
      <c r="F47" s="134">
        <v>0.25</v>
      </c>
      <c r="G47" s="126" t="s">
        <v>214</v>
      </c>
      <c r="H47" s="128">
        <v>0.6</v>
      </c>
      <c r="I47" s="134">
        <v>0.25</v>
      </c>
      <c r="J47" s="126" t="s">
        <v>214</v>
      </c>
      <c r="K47" s="128">
        <v>0.65</v>
      </c>
      <c r="L47" s="570">
        <v>0.25</v>
      </c>
      <c r="M47" s="571">
        <v>1.1000000000000001</v>
      </c>
      <c r="N47" s="128" t="s">
        <v>214</v>
      </c>
      <c r="O47" s="129" t="s">
        <v>214</v>
      </c>
      <c r="P47" s="126" t="s">
        <v>214</v>
      </c>
      <c r="Q47" s="128" t="s">
        <v>214</v>
      </c>
      <c r="R47" s="129" t="s">
        <v>214</v>
      </c>
      <c r="S47" s="126" t="s">
        <v>214</v>
      </c>
      <c r="T47" s="129"/>
      <c r="U47" s="129"/>
      <c r="V47" s="126"/>
    </row>
    <row r="48" spans="1:22" x14ac:dyDescent="0.25">
      <c r="A48" s="125" t="s">
        <v>270</v>
      </c>
      <c r="B48" s="128">
        <v>0.65</v>
      </c>
      <c r="C48" s="134">
        <v>0.25</v>
      </c>
      <c r="D48" s="126" t="s">
        <v>214</v>
      </c>
      <c r="E48" s="128">
        <v>0.65</v>
      </c>
      <c r="F48" s="134">
        <v>0.25</v>
      </c>
      <c r="G48" s="126" t="s">
        <v>214</v>
      </c>
      <c r="H48" s="128">
        <v>0.77</v>
      </c>
      <c r="I48" s="134">
        <v>0.25</v>
      </c>
      <c r="J48" s="126" t="s">
        <v>214</v>
      </c>
      <c r="K48" s="128">
        <v>0.83</v>
      </c>
      <c r="L48" s="570">
        <v>0.25</v>
      </c>
      <c r="M48" s="571">
        <v>1.1000000000000001</v>
      </c>
      <c r="N48" s="128" t="s">
        <v>214</v>
      </c>
      <c r="O48" s="129" t="s">
        <v>214</v>
      </c>
      <c r="P48" s="126" t="s">
        <v>214</v>
      </c>
      <c r="Q48" s="128" t="s">
        <v>214</v>
      </c>
      <c r="R48" s="129" t="s">
        <v>214</v>
      </c>
      <c r="S48" s="126" t="s">
        <v>214</v>
      </c>
      <c r="T48" s="129"/>
      <c r="U48" s="129"/>
      <c r="V48" s="126"/>
    </row>
    <row r="49" spans="1:22" x14ac:dyDescent="0.25">
      <c r="A49" s="125" t="s">
        <v>271</v>
      </c>
      <c r="B49" s="128" t="s">
        <v>214</v>
      </c>
      <c r="C49" s="134" t="s">
        <v>214</v>
      </c>
      <c r="D49" s="135" t="s">
        <v>214</v>
      </c>
      <c r="E49" s="134" t="s">
        <v>214</v>
      </c>
      <c r="F49" s="134" t="s">
        <v>214</v>
      </c>
      <c r="G49" s="135" t="s">
        <v>214</v>
      </c>
      <c r="H49" s="134" t="s">
        <v>214</v>
      </c>
      <c r="I49" s="134" t="s">
        <v>214</v>
      </c>
      <c r="J49" s="135" t="s">
        <v>214</v>
      </c>
      <c r="K49" s="128" t="s">
        <v>214</v>
      </c>
      <c r="L49" s="134" t="s">
        <v>214</v>
      </c>
      <c r="M49" s="135" t="s">
        <v>214</v>
      </c>
      <c r="N49" s="128">
        <v>0.42</v>
      </c>
      <c r="O49" s="134">
        <v>0.25</v>
      </c>
      <c r="P49" s="571">
        <v>1.1000000000000001</v>
      </c>
      <c r="Q49" s="128">
        <v>0.36</v>
      </c>
      <c r="R49" s="134">
        <v>0.25</v>
      </c>
      <c r="S49" s="135">
        <v>0.42</v>
      </c>
      <c r="T49" s="129"/>
      <c r="U49" s="134"/>
      <c r="V49" s="136"/>
    </row>
    <row r="50" spans="1:22" x14ac:dyDescent="0.25">
      <c r="A50" s="125" t="s">
        <v>272</v>
      </c>
      <c r="B50" s="128" t="s">
        <v>214</v>
      </c>
      <c r="C50" s="134" t="s">
        <v>214</v>
      </c>
      <c r="D50" s="135" t="s">
        <v>214</v>
      </c>
      <c r="E50" s="134" t="s">
        <v>214</v>
      </c>
      <c r="F50" s="134" t="s">
        <v>214</v>
      </c>
      <c r="G50" s="135" t="s">
        <v>214</v>
      </c>
      <c r="H50" s="134" t="s">
        <v>214</v>
      </c>
      <c r="I50" s="134" t="s">
        <v>214</v>
      </c>
      <c r="J50" s="135" t="s">
        <v>214</v>
      </c>
      <c r="K50" s="128" t="s">
        <v>214</v>
      </c>
      <c r="L50" s="134" t="s">
        <v>214</v>
      </c>
      <c r="M50" s="135" t="s">
        <v>214</v>
      </c>
      <c r="N50" s="128">
        <v>0.54</v>
      </c>
      <c r="O50" s="134">
        <v>0.23</v>
      </c>
      <c r="P50" s="571">
        <v>1.1000000000000001</v>
      </c>
      <c r="Q50" s="128">
        <v>0.46</v>
      </c>
      <c r="R50" s="134">
        <v>0.22</v>
      </c>
      <c r="S50" s="135">
        <v>0.32</v>
      </c>
      <c r="T50" s="129"/>
      <c r="U50" s="134"/>
      <c r="V50" s="136"/>
    </row>
    <row r="51" spans="1:22" x14ac:dyDescent="0.25">
      <c r="A51" s="125" t="s">
        <v>273</v>
      </c>
      <c r="B51" s="128" t="s">
        <v>214</v>
      </c>
      <c r="C51" s="134" t="s">
        <v>214</v>
      </c>
      <c r="D51" s="135" t="s">
        <v>214</v>
      </c>
      <c r="E51" s="134" t="s">
        <v>214</v>
      </c>
      <c r="F51" s="134" t="s">
        <v>214</v>
      </c>
      <c r="G51" s="135" t="s">
        <v>214</v>
      </c>
      <c r="H51" s="134" t="s">
        <v>214</v>
      </c>
      <c r="I51" s="134" t="s">
        <v>214</v>
      </c>
      <c r="J51" s="135" t="s">
        <v>214</v>
      </c>
      <c r="K51" s="128" t="s">
        <v>214</v>
      </c>
      <c r="L51" s="134" t="s">
        <v>214</v>
      </c>
      <c r="M51" s="135" t="s">
        <v>214</v>
      </c>
      <c r="N51" s="128">
        <v>0.68</v>
      </c>
      <c r="O51" s="134">
        <v>0.23</v>
      </c>
      <c r="P51" s="571">
        <v>1.1000000000000001</v>
      </c>
      <c r="Q51" s="128">
        <v>0.45</v>
      </c>
      <c r="R51" s="134">
        <v>0.23</v>
      </c>
      <c r="S51" s="135">
        <v>0.17</v>
      </c>
      <c r="T51" s="129"/>
      <c r="U51" s="134"/>
      <c r="V51" s="136"/>
    </row>
    <row r="52" spans="1:22" x14ac:dyDescent="0.25">
      <c r="A52" s="121" t="s">
        <v>274</v>
      </c>
      <c r="B52" s="122"/>
      <c r="C52" s="137"/>
      <c r="D52" s="127"/>
      <c r="E52" s="122"/>
      <c r="F52" s="137"/>
      <c r="G52" s="127"/>
      <c r="H52" s="122"/>
      <c r="I52" s="137"/>
      <c r="J52" s="127"/>
      <c r="K52" s="122"/>
      <c r="L52" s="137"/>
      <c r="M52" s="127"/>
      <c r="N52" s="122"/>
      <c r="O52" s="137"/>
      <c r="P52" s="127"/>
      <c r="Q52" s="122"/>
      <c r="R52" s="137"/>
      <c r="S52" s="127"/>
      <c r="T52" s="123"/>
      <c r="U52" s="137"/>
      <c r="V52" s="127"/>
    </row>
    <row r="53" spans="1:22" x14ac:dyDescent="0.25">
      <c r="A53" s="125" t="s">
        <v>275</v>
      </c>
      <c r="B53" s="128">
        <v>1.17</v>
      </c>
      <c r="C53" s="134">
        <v>0.39</v>
      </c>
      <c r="D53" s="126" t="s">
        <v>214</v>
      </c>
      <c r="E53" s="128">
        <v>1.17</v>
      </c>
      <c r="F53" s="134">
        <v>0.39</v>
      </c>
      <c r="G53" s="135" t="s">
        <v>214</v>
      </c>
      <c r="H53" s="128" t="s">
        <v>214</v>
      </c>
      <c r="I53" s="134" t="s">
        <v>214</v>
      </c>
      <c r="J53" s="135" t="s">
        <v>214</v>
      </c>
      <c r="K53" s="128" t="s">
        <v>214</v>
      </c>
      <c r="L53" s="134" t="s">
        <v>214</v>
      </c>
      <c r="M53" s="126" t="s">
        <v>214</v>
      </c>
      <c r="N53" s="128" t="s">
        <v>214</v>
      </c>
      <c r="O53" s="134" t="s">
        <v>214</v>
      </c>
      <c r="P53" s="126" t="s">
        <v>214</v>
      </c>
      <c r="Q53" s="128">
        <v>0.57999999999999996</v>
      </c>
      <c r="R53" s="134">
        <v>0.25</v>
      </c>
      <c r="S53" s="126">
        <v>0.49</v>
      </c>
      <c r="T53" s="129"/>
      <c r="U53" s="134"/>
      <c r="V53" s="126"/>
    </row>
    <row r="54" spans="1:22" x14ac:dyDescent="0.25">
      <c r="A54" s="125" t="s">
        <v>276</v>
      </c>
      <c r="B54" s="128">
        <v>1.17</v>
      </c>
      <c r="C54" s="134">
        <v>0.19</v>
      </c>
      <c r="D54" s="126" t="s">
        <v>214</v>
      </c>
      <c r="E54" s="128">
        <v>1.17</v>
      </c>
      <c r="F54" s="134">
        <v>0.19</v>
      </c>
      <c r="G54" s="135" t="s">
        <v>214</v>
      </c>
      <c r="H54" s="128" t="s">
        <v>214</v>
      </c>
      <c r="I54" s="134" t="s">
        <v>214</v>
      </c>
      <c r="J54" s="135" t="s">
        <v>214</v>
      </c>
      <c r="K54" s="128" t="s">
        <v>214</v>
      </c>
      <c r="L54" s="134" t="s">
        <v>214</v>
      </c>
      <c r="M54" s="126" t="s">
        <v>214</v>
      </c>
      <c r="N54" s="128" t="s">
        <v>214</v>
      </c>
      <c r="O54" s="134" t="s">
        <v>214</v>
      </c>
      <c r="P54" s="126" t="s">
        <v>214</v>
      </c>
      <c r="Q54" s="128">
        <v>0.57999999999999996</v>
      </c>
      <c r="R54" s="134">
        <v>0.25</v>
      </c>
      <c r="S54" s="126">
        <v>0.49</v>
      </c>
      <c r="T54" s="129"/>
      <c r="U54" s="134"/>
      <c r="V54" s="126"/>
    </row>
    <row r="55" spans="1:22" x14ac:dyDescent="0.25">
      <c r="A55" s="125" t="s">
        <v>277</v>
      </c>
      <c r="B55" s="128">
        <v>1.3</v>
      </c>
      <c r="C55" s="134">
        <v>0.65</v>
      </c>
      <c r="D55" s="126" t="s">
        <v>214</v>
      </c>
      <c r="E55" s="128">
        <v>1.3</v>
      </c>
      <c r="F55" s="134">
        <v>0.65</v>
      </c>
      <c r="G55" s="135" t="s">
        <v>214</v>
      </c>
      <c r="H55" s="128" t="s">
        <v>214</v>
      </c>
      <c r="I55" s="134" t="s">
        <v>214</v>
      </c>
      <c r="J55" s="135" t="s">
        <v>214</v>
      </c>
      <c r="K55" s="128" t="s">
        <v>214</v>
      </c>
      <c r="L55" s="134" t="s">
        <v>214</v>
      </c>
      <c r="M55" s="126" t="s">
        <v>214</v>
      </c>
      <c r="N55" s="128" t="s">
        <v>214</v>
      </c>
      <c r="O55" s="134" t="s">
        <v>214</v>
      </c>
      <c r="P55" s="126" t="s">
        <v>214</v>
      </c>
      <c r="Q55" s="128">
        <v>0.88</v>
      </c>
      <c r="R55" s="134" t="s">
        <v>240</v>
      </c>
      <c r="S55" s="126">
        <v>0.64</v>
      </c>
      <c r="T55" s="129"/>
      <c r="U55" s="134"/>
      <c r="V55" s="126"/>
    </row>
    <row r="56" spans="1:22" x14ac:dyDescent="0.25">
      <c r="A56" s="125" t="s">
        <v>278</v>
      </c>
      <c r="B56" s="128">
        <v>1.3</v>
      </c>
      <c r="C56" s="134">
        <v>0.34</v>
      </c>
      <c r="D56" s="126" t="s">
        <v>214</v>
      </c>
      <c r="E56" s="128">
        <v>1.3</v>
      </c>
      <c r="F56" s="134">
        <v>0.34</v>
      </c>
      <c r="G56" s="135" t="s">
        <v>214</v>
      </c>
      <c r="H56" s="128" t="s">
        <v>214</v>
      </c>
      <c r="I56" s="134" t="s">
        <v>214</v>
      </c>
      <c r="J56" s="135" t="s">
        <v>214</v>
      </c>
      <c r="K56" s="128" t="s">
        <v>214</v>
      </c>
      <c r="L56" s="134" t="s">
        <v>214</v>
      </c>
      <c r="M56" s="126" t="s">
        <v>214</v>
      </c>
      <c r="N56" s="128" t="s">
        <v>214</v>
      </c>
      <c r="O56" s="134" t="s">
        <v>214</v>
      </c>
      <c r="P56" s="126" t="s">
        <v>214</v>
      </c>
      <c r="Q56" s="128">
        <v>0.88</v>
      </c>
      <c r="R56" s="134" t="s">
        <v>240</v>
      </c>
      <c r="S56" s="126">
        <v>0.64</v>
      </c>
      <c r="T56" s="129"/>
      <c r="U56" s="134"/>
      <c r="V56" s="126"/>
    </row>
    <row r="57" spans="1:22" x14ac:dyDescent="0.25">
      <c r="A57" s="125" t="s">
        <v>279</v>
      </c>
      <c r="B57" s="128">
        <v>0.69</v>
      </c>
      <c r="C57" s="134">
        <v>0.39</v>
      </c>
      <c r="D57" s="126" t="s">
        <v>214</v>
      </c>
      <c r="E57" s="128">
        <v>0.69</v>
      </c>
      <c r="F57" s="134">
        <v>0.39</v>
      </c>
      <c r="G57" s="135" t="s">
        <v>214</v>
      </c>
      <c r="H57" s="128" t="s">
        <v>214</v>
      </c>
      <c r="I57" s="134" t="s">
        <v>214</v>
      </c>
      <c r="J57" s="135" t="s">
        <v>214</v>
      </c>
      <c r="K57" s="128" t="s">
        <v>214</v>
      </c>
      <c r="L57" s="134" t="s">
        <v>214</v>
      </c>
      <c r="M57" s="126" t="s">
        <v>214</v>
      </c>
      <c r="N57" s="128" t="s">
        <v>214</v>
      </c>
      <c r="O57" s="134" t="s">
        <v>214</v>
      </c>
      <c r="P57" s="126" t="s">
        <v>214</v>
      </c>
      <c r="Q57" s="128">
        <v>0.46</v>
      </c>
      <c r="R57" s="134">
        <v>0.25</v>
      </c>
      <c r="S57" s="126">
        <v>0.49</v>
      </c>
      <c r="T57" s="129"/>
      <c r="U57" s="134"/>
      <c r="V57" s="126"/>
    </row>
    <row r="58" spans="1:22" x14ac:dyDescent="0.25">
      <c r="A58" s="125" t="s">
        <v>280</v>
      </c>
      <c r="B58" s="128">
        <v>0.69</v>
      </c>
      <c r="C58" s="134">
        <v>0.19</v>
      </c>
      <c r="D58" s="126" t="s">
        <v>214</v>
      </c>
      <c r="E58" s="128">
        <v>0.69</v>
      </c>
      <c r="F58" s="134">
        <v>0.19</v>
      </c>
      <c r="G58" s="135" t="s">
        <v>214</v>
      </c>
      <c r="H58" s="128" t="s">
        <v>214</v>
      </c>
      <c r="I58" s="134" t="s">
        <v>214</v>
      </c>
      <c r="J58" s="135" t="s">
        <v>214</v>
      </c>
      <c r="K58" s="128" t="s">
        <v>214</v>
      </c>
      <c r="L58" s="134" t="s">
        <v>214</v>
      </c>
      <c r="M58" s="126" t="s">
        <v>214</v>
      </c>
      <c r="N58" s="128" t="s">
        <v>214</v>
      </c>
      <c r="O58" s="134" t="s">
        <v>214</v>
      </c>
      <c r="P58" s="126" t="s">
        <v>214</v>
      </c>
      <c r="Q58" s="128">
        <v>0.46</v>
      </c>
      <c r="R58" s="134">
        <v>0.25</v>
      </c>
      <c r="S58" s="126">
        <v>0.49</v>
      </c>
      <c r="T58" s="129"/>
      <c r="U58" s="134"/>
      <c r="V58" s="126"/>
    </row>
    <row r="59" spans="1:22" x14ac:dyDescent="0.25">
      <c r="A59" s="125" t="s">
        <v>281</v>
      </c>
      <c r="B59" s="128" t="s">
        <v>214</v>
      </c>
      <c r="C59" s="134" t="s">
        <v>214</v>
      </c>
      <c r="D59" s="126" t="s">
        <v>214</v>
      </c>
      <c r="E59" s="128" t="s">
        <v>214</v>
      </c>
      <c r="F59" s="134" t="s">
        <v>214</v>
      </c>
      <c r="G59" s="135" t="s">
        <v>214</v>
      </c>
      <c r="H59" s="128" t="s">
        <v>214</v>
      </c>
      <c r="I59" s="134" t="s">
        <v>214</v>
      </c>
      <c r="J59" s="135" t="s">
        <v>214</v>
      </c>
      <c r="K59" s="128" t="s">
        <v>214</v>
      </c>
      <c r="L59" s="134" t="s">
        <v>214</v>
      </c>
      <c r="M59" s="126" t="s">
        <v>214</v>
      </c>
      <c r="N59" s="128" t="s">
        <v>214</v>
      </c>
      <c r="O59" s="134" t="s">
        <v>214</v>
      </c>
      <c r="P59" s="126" t="s">
        <v>214</v>
      </c>
      <c r="Q59" s="128">
        <v>0.88</v>
      </c>
      <c r="R59" s="134" t="s">
        <v>240</v>
      </c>
      <c r="S59" s="126">
        <v>0.64</v>
      </c>
      <c r="T59" s="129"/>
      <c r="U59" s="134"/>
      <c r="V59" s="126"/>
    </row>
    <row r="60" spans="1:22" x14ac:dyDescent="0.25">
      <c r="A60" s="138" t="s">
        <v>282</v>
      </c>
      <c r="B60" s="139" t="s">
        <v>214</v>
      </c>
      <c r="C60" s="140" t="s">
        <v>214</v>
      </c>
      <c r="D60" s="141" t="s">
        <v>214</v>
      </c>
      <c r="E60" s="139" t="s">
        <v>214</v>
      </c>
      <c r="F60" s="140" t="s">
        <v>214</v>
      </c>
      <c r="G60" s="141" t="s">
        <v>214</v>
      </c>
      <c r="H60" s="139">
        <v>0.55000000000000004</v>
      </c>
      <c r="I60" s="140">
        <v>0.35</v>
      </c>
      <c r="J60" s="141" t="s">
        <v>240</v>
      </c>
      <c r="K60" s="139">
        <v>0.65</v>
      </c>
      <c r="L60" s="140">
        <v>0.35</v>
      </c>
      <c r="M60" s="141" t="s">
        <v>240</v>
      </c>
      <c r="N60" s="139">
        <v>0.55000000000000004</v>
      </c>
      <c r="O60" s="140">
        <v>0.3</v>
      </c>
      <c r="P60" s="141" t="s">
        <v>240</v>
      </c>
      <c r="Q60" s="139" t="s">
        <v>214</v>
      </c>
      <c r="R60" s="140" t="s">
        <v>214</v>
      </c>
      <c r="S60" s="141" t="s">
        <v>214</v>
      </c>
      <c r="T60" s="142"/>
      <c r="U60" s="140"/>
      <c r="V60" s="141"/>
    </row>
    <row r="76" spans="2:4" x14ac:dyDescent="0.25">
      <c r="B76" s="143"/>
      <c r="C76" s="144"/>
      <c r="D76" s="145"/>
    </row>
    <row r="77" spans="2:4" x14ac:dyDescent="0.25">
      <c r="B77" s="143"/>
      <c r="C77" s="144"/>
      <c r="D77" s="145"/>
    </row>
    <row r="78" spans="2:4" x14ac:dyDescent="0.25">
      <c r="B78" s="143"/>
      <c r="C78" s="144"/>
      <c r="D78" s="145"/>
    </row>
    <row r="79" spans="2:4" x14ac:dyDescent="0.25">
      <c r="B79" s="143"/>
      <c r="C79" s="144"/>
      <c r="D79" s="145"/>
    </row>
    <row r="80" spans="2:4" x14ac:dyDescent="0.25">
      <c r="B80" s="143"/>
      <c r="C80" s="144"/>
      <c r="D80" s="145"/>
    </row>
    <row r="81" spans="2:4" x14ac:dyDescent="0.25">
      <c r="B81" s="143"/>
      <c r="C81" s="144"/>
      <c r="D81" s="145"/>
    </row>
    <row r="82" spans="2:4" x14ac:dyDescent="0.25">
      <c r="B82" s="143"/>
      <c r="C82" s="144"/>
      <c r="D82" s="145"/>
    </row>
    <row r="83" spans="2:4" x14ac:dyDescent="0.25">
      <c r="B83" s="143"/>
      <c r="C83" s="144"/>
      <c r="D83" s="145"/>
    </row>
    <row r="84" spans="2:4" x14ac:dyDescent="0.25">
      <c r="B84" s="143"/>
      <c r="C84" s="144"/>
      <c r="D84" s="145"/>
    </row>
    <row r="85" spans="2:4" x14ac:dyDescent="0.25">
      <c r="B85" s="143"/>
      <c r="C85" s="144"/>
      <c r="D85" s="145"/>
    </row>
    <row r="86" spans="2:4" x14ac:dyDescent="0.25">
      <c r="B86" s="143"/>
      <c r="C86" s="144"/>
      <c r="D86" s="145"/>
    </row>
    <row r="87" spans="2:4" x14ac:dyDescent="0.25">
      <c r="B87" s="143"/>
      <c r="C87" s="144"/>
      <c r="D87" s="145"/>
    </row>
    <row r="88" spans="2:4" x14ac:dyDescent="0.25">
      <c r="B88" s="143"/>
      <c r="C88" s="144"/>
      <c r="D88" s="145"/>
    </row>
    <row r="89" spans="2:4" x14ac:dyDescent="0.25">
      <c r="B89" s="143"/>
      <c r="C89" s="144"/>
      <c r="D89" s="145"/>
    </row>
    <row r="90" spans="2:4" x14ac:dyDescent="0.25">
      <c r="B90" s="143"/>
      <c r="C90" s="144"/>
      <c r="D90" s="145"/>
    </row>
    <row r="91" spans="2:4" x14ac:dyDescent="0.25">
      <c r="B91" s="143"/>
      <c r="C91" s="144"/>
      <c r="D91" s="145"/>
    </row>
    <row r="93" spans="2:4" x14ac:dyDescent="0.25">
      <c r="B93" s="146"/>
    </row>
  </sheetData>
  <mergeCells count="127">
    <mergeCell ref="B41:C41"/>
    <mergeCell ref="E41:F41"/>
    <mergeCell ref="K41:L41"/>
    <mergeCell ref="N41:O41"/>
    <mergeCell ref="Q41:R41"/>
    <mergeCell ref="B42:C42"/>
    <mergeCell ref="E42:F42"/>
    <mergeCell ref="K42:L42"/>
    <mergeCell ref="N42:O42"/>
    <mergeCell ref="Q42:R42"/>
    <mergeCell ref="H41:I41"/>
    <mergeCell ref="H42:I42"/>
    <mergeCell ref="B39:C39"/>
    <mergeCell ref="E39:F39"/>
    <mergeCell ref="K39:L39"/>
    <mergeCell ref="N39:O39"/>
    <mergeCell ref="Q39:R39"/>
    <mergeCell ref="T39:U39"/>
    <mergeCell ref="B38:C38"/>
    <mergeCell ref="E38:F38"/>
    <mergeCell ref="K38:L38"/>
    <mergeCell ref="N38:O38"/>
    <mergeCell ref="Q38:R38"/>
    <mergeCell ref="T38:U38"/>
    <mergeCell ref="H38:I38"/>
    <mergeCell ref="H39:I39"/>
    <mergeCell ref="B36:C36"/>
    <mergeCell ref="E36:F36"/>
    <mergeCell ref="K36:L36"/>
    <mergeCell ref="N36:O36"/>
    <mergeCell ref="Q36:R36"/>
    <mergeCell ref="T36:U36"/>
    <mergeCell ref="B35:C35"/>
    <mergeCell ref="E35:F35"/>
    <mergeCell ref="K35:L35"/>
    <mergeCell ref="N35:O35"/>
    <mergeCell ref="Q35:R35"/>
    <mergeCell ref="T35:U35"/>
    <mergeCell ref="H35:I35"/>
    <mergeCell ref="H36:I36"/>
    <mergeCell ref="B34:C34"/>
    <mergeCell ref="E34:F34"/>
    <mergeCell ref="K34:L34"/>
    <mergeCell ref="N34:O34"/>
    <mergeCell ref="Q34:R34"/>
    <mergeCell ref="T34:U34"/>
    <mergeCell ref="B32:C32"/>
    <mergeCell ref="E32:F32"/>
    <mergeCell ref="K32:L32"/>
    <mergeCell ref="N32:O32"/>
    <mergeCell ref="Q32:R32"/>
    <mergeCell ref="T32:U32"/>
    <mergeCell ref="H32:I32"/>
    <mergeCell ref="H34:I34"/>
    <mergeCell ref="B30:C30"/>
    <mergeCell ref="E30:F30"/>
    <mergeCell ref="K30:L30"/>
    <mergeCell ref="N30:O30"/>
    <mergeCell ref="Q30:R30"/>
    <mergeCell ref="T30:U30"/>
    <mergeCell ref="B29:C29"/>
    <mergeCell ref="E29:F29"/>
    <mergeCell ref="K29:L29"/>
    <mergeCell ref="N29:O29"/>
    <mergeCell ref="Q29:R29"/>
    <mergeCell ref="T29:U29"/>
    <mergeCell ref="H29:I29"/>
    <mergeCell ref="H30:I30"/>
    <mergeCell ref="B28:C28"/>
    <mergeCell ref="E28:F28"/>
    <mergeCell ref="K28:L28"/>
    <mergeCell ref="N28:O28"/>
    <mergeCell ref="Q28:R28"/>
    <mergeCell ref="T28:U28"/>
    <mergeCell ref="B27:C27"/>
    <mergeCell ref="E27:F27"/>
    <mergeCell ref="K27:L27"/>
    <mergeCell ref="N27:O27"/>
    <mergeCell ref="Q27:R27"/>
    <mergeCell ref="T27:U27"/>
    <mergeCell ref="H27:I27"/>
    <mergeCell ref="H28:I28"/>
    <mergeCell ref="Q21:R21"/>
    <mergeCell ref="Q22:R22"/>
    <mergeCell ref="Q23:R23"/>
    <mergeCell ref="Q24:R24"/>
    <mergeCell ref="B26:C26"/>
    <mergeCell ref="E26:F26"/>
    <mergeCell ref="K26:L26"/>
    <mergeCell ref="N26:O26"/>
    <mergeCell ref="Q26:R26"/>
    <mergeCell ref="H26:I26"/>
    <mergeCell ref="B19:C19"/>
    <mergeCell ref="E19:F19"/>
    <mergeCell ref="K19:L19"/>
    <mergeCell ref="N19:O19"/>
    <mergeCell ref="Q19:R19"/>
    <mergeCell ref="T19:U19"/>
    <mergeCell ref="B18:C18"/>
    <mergeCell ref="E18:F18"/>
    <mergeCell ref="K18:L18"/>
    <mergeCell ref="N18:O18"/>
    <mergeCell ref="Q18:R18"/>
    <mergeCell ref="T18:U18"/>
    <mergeCell ref="H18:I18"/>
    <mergeCell ref="H19:I19"/>
    <mergeCell ref="B14:D14"/>
    <mergeCell ref="E14:G14"/>
    <mergeCell ref="K14:M14"/>
    <mergeCell ref="N14:P14"/>
    <mergeCell ref="Q14:S14"/>
    <mergeCell ref="T14:V14"/>
    <mergeCell ref="B17:C17"/>
    <mergeCell ref="E17:F17"/>
    <mergeCell ref="K17:L17"/>
    <mergeCell ref="N17:O17"/>
    <mergeCell ref="Q17:R17"/>
    <mergeCell ref="T17:U17"/>
    <mergeCell ref="B15:C15"/>
    <mergeCell ref="E15:F15"/>
    <mergeCell ref="K15:L15"/>
    <mergeCell ref="N15:O15"/>
    <mergeCell ref="Q15:R15"/>
    <mergeCell ref="T15:U15"/>
    <mergeCell ref="H14:J14"/>
    <mergeCell ref="H15:I15"/>
    <mergeCell ref="H17:I17"/>
  </mergeCell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ASHRAE2007">
          <controlPr defaultSize="0" autoLine="0" r:id="rId5">
            <anchor moveWithCells="1">
              <from>
                <xdr:col>0</xdr:col>
                <xdr:colOff>28575</xdr:colOff>
                <xdr:row>6</xdr:row>
                <xdr:rowOff>0</xdr:rowOff>
              </from>
              <to>
                <xdr:col>1</xdr:col>
                <xdr:colOff>0</xdr:colOff>
                <xdr:row>6</xdr:row>
                <xdr:rowOff>190500</xdr:rowOff>
              </to>
            </anchor>
          </controlPr>
        </control>
      </mc:Choice>
      <mc:Fallback>
        <control shapeId="5122" r:id="rId4" name="ASHRAE2007"/>
      </mc:Fallback>
    </mc:AlternateContent>
    <mc:AlternateContent xmlns:mc="http://schemas.openxmlformats.org/markup-compatibility/2006">
      <mc:Choice Requires="x14">
        <control shapeId="5123" r:id="rId6" name="ASHRAE2010">
          <controlPr defaultSize="0" autoLine="0" r:id="rId7">
            <anchor moveWithCells="1">
              <from>
                <xdr:col>0</xdr:col>
                <xdr:colOff>28575</xdr:colOff>
                <xdr:row>7</xdr:row>
                <xdr:rowOff>0</xdr:rowOff>
              </from>
              <to>
                <xdr:col>1</xdr:col>
                <xdr:colOff>0</xdr:colOff>
                <xdr:row>7</xdr:row>
                <xdr:rowOff>190500</xdr:rowOff>
              </to>
            </anchor>
          </controlPr>
        </control>
      </mc:Choice>
      <mc:Fallback>
        <control shapeId="5123" r:id="rId6" name="ASHRAE2010"/>
      </mc:Fallback>
    </mc:AlternateContent>
    <mc:AlternateContent xmlns:mc="http://schemas.openxmlformats.org/markup-compatibility/2006">
      <mc:Choice Requires="x14">
        <control shapeId="5124" r:id="rId8" name="ASHRAE2016">
          <controlPr defaultSize="0" autoLine="0" r:id="rId9">
            <anchor moveWithCells="1">
              <from>
                <xdr:col>0</xdr:col>
                <xdr:colOff>28575</xdr:colOff>
                <xdr:row>9</xdr:row>
                <xdr:rowOff>0</xdr:rowOff>
              </from>
              <to>
                <xdr:col>1</xdr:col>
                <xdr:colOff>0</xdr:colOff>
                <xdr:row>9</xdr:row>
                <xdr:rowOff>190500</xdr:rowOff>
              </to>
            </anchor>
          </controlPr>
        </control>
      </mc:Choice>
      <mc:Fallback>
        <control shapeId="5124" r:id="rId8" name="ASHRAE2016"/>
      </mc:Fallback>
    </mc:AlternateContent>
    <mc:AlternateContent xmlns:mc="http://schemas.openxmlformats.org/markup-compatibility/2006">
      <mc:Choice Requires="x14">
        <control shapeId="5125" r:id="rId10" name="ASHRAE2019">
          <controlPr defaultSize="0" autoLine="0" r:id="rId11">
            <anchor moveWithCells="1">
              <from>
                <xdr:col>0</xdr:col>
                <xdr:colOff>28575</xdr:colOff>
                <xdr:row>10</xdr:row>
                <xdr:rowOff>9525</xdr:rowOff>
              </from>
              <to>
                <xdr:col>1</xdr:col>
                <xdr:colOff>0</xdr:colOff>
                <xdr:row>11</xdr:row>
                <xdr:rowOff>0</xdr:rowOff>
              </to>
            </anchor>
          </controlPr>
        </control>
      </mc:Choice>
      <mc:Fallback>
        <control shapeId="5125" r:id="rId10" name="ASHRAE2019"/>
      </mc:Fallback>
    </mc:AlternateContent>
    <mc:AlternateContent xmlns:mc="http://schemas.openxmlformats.org/markup-compatibility/2006">
      <mc:Choice Requires="x14">
        <control shapeId="5126" r:id="rId12" name="Title242019">
          <controlPr defaultSize="0" autoLine="0" r:id="rId13">
            <anchor moveWithCells="1">
              <from>
                <xdr:col>0</xdr:col>
                <xdr:colOff>28575</xdr:colOff>
                <xdr:row>11</xdr:row>
                <xdr:rowOff>9525</xdr:rowOff>
              </from>
              <to>
                <xdr:col>1</xdr:col>
                <xdr:colOff>0</xdr:colOff>
                <xdr:row>12</xdr:row>
                <xdr:rowOff>0</xdr:rowOff>
              </to>
            </anchor>
          </controlPr>
        </control>
      </mc:Choice>
      <mc:Fallback>
        <control shapeId="5126" r:id="rId12" name="Title242019"/>
      </mc:Fallback>
    </mc:AlternateContent>
    <mc:AlternateContent xmlns:mc="http://schemas.openxmlformats.org/markup-compatibility/2006">
      <mc:Choice Requires="x14">
        <control shapeId="5127" r:id="rId14" name="ASHRAE2013">
          <controlPr defaultSize="0" autoLine="0" r:id="rId15">
            <anchor moveWithCells="1">
              <from>
                <xdr:col>0</xdr:col>
                <xdr:colOff>19050</xdr:colOff>
                <xdr:row>8</xdr:row>
                <xdr:rowOff>9525</xdr:rowOff>
              </from>
              <to>
                <xdr:col>1</xdr:col>
                <xdr:colOff>0</xdr:colOff>
                <xdr:row>9</xdr:row>
                <xdr:rowOff>0</xdr:rowOff>
              </to>
            </anchor>
          </controlPr>
        </control>
      </mc:Choice>
      <mc:Fallback>
        <control shapeId="5127" r:id="rId14" name="ASHRAE201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A1F58-7125-447A-8986-E511051B99EE}">
  <sheetPr codeName="Sheet4">
    <tabColor theme="7" tint="0.79998168889431442"/>
  </sheetPr>
  <dimension ref="B1:AV69"/>
  <sheetViews>
    <sheetView topLeftCell="A17" zoomScale="70" zoomScaleNormal="70" workbookViewId="0">
      <pane xSplit="3" topLeftCell="D1" activePane="topRight" state="frozen"/>
      <selection activeCell="N36" sqref="N36"/>
      <selection pane="topRight" activeCell="N36" sqref="N36"/>
    </sheetView>
  </sheetViews>
  <sheetFormatPr defaultRowHeight="15" x14ac:dyDescent="0.25"/>
  <cols>
    <col min="1" max="1" width="2.7109375" customWidth="1"/>
    <col min="2" max="2" width="10.85546875" bestFit="1" customWidth="1"/>
    <col min="3" max="3" width="39.5703125" bestFit="1" customWidth="1"/>
    <col min="4" max="4" width="20.85546875" bestFit="1" customWidth="1"/>
    <col min="5" max="5" width="40.28515625" customWidth="1"/>
    <col min="6" max="7" width="16.5703125" customWidth="1"/>
    <col min="8" max="9" width="20.7109375" customWidth="1"/>
    <col min="10" max="10" width="15.42578125" customWidth="1"/>
    <col min="11" max="35" width="14.28515625" customWidth="1"/>
    <col min="36" max="36" width="36.7109375" customWidth="1"/>
    <col min="37" max="37" width="34.28515625" customWidth="1"/>
    <col min="38" max="38" width="32.140625" customWidth="1"/>
    <col min="39" max="39" width="28.7109375" customWidth="1"/>
    <col min="40" max="40" width="22.42578125" customWidth="1"/>
    <col min="41" max="41" width="16.7109375" customWidth="1"/>
    <col min="42" max="42" width="18" customWidth="1"/>
    <col min="43" max="44" width="16.7109375" customWidth="1"/>
    <col min="45" max="45" width="20.42578125" bestFit="1" customWidth="1"/>
    <col min="46" max="46" width="20.42578125" customWidth="1"/>
    <col min="47" max="47" width="15.28515625" bestFit="1" customWidth="1"/>
    <col min="48" max="48" width="55.28515625" customWidth="1"/>
  </cols>
  <sheetData>
    <row r="1" spans="2:48" ht="15.75" thickBot="1" x14ac:dyDescent="0.3"/>
    <row r="2" spans="2:48" x14ac:dyDescent="0.25">
      <c r="B2" s="4" t="s">
        <v>12</v>
      </c>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6"/>
    </row>
    <row r="3" spans="2:48" x14ac:dyDescent="0.25">
      <c r="B3" s="117" t="s">
        <v>283</v>
      </c>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9"/>
    </row>
    <row r="4" spans="2:48" x14ac:dyDescent="0.25">
      <c r="B4" s="7" t="s">
        <v>284</v>
      </c>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c r="AM4" s="8"/>
      <c r="AN4" s="8"/>
      <c r="AO4" s="9"/>
    </row>
    <row r="5" spans="2:48" x14ac:dyDescent="0.25">
      <c r="B5" s="7" t="s">
        <v>285</v>
      </c>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9"/>
    </row>
    <row r="6" spans="2:48" ht="15.75" thickBot="1" x14ac:dyDescent="0.3">
      <c r="B6" s="108"/>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2"/>
    </row>
    <row r="8" spans="2:48" ht="19.5" customHeight="1" x14ac:dyDescent="0.25"/>
    <row r="9" spans="2:48" ht="19.5" customHeight="1" x14ac:dyDescent="0.25">
      <c r="D9" t="s">
        <v>286</v>
      </c>
    </row>
    <row r="10" spans="2:48" ht="19.5" customHeight="1" x14ac:dyDescent="0.25"/>
    <row r="11" spans="2:48" ht="19.5" customHeight="1" x14ac:dyDescent="0.25"/>
    <row r="12" spans="2:48" ht="19.5" customHeight="1" x14ac:dyDescent="0.25"/>
    <row r="13" spans="2:48" ht="19.5" customHeight="1" x14ac:dyDescent="0.25"/>
    <row r="14" spans="2:48" ht="15.75" thickBot="1" x14ac:dyDescent="0.3"/>
    <row r="15" spans="2:48" ht="15.75" thickBot="1" x14ac:dyDescent="0.3">
      <c r="B15" s="722" t="s">
        <v>287</v>
      </c>
      <c r="C15" s="723"/>
      <c r="D15" s="723"/>
      <c r="E15" s="723"/>
      <c r="F15" s="723"/>
      <c r="G15" s="723"/>
      <c r="H15" s="723"/>
      <c r="I15" s="723"/>
      <c r="J15" s="723"/>
      <c r="K15" s="723"/>
      <c r="L15" s="723"/>
      <c r="M15" s="723"/>
      <c r="N15" s="723"/>
      <c r="O15" s="723"/>
      <c r="P15" s="723"/>
      <c r="Q15" s="723"/>
      <c r="R15" s="723"/>
      <c r="S15" s="723"/>
      <c r="T15" s="723"/>
      <c r="U15" s="723"/>
      <c r="V15" s="723"/>
      <c r="W15" s="723"/>
      <c r="X15" s="723"/>
      <c r="Y15" s="723"/>
      <c r="Z15" s="723"/>
      <c r="AA15" s="723"/>
      <c r="AB15" s="723"/>
      <c r="AC15" s="723"/>
      <c r="AD15" s="723"/>
      <c r="AE15" s="723"/>
      <c r="AF15" s="723"/>
      <c r="AG15" s="723"/>
      <c r="AH15" s="723"/>
      <c r="AI15" s="723"/>
      <c r="AJ15" s="723"/>
      <c r="AK15" s="723"/>
      <c r="AL15" s="723"/>
      <c r="AM15" s="723"/>
      <c r="AN15" s="723"/>
      <c r="AO15" s="723"/>
      <c r="AP15" s="723"/>
      <c r="AQ15" s="723"/>
      <c r="AR15" s="723"/>
      <c r="AS15" s="723"/>
      <c r="AT15" s="723"/>
      <c r="AU15" s="723"/>
      <c r="AV15" s="724"/>
    </row>
    <row r="16" spans="2:48" x14ac:dyDescent="0.25">
      <c r="B16" s="725" t="s">
        <v>180</v>
      </c>
      <c r="C16" s="726"/>
      <c r="D16" s="726"/>
      <c r="E16" s="727" t="s">
        <v>288</v>
      </c>
      <c r="F16" s="667"/>
      <c r="G16" s="667"/>
      <c r="H16" s="667"/>
      <c r="I16" s="667"/>
      <c r="J16" s="667"/>
      <c r="K16" s="667"/>
      <c r="L16" s="728" t="s">
        <v>289</v>
      </c>
      <c r="M16" s="729"/>
      <c r="N16" s="729"/>
      <c r="O16" s="729"/>
      <c r="P16" s="729"/>
      <c r="Q16" s="729"/>
      <c r="R16" s="728" t="s">
        <v>290</v>
      </c>
      <c r="S16" s="729"/>
      <c r="T16" s="729"/>
      <c r="U16" s="729"/>
      <c r="V16" s="729"/>
      <c r="W16" s="729"/>
      <c r="X16" s="728" t="s">
        <v>291</v>
      </c>
      <c r="Y16" s="729"/>
      <c r="Z16" s="729"/>
      <c r="AA16" s="729"/>
      <c r="AB16" s="729"/>
      <c r="AC16" s="729"/>
      <c r="AD16" s="728" t="s">
        <v>292</v>
      </c>
      <c r="AE16" s="729"/>
      <c r="AF16" s="729"/>
      <c r="AG16" s="729"/>
      <c r="AH16" s="729"/>
      <c r="AI16" s="729"/>
      <c r="AJ16" s="728" t="s">
        <v>293</v>
      </c>
      <c r="AK16" s="729"/>
      <c r="AL16" s="729"/>
      <c r="AM16" s="729"/>
      <c r="AN16" s="729"/>
      <c r="AO16" s="729"/>
      <c r="AP16" s="727" t="s">
        <v>205</v>
      </c>
      <c r="AQ16" s="667"/>
      <c r="AR16" s="667"/>
      <c r="AS16" s="667"/>
      <c r="AT16" s="667"/>
      <c r="AU16" s="667"/>
      <c r="AV16" s="730"/>
    </row>
    <row r="17" spans="2:48" ht="75" x14ac:dyDescent="0.25">
      <c r="B17" s="14" t="s">
        <v>24</v>
      </c>
      <c r="C17" s="17" t="s">
        <v>28</v>
      </c>
      <c r="D17" s="147" t="s">
        <v>32</v>
      </c>
      <c r="E17" s="148" t="s">
        <v>294</v>
      </c>
      <c r="F17" s="149" t="s">
        <v>295</v>
      </c>
      <c r="G17" s="149" t="s">
        <v>296</v>
      </c>
      <c r="H17" s="149" t="s">
        <v>297</v>
      </c>
      <c r="I17" s="149" t="s">
        <v>298</v>
      </c>
      <c r="J17" s="149" t="s">
        <v>299</v>
      </c>
      <c r="K17" s="149" t="s">
        <v>300</v>
      </c>
      <c r="L17" s="148" t="s">
        <v>301</v>
      </c>
      <c r="M17" s="149" t="s">
        <v>302</v>
      </c>
      <c r="N17" s="149" t="s">
        <v>303</v>
      </c>
      <c r="O17" s="149" t="s">
        <v>304</v>
      </c>
      <c r="P17" s="149" t="s">
        <v>305</v>
      </c>
      <c r="Q17" s="149" t="s">
        <v>306</v>
      </c>
      <c r="R17" s="148" t="s">
        <v>307</v>
      </c>
      <c r="S17" s="149" t="s">
        <v>308</v>
      </c>
      <c r="T17" s="149" t="s">
        <v>309</v>
      </c>
      <c r="U17" s="149" t="s">
        <v>310</v>
      </c>
      <c r="V17" s="149" t="s">
        <v>311</v>
      </c>
      <c r="W17" s="149" t="s">
        <v>312</v>
      </c>
      <c r="X17" s="148" t="s">
        <v>313</v>
      </c>
      <c r="Y17" s="149" t="s">
        <v>314</v>
      </c>
      <c r="Z17" s="149" t="s">
        <v>315</v>
      </c>
      <c r="AA17" s="149" t="s">
        <v>316</v>
      </c>
      <c r="AB17" s="149" t="s">
        <v>317</v>
      </c>
      <c r="AC17" s="149" t="s">
        <v>318</v>
      </c>
      <c r="AD17" s="148" t="s">
        <v>319</v>
      </c>
      <c r="AE17" s="149" t="s">
        <v>320</v>
      </c>
      <c r="AF17" s="149" t="s">
        <v>321</v>
      </c>
      <c r="AG17" s="149" t="s">
        <v>322</v>
      </c>
      <c r="AH17" s="149" t="s">
        <v>323</v>
      </c>
      <c r="AI17" s="149" t="s">
        <v>324</v>
      </c>
      <c r="AJ17" s="148" t="s">
        <v>325</v>
      </c>
      <c r="AK17" s="149" t="s">
        <v>326</v>
      </c>
      <c r="AL17" s="149" t="s">
        <v>327</v>
      </c>
      <c r="AM17" s="149" t="s">
        <v>328</v>
      </c>
      <c r="AN17" s="149" t="s">
        <v>329</v>
      </c>
      <c r="AO17" s="149" t="s">
        <v>330</v>
      </c>
      <c r="AP17" s="150" t="s">
        <v>331</v>
      </c>
      <c r="AQ17" s="151" t="s">
        <v>332</v>
      </c>
      <c r="AR17" s="151" t="s">
        <v>333</v>
      </c>
      <c r="AS17" s="151" t="s">
        <v>334</v>
      </c>
      <c r="AT17" s="151" t="s">
        <v>335</v>
      </c>
      <c r="AU17" s="151" t="s">
        <v>336</v>
      </c>
      <c r="AV17" s="15" t="s">
        <v>337</v>
      </c>
    </row>
    <row r="18" spans="2:48" x14ac:dyDescent="0.25">
      <c r="B18" s="18">
        <v>1</v>
      </c>
      <c r="C18" s="19" t="str">
        <f>IF('Master Room List'!R16="","",'Master Room List'!R16)</f>
        <v/>
      </c>
      <c r="D18" s="20" t="str">
        <f>IF(OccupancyAssumptions[[#This Row],[Space Type]]="","-",VLOOKUP(OccupancyAssumptions[[#This Row],[Space Type]],MasterRoomList_SpaceTypeSummary[[#All],[SpaceType]:[% of Total Area]],3,FALSE))</f>
        <v>-</v>
      </c>
      <c r="E18" s="152" t="s">
        <v>338</v>
      </c>
      <c r="F18" s="19" t="str">
        <f>IF(OccupancyAssumptions[[#This Row],[Space Type]]="","",INDEX('Raw Data - Occupancy'!$V$6:$Z$92,MATCH(OccupancyAssumptions[[#This Row],[Primary Function Area]],'Raw Data - Occupancy'!$V$6:$V$92,0),MATCH('Raw Data - Occupancy'!$W$6,'Raw Data - Occupancy'!$V$6:$Z$6,0)))</f>
        <v/>
      </c>
      <c r="G18" s="19" t="str">
        <f>IF(OccupancyAssumptions[[#This Row],[Space Type]]="","",INDEX('Raw Data - Occupancy'!$V$6:$Z$92,MATCH(OccupancyAssumptions[[#This Row],[Primary Function Area]],'Raw Data - Occupancy'!$V$6:$V$92,0),MATCH('Raw Data - Occupancy'!$X$6,'Raw Data - Occupancy'!$V$6:$Z$6,0)))</f>
        <v/>
      </c>
      <c r="H18" s="19" t="str">
        <f>IF(OccupancyAssumptions[[#This Row],[Space Type]]="","",15)</f>
        <v/>
      </c>
      <c r="I18" s="19">
        <f>IFERROR(INDEX('Raw Data - Occupancy'!$AW$7:$BB$85,MATCH(OccupancyAssumptions[[#This Row],[ASHRAE 2019 Space Type]],'Raw Data - Occupancy'!$AW$7:$AW$85,0),MATCH("#/1000 ft2 (#/100 m2)",'Raw Data - Occupancy'!$AW$7:$BB$7,0)),"")</f>
        <v>50</v>
      </c>
      <c r="J18" s="153" t="str">
        <f>IFERROR(OccupancyAssumptions[[#This Row],[Occupant Density
'[People/1000SF']]]*OccupancyAssumptions[[#This Row],[Area (sqft)]]/1000,"")</f>
        <v/>
      </c>
      <c r="K18" s="20" t="str">
        <f>IF(OccupancyAssumptions[[#This Row],[Occupant Density
'[People/1000SF']]]="","",IF(OccupancyAssumptions[[#This Row],[Occupant Density
'[People/1000SF']]]&gt;=50,"YES","NO"))</f>
        <v>YES</v>
      </c>
      <c r="L18" s="152" t="s">
        <v>339</v>
      </c>
      <c r="M18" s="95">
        <f>IFERROR(INDEX('Raw Data - Occupancy'!$AB$7:$AG$85,MATCH(OccupancyAssumptions[[#This Row],[ASHRAE 2007 Space Type]],'Raw Data - Occupancy'!$AB$7:$AB$85,0),MATCH("Rp (CFM/per)",'Raw Data - Occupancy'!$AB$7:$AG$7,0)),"")</f>
        <v>5</v>
      </c>
      <c r="N18" s="95">
        <f>IFERROR(INDEX('Raw Data - Occupancy'!$AB$7:$AG$85,MATCH(OccupancyAssumptions[[#This Row],[ASHRAE 2007 Space Type]],'Raw Data - Occupancy'!$AB$7:$AB$85,0),MATCH("Ra (cfm/ft2)",'Raw Data - Occupancy'!$AB$7:$AG$7,0)),"")</f>
        <v>0.06</v>
      </c>
      <c r="O18" s="95">
        <f>IFERROR(INDEX('Raw Data - Occupancy'!$AB$7:$AG$85,MATCH(OccupancyAssumptions[[#This Row],[ASHRAE 2007 Space Type]],'Raw Data - Occupancy'!$AB$7:$AB$85,0),MATCH("#/1000 ft2 (#/100 m2)",'Raw Data - Occupancy'!$AB$7:$AG$7,0)),"")</f>
        <v>50</v>
      </c>
      <c r="P18" s="153" t="str">
        <f>IFERROR(OccupancyAssumptions[[#This Row],[ASHRAE 2007 Occupant Density
'[People/1000SF']]]*OccupancyAssumptions[[#This Row],[Area (sqft)]]/1000,"")</f>
        <v/>
      </c>
      <c r="Q18" s="20" t="str">
        <f>IF(OccupancyAssumptions[[#This Row],[ASHRAE 2007 Occupant Density
'[People/1000SF']]]="","",IF(OccupancyAssumptions[[#This Row],[ASHRAE 2007 Occupant Density
'[People/1000SF']]]&gt;=50,"YES","NO"))</f>
        <v>YES</v>
      </c>
      <c r="R18" s="152" t="s">
        <v>339</v>
      </c>
      <c r="S18" s="95">
        <f>IFERROR(INDEX('Raw Data - Occupancy'!$AI$7:$AN$85,MATCH(OccupancyAssumptions[[#This Row],[ASHRAE 2010 Space Type]],'Raw Data - Occupancy'!$AI$7:$AI$85,0),MATCH("Rp (CFM/per)",'Raw Data - Occupancy'!$AI$7:$AN$7,0)),"")</f>
        <v>5</v>
      </c>
      <c r="T18" s="95">
        <f>IFERROR(INDEX('Raw Data - Occupancy'!$AI$7:$AN$85,MATCH(OccupancyAssumptions[[#This Row],[ASHRAE 2010 Space Type]],'Raw Data - Occupancy'!$AI$7:$AI$85,0),MATCH("Ra (cfm/ft2)",'Raw Data - Occupancy'!$AI$7:$AN$7,0)),"")</f>
        <v>0.06</v>
      </c>
      <c r="U18" s="95">
        <f>IFERROR(INDEX('Raw Data - Occupancy'!$AI$7:$AN$85,MATCH(OccupancyAssumptions[[#This Row],[ASHRAE 2010 Space Type]],'Raw Data - Occupancy'!$AI$7:$AI$85,0),MATCH("#/1000 ft2 (#/100 m2)",'Raw Data - Occupancy'!$AI$7:$AN$7,0)),"")</f>
        <v>50</v>
      </c>
      <c r="V18" s="153" t="str">
        <f>IFERROR(OccupancyAssumptions[[#This Row],[ASHRAE 2010 Occupant Density
'[People/1000SF']]]*OccupancyAssumptions[[#This Row],[Area (sqft)]]/1000,"")</f>
        <v/>
      </c>
      <c r="W18" s="20" t="str">
        <f>IF(OccupancyAssumptions[[#This Row],[ASHRAE 2010 Occupant Density
'[People/1000SF']]]="","",IF(OccupancyAssumptions[[#This Row],[ASHRAE 2010 Occupant Density
'[People/1000SF']]]&gt;=50,"YES","NO"))</f>
        <v>YES</v>
      </c>
      <c r="X18" s="152" t="s">
        <v>339</v>
      </c>
      <c r="Y18" s="95">
        <f>IFERROR(INDEX('Raw Data - Occupancy'!$AP$7:$AU$85,MATCH(OccupancyAssumptions[[#This Row],[ASHRAE 2013 Space Type]],'Raw Data - Occupancy'!$AP$7:$AP$85,0),MATCH("Rp (CFM/per)",'Raw Data - Occupancy'!$AP$7:$AU$7,0)),"")</f>
        <v>5</v>
      </c>
      <c r="Z18" s="95">
        <f>IFERROR(INDEX('Raw Data - Occupancy'!$AP$7:$AU$85,MATCH(OccupancyAssumptions[[#This Row],[ASHRAE 2013 Space Type]],'Raw Data - Occupancy'!$AP$7:$AP$85,0),MATCH("Ra (cfm/ft2)",'Raw Data - Occupancy'!$AP$7:$AU$7,0)),"")</f>
        <v>0.06</v>
      </c>
      <c r="AA18" s="95">
        <f>IFERROR(INDEX('Raw Data - Occupancy'!$AP$7:$AU$85,MATCH(OccupancyAssumptions[[#This Row],[ASHRAE 2013 Space Type]],'Raw Data - Occupancy'!$AP$7:$AP$85,0),MATCH("#/1000 ft2 (#/100 m2)",'Raw Data - Occupancy'!$AP$7:$AU$7,0)),"")</f>
        <v>50</v>
      </c>
      <c r="AB18" s="153" t="str">
        <f>IFERROR(OccupancyAssumptions[[#This Row],[ASHRAE 2013 Occupant Density
'[People/1000SF']]]*OccupancyAssumptions[[#This Row],[Area (sqft)]]/1000,"")</f>
        <v/>
      </c>
      <c r="AC18" s="20" t="str">
        <f>IF(OccupancyAssumptions[[#This Row],[ASHRAE 2013 Occupant Density
'[People/1000SF']]]="","",IF(OccupancyAssumptions[[#This Row],[ASHRAE 2013 Occupant Density
'[People/1000SF']]]&gt;=50,"YES","NO"))</f>
        <v>YES</v>
      </c>
      <c r="AD18" s="152" t="s">
        <v>339</v>
      </c>
      <c r="AE18" s="95">
        <f>IFERROR(INDEX('Raw Data - Occupancy'!$AW$7:$BB$85,MATCH(OccupancyAssumptions[[#This Row],[ASHRAE 2016 Space Type]],'Raw Data - Occupancy'!$AW$7:$AW$85,0),MATCH("Rp (CFM/per)",'Raw Data - Occupancy'!$AW$7:$BB$7,0)),"")</f>
        <v>5</v>
      </c>
      <c r="AF18" s="95">
        <f>IFERROR(INDEX('Raw Data - Occupancy'!$AW$7:$BB$85,MATCH(OccupancyAssumptions[[#This Row],[ASHRAE 2016 Space Type]],'Raw Data - Occupancy'!$AW$7:$AW$85,0),MATCH("Ra (cfm/ft2)",'Raw Data - Occupancy'!$AW$7:$BB$7,0)),"")</f>
        <v>0.06</v>
      </c>
      <c r="AG18" s="95">
        <f>IFERROR(INDEX('Raw Data - Occupancy'!$AW$7:$BB$85,MATCH(OccupancyAssumptions[[#This Row],[ASHRAE 2016 Space Type]],'Raw Data - Occupancy'!$AW$7:$AW$85,0),MATCH("#/1000 ft2 (#/100 m2)",'Raw Data - Occupancy'!$AW$7:$BB$7,0)),"")</f>
        <v>50</v>
      </c>
      <c r="AH18" s="153" t="str">
        <f>IFERROR(OccupancyAssumptions[[#This Row],[ASHRAE 2016 Occupant Density
'[People/1000SF']]]*OccupancyAssumptions[[#This Row],[Area (sqft)]]/1000,"")</f>
        <v/>
      </c>
      <c r="AI18" s="20" t="str">
        <f>IF(OccupancyAssumptions[[#This Row],[ASHRAE 2016 Occupant Density
'[People/1000SF']]]="","",IF(OccupancyAssumptions[[#This Row],[ASHRAE 2016 Occupant Density
'[People/1000SF']]]&gt;=50,"YES","NO"))</f>
        <v>YES</v>
      </c>
      <c r="AJ18" s="152" t="s">
        <v>339</v>
      </c>
      <c r="AK18" s="95">
        <f>IFERROR(INDEX('Raw Data - Occupancy'!$BD$7:$BI$85,MATCH(OccupancyAssumptions[[#This Row],[ASHRAE 2019 Space Type]],'Raw Data - Occupancy'!$BD$7:$BD$85,0),MATCH("Rp (CFM/per)",'Raw Data - Occupancy'!$BD$7:$BI$7,0)),"")</f>
        <v>5</v>
      </c>
      <c r="AL18" s="95">
        <f>IFERROR(INDEX('Raw Data - Occupancy'!$BD$7:$BI$85,MATCH(OccupancyAssumptions[[#This Row],[ASHRAE 2019 Space Type]],'Raw Data - Occupancy'!$BD$7:$BD$85,0),MATCH("Ra (cfm/ft2)",'Raw Data - Occupancy'!$BD$7:$BI$7,0)),"")</f>
        <v>0.06</v>
      </c>
      <c r="AM18" s="95">
        <f>IFERROR(INDEX('Raw Data - Occupancy'!$BD$7:$BI$85,MATCH(OccupancyAssumptions[[#This Row],[ASHRAE 2019 Space Type]],'Raw Data - Occupancy'!$BD$7:$BD$85,0),MATCH("#/1000 ft2 (#/100 m2)",'Raw Data - Occupancy'!$BD$7:$BI$7,0)),"")</f>
        <v>50</v>
      </c>
      <c r="AN18" s="153" t="str">
        <f>IFERROR(OccupancyAssumptions[[#This Row],[ASHRAE 2019 Occupant Density
'[People/1000SF']]]*OccupancyAssumptions[[#This Row],[Area (sqft)]]/1000,"")</f>
        <v/>
      </c>
      <c r="AO18" s="20" t="str">
        <f>IF(OccupancyAssumptions[[#This Row],[ASHRAE 2019 Occupant Density
'[People/1000SF']]]="","",IF(OccupancyAssumptions[[#This Row],[ASHRAE 2019 Occupant Density
'[People/1000SF']]]&gt;=50,"YES","NO"))</f>
        <v>YES</v>
      </c>
      <c r="AP18" s="152" t="s">
        <v>214</v>
      </c>
      <c r="AQ18" s="154">
        <v>4</v>
      </c>
      <c r="AR18" s="154">
        <v>2</v>
      </c>
      <c r="AS18" s="471">
        <v>20</v>
      </c>
      <c r="AT18" s="471">
        <f>IFERROR(1000/OccupancyAssumptions[[#This Row],[Design Occupant Density '[SF/Person']]],"-")</f>
        <v>50</v>
      </c>
      <c r="AU18" s="156" t="str">
        <f>IF(OccupancyAssumptions[[#This Row],[Design Occupant Density
'[People/1000SF']]]="-","",IF(OccupancyAssumptions[[#This Row],[Design Occupant Density
'[People/1000SF']]]&gt;=50,"YES","NO"))</f>
        <v>YES</v>
      </c>
      <c r="AV18" s="26" t="s">
        <v>340</v>
      </c>
    </row>
    <row r="19" spans="2:48" x14ac:dyDescent="0.25">
      <c r="B19" s="18">
        <v>2</v>
      </c>
      <c r="C19" s="19" t="str">
        <f>IF('Master Room List'!R17="","",'Master Room List'!R17)</f>
        <v/>
      </c>
      <c r="D19" s="20" t="str">
        <f>IF(OccupancyAssumptions[[#This Row],[Space Type]]="","-",VLOOKUP(OccupancyAssumptions[[#This Row],[Space Type]],MasterRoomList_SpaceTypeSummary[[#All],[SpaceType]:[% of Total Area]],3,FALSE))</f>
        <v>-</v>
      </c>
      <c r="E19" s="152" t="s">
        <v>341</v>
      </c>
      <c r="F19" s="19" t="str">
        <f>IF(OccupancyAssumptions[[#This Row],[Space Type]]="","",INDEX('Raw Data - Occupancy'!$V$6:$Z$92,MATCH(OccupancyAssumptions[[#This Row],[Primary Function Area]],'Raw Data - Occupancy'!$V$6:$V$92,0),MATCH('Raw Data - Occupancy'!$W$6,'Raw Data - Occupancy'!$V$6:$Z$6,0)))</f>
        <v/>
      </c>
      <c r="G19" s="19" t="str">
        <f>IF(OccupancyAssumptions[[#This Row],[Space Type]]="","",INDEX('Raw Data - Occupancy'!$V$6:$Z$92,MATCH(OccupancyAssumptions[[#This Row],[Primary Function Area]],'Raw Data - Occupancy'!$V$6:$V$92,0),MATCH('Raw Data - Occupancy'!$X$6,'Raw Data - Occupancy'!$V$6:$Z$6,0)))</f>
        <v/>
      </c>
      <c r="H19" s="19" t="str">
        <f>IF(OccupancyAssumptions[[#This Row],[Space Type]]="","",15)</f>
        <v/>
      </c>
      <c r="I19" s="19">
        <f>IFERROR(INDEX('Raw Data - Occupancy'!$AW$7:$BB$85,MATCH(OccupancyAssumptions[[#This Row],[ASHRAE 2019 Space Type]],'Raw Data - Occupancy'!$AW$7:$AW$85,0),MATCH("#/1000 ft2 (#/100 m2)",'Raw Data - Occupancy'!$AW$7:$BB$7,0)),"")</f>
        <v>0</v>
      </c>
      <c r="J19" s="153" t="str">
        <f>IFERROR(OccupancyAssumptions[[#This Row],[Occupant Density
'[People/1000SF']]]*OccupancyAssumptions[[#This Row],[Area (sqft)]]/1000,"")</f>
        <v/>
      </c>
      <c r="K19" s="20" t="str">
        <f>IF(OccupancyAssumptions[[#This Row],[Occupant Density
'[People/1000SF']]]="","",IF(OccupancyAssumptions[[#This Row],[Occupant Density
'[People/1000SF']]]&gt;=50,"YES","NO"))</f>
        <v>NO</v>
      </c>
      <c r="L19" s="152" t="s">
        <v>342</v>
      </c>
      <c r="M19" s="95">
        <f>IFERROR(INDEX('Raw Data - Occupancy'!$AB$7:$AG$85,MATCH(OccupancyAssumptions[[#This Row],[ASHRAE 2007 Space Type]],'Raw Data - Occupancy'!$AB$7:$AB$85,0),MATCH("Rp (CFM/per)",'Raw Data - Occupancy'!$AB$7:$AG$7,0)),"")</f>
        <v>0</v>
      </c>
      <c r="N19" s="95">
        <f>IFERROR(INDEX('Raw Data - Occupancy'!$AB$7:$AG$85,MATCH(OccupancyAssumptions[[#This Row],[ASHRAE 2007 Space Type]],'Raw Data - Occupancy'!$AB$7:$AB$85,0),MATCH("Ra (cfm/ft2)",'Raw Data - Occupancy'!$AB$7:$AG$7,0)),"")</f>
        <v>0.06</v>
      </c>
      <c r="O19" s="95">
        <f>IFERROR(INDEX('Raw Data - Occupancy'!$AB$7:$AG$85,MATCH(OccupancyAssumptions[[#This Row],[ASHRAE 2007 Space Type]],'Raw Data - Occupancy'!$AB$7:$AB$85,0),MATCH("#/1000 ft2 (#/100 m2)",'Raw Data - Occupancy'!$AB$7:$AG$7,0)),"")</f>
        <v>0</v>
      </c>
      <c r="P19" s="153" t="str">
        <f>IFERROR(OccupancyAssumptions[[#This Row],[ASHRAE 2007 Occupant Density
'[People/1000SF']]]*OccupancyAssumptions[[#This Row],[Area (sqft)]]/1000,"")</f>
        <v/>
      </c>
      <c r="Q19" s="20" t="str">
        <f>IF(OccupancyAssumptions[[#This Row],[ASHRAE 2007 Occupant Density
'[People/1000SF']]]="","",IF(OccupancyAssumptions[[#This Row],[ASHRAE 2007 Occupant Density
'[People/1000SF']]]&gt;=50,"YES","NO"))</f>
        <v>NO</v>
      </c>
      <c r="R19" s="152" t="s">
        <v>342</v>
      </c>
      <c r="S19" s="95">
        <f>IFERROR(INDEX('Raw Data - Occupancy'!$AI$7:$AN$85,MATCH(OccupancyAssumptions[[#This Row],[ASHRAE 2010 Space Type]],'Raw Data - Occupancy'!$AI$7:$AI$85,0),MATCH("Rp (CFM/per)",'Raw Data - Occupancy'!$AI$7:$AN$7,0)),"")</f>
        <v>0</v>
      </c>
      <c r="T19" s="95">
        <f>IFERROR(INDEX('Raw Data - Occupancy'!$AI$7:$AN$85,MATCH(OccupancyAssumptions[[#This Row],[ASHRAE 2010 Space Type]],'Raw Data - Occupancy'!$AI$7:$AI$85,0),MATCH("Ra (cfm/ft2)",'Raw Data - Occupancy'!$AI$7:$AN$7,0)),"")</f>
        <v>0.06</v>
      </c>
      <c r="U19" s="95">
        <f>IFERROR(INDEX('Raw Data - Occupancy'!$AI$7:$AN$85,MATCH(OccupancyAssumptions[[#This Row],[ASHRAE 2010 Space Type]],'Raw Data - Occupancy'!$AI$7:$AI$85,0),MATCH("#/1000 ft2 (#/100 m2)",'Raw Data - Occupancy'!$AI$7:$AN$7,0)),"")</f>
        <v>0</v>
      </c>
      <c r="V19" s="153" t="str">
        <f>IFERROR(OccupancyAssumptions[[#This Row],[ASHRAE 2010 Occupant Density
'[People/1000SF']]]*OccupancyAssumptions[[#This Row],[Area (sqft)]]/1000,"")</f>
        <v/>
      </c>
      <c r="W19" s="20" t="str">
        <f>IF(OccupancyAssumptions[[#This Row],[ASHRAE 2010 Occupant Density
'[People/1000SF']]]="","",IF(OccupancyAssumptions[[#This Row],[ASHRAE 2010 Occupant Density
'[People/1000SF']]]&gt;=50,"YES","NO"))</f>
        <v>NO</v>
      </c>
      <c r="X19" s="152" t="s">
        <v>342</v>
      </c>
      <c r="Y19" s="95">
        <f>IFERROR(INDEX('Raw Data - Occupancy'!$AP$7:$AU$85,MATCH(OccupancyAssumptions[[#This Row],[ASHRAE 2013 Space Type]],'Raw Data - Occupancy'!$AP$7:$AP$85,0),MATCH("Rp (CFM/per)",'Raw Data - Occupancy'!$AP$7:$AU$7,0)),"")</f>
        <v>0</v>
      </c>
      <c r="Z19" s="95">
        <f>IFERROR(INDEX('Raw Data - Occupancy'!$AP$7:$AU$85,MATCH(OccupancyAssumptions[[#This Row],[ASHRAE 2013 Space Type]],'Raw Data - Occupancy'!$AP$7:$AP$85,0),MATCH("Ra (cfm/ft2)",'Raw Data - Occupancy'!$AP$7:$AU$7,0)),"")</f>
        <v>0.06</v>
      </c>
      <c r="AA19" s="95">
        <f>IFERROR(INDEX('Raw Data - Occupancy'!$AP$7:$AU$85,MATCH(OccupancyAssumptions[[#This Row],[ASHRAE 2013 Space Type]],'Raw Data - Occupancy'!$AP$7:$AP$85,0),MATCH("#/1000 ft2 (#/100 m2)",'Raw Data - Occupancy'!$AP$7:$AU$7,0)),"")</f>
        <v>0</v>
      </c>
      <c r="AB19" s="153" t="str">
        <f>IFERROR(OccupancyAssumptions[[#This Row],[ASHRAE 2013 Occupant Density
'[People/1000SF']]]*OccupancyAssumptions[[#This Row],[Area (sqft)]]/1000,"")</f>
        <v/>
      </c>
      <c r="AC19" s="20" t="str">
        <f>IF(OccupancyAssumptions[[#This Row],[ASHRAE 2013 Occupant Density
'[People/1000SF']]]="","",IF(OccupancyAssumptions[[#This Row],[ASHRAE 2013 Occupant Density
'[People/1000SF']]]&gt;=50,"YES","NO"))</f>
        <v>NO</v>
      </c>
      <c r="AD19" s="152" t="s">
        <v>342</v>
      </c>
      <c r="AE19" s="95">
        <f>IFERROR(INDEX('Raw Data - Occupancy'!$AW$7:$BB$85,MATCH(OccupancyAssumptions[[#This Row],[ASHRAE 2016 Space Type]],'Raw Data - Occupancy'!$AW$7:$AW$85,0),MATCH("Rp (CFM/per)",'Raw Data - Occupancy'!$AW$7:$BB$7,0)),"")</f>
        <v>0</v>
      </c>
      <c r="AF19" s="95">
        <f>IFERROR(INDEX('Raw Data - Occupancy'!$AW$7:$BB$85,MATCH(OccupancyAssumptions[[#This Row],[ASHRAE 2016 Space Type]],'Raw Data - Occupancy'!$AW$7:$AW$85,0),MATCH("Ra (cfm/ft2)",'Raw Data - Occupancy'!$AW$7:$BB$7,0)),"")</f>
        <v>0.06</v>
      </c>
      <c r="AG19" s="95">
        <f>IFERROR(INDEX('Raw Data - Occupancy'!$AW$7:$BB$85,MATCH(OccupancyAssumptions[[#This Row],[ASHRAE 2016 Space Type]],'Raw Data - Occupancy'!$AW$7:$AW$85,0),MATCH("#/1000 ft2 (#/100 m2)",'Raw Data - Occupancy'!$AW$7:$BB$7,0)),"")</f>
        <v>0</v>
      </c>
      <c r="AH19" s="153" t="str">
        <f>IFERROR(OccupancyAssumptions[[#This Row],[ASHRAE 2016 Occupant Density
'[People/1000SF']]]*OccupancyAssumptions[[#This Row],[Area (sqft)]]/1000,"")</f>
        <v/>
      </c>
      <c r="AI19" s="20" t="str">
        <f>IF(OccupancyAssumptions[[#This Row],[ASHRAE 2016 Occupant Density
'[People/1000SF']]]="","",IF(OccupancyAssumptions[[#This Row],[ASHRAE 2016 Occupant Density
'[People/1000SF']]]&gt;=50,"YES","NO"))</f>
        <v>NO</v>
      </c>
      <c r="AJ19" s="152" t="s">
        <v>342</v>
      </c>
      <c r="AK19" s="95">
        <f>IFERROR(INDEX('Raw Data - Occupancy'!$BD$7:$BI$85,MATCH(OccupancyAssumptions[[#This Row],[ASHRAE 2019 Space Type]],'Raw Data - Occupancy'!$BD$7:$BD$85,0),MATCH("Rp (CFM/per)",'Raw Data - Occupancy'!$BD$7:$BI$7,0)),"")</f>
        <v>0</v>
      </c>
      <c r="AL19" s="95">
        <f>IFERROR(INDEX('Raw Data - Occupancy'!$BD$7:$BI$85,MATCH(OccupancyAssumptions[[#This Row],[ASHRAE 2019 Space Type]],'Raw Data - Occupancy'!$BD$7:$BD$85,0),MATCH("Ra (cfm/ft2)",'Raw Data - Occupancy'!$BD$7:$BI$7,0)),"")</f>
        <v>0.06</v>
      </c>
      <c r="AM19" s="95">
        <f>IFERROR(INDEX('Raw Data - Occupancy'!$BD$7:$BI$85,MATCH(OccupancyAssumptions[[#This Row],[ASHRAE 2019 Space Type]],'Raw Data - Occupancy'!$BD$7:$BD$85,0),MATCH("#/1000 ft2 (#/100 m2)",'Raw Data - Occupancy'!$BD$7:$BI$7,0)),"")</f>
        <v>0</v>
      </c>
      <c r="AN19" s="155" t="str">
        <f>IFERROR(OccupancyAssumptions[[#This Row],[ASHRAE 2019 Occupant Density
'[People/1000SF']]]*OccupancyAssumptions[[#This Row],[Area (sqft)]]/1000,"")</f>
        <v/>
      </c>
      <c r="AO19" s="156" t="str">
        <f>IF(OccupancyAssumptions[[#This Row],[ASHRAE 2019 Occupant Density
'[People/1000SF']]]="","",IF(OccupancyAssumptions[[#This Row],[ASHRAE 2019 Occupant Density
'[People/1000SF']]]&gt;=50,"YES","NO"))</f>
        <v>NO</v>
      </c>
      <c r="AP19" s="152" t="s">
        <v>214</v>
      </c>
      <c r="AQ19" s="154">
        <v>4</v>
      </c>
      <c r="AR19" s="154">
        <v>2</v>
      </c>
      <c r="AS19" s="471">
        <v>1000</v>
      </c>
      <c r="AT19" s="471">
        <f>IFERROR(1000/OccupancyAssumptions[[#This Row],[Design Occupant Density '[SF/Person']]],"-")</f>
        <v>1</v>
      </c>
      <c r="AU19" s="156" t="str">
        <f>IF(OccupancyAssumptions[[#This Row],[Design Occupant Density
'[People/1000SF']]]="-","",IF(OccupancyAssumptions[[#This Row],[Design Occupant Density
'[People/1000SF']]]&gt;=50,"YES","NO"))</f>
        <v>NO</v>
      </c>
      <c r="AV19" s="26"/>
    </row>
    <row r="20" spans="2:48" x14ac:dyDescent="0.25">
      <c r="B20" s="18">
        <v>3</v>
      </c>
      <c r="C20" s="19" t="str">
        <f>IF('Master Room List'!R18="","",'Master Room List'!R18)</f>
        <v/>
      </c>
      <c r="D20" s="20" t="str">
        <f>IF(OccupancyAssumptions[[#This Row],[Space Type]]="","-",VLOOKUP(OccupancyAssumptions[[#This Row],[Space Type]],MasterRoomList_SpaceTypeSummary[[#All],[SpaceType]:[% of Total Area]],3,FALSE))</f>
        <v>-</v>
      </c>
      <c r="E20" s="152" t="s">
        <v>214</v>
      </c>
      <c r="F20" s="19" t="str">
        <f>IF(OccupancyAssumptions[[#This Row],[Space Type]]="","",INDEX('Raw Data - Occupancy'!$V$6:$Z$92,MATCH(OccupancyAssumptions[[#This Row],[Primary Function Area]],'Raw Data - Occupancy'!$V$6:$V$92,0),MATCH('Raw Data - Occupancy'!$W$6,'Raw Data - Occupancy'!$V$6:$Z$6,0)))</f>
        <v/>
      </c>
      <c r="G20" s="19" t="str">
        <f>IF(OccupancyAssumptions[[#This Row],[Space Type]]="","",INDEX('Raw Data - Occupancy'!$V$6:$Z$92,MATCH(OccupancyAssumptions[[#This Row],[Primary Function Area]],'Raw Data - Occupancy'!$V$6:$V$92,0),MATCH('Raw Data - Occupancy'!$X$6,'Raw Data - Occupancy'!$V$6:$Z$6,0)))</f>
        <v/>
      </c>
      <c r="H20" s="19" t="str">
        <f>IF(OccupancyAssumptions[[#This Row],[Space Type]]="","",15)</f>
        <v/>
      </c>
      <c r="I20" s="19" t="str">
        <f>IFERROR(INDEX('Raw Data - Occupancy'!$AW$7:$BB$85,MATCH(OccupancyAssumptions[[#This Row],[ASHRAE 2019 Space Type]],'Raw Data - Occupancy'!$AW$7:$AW$85,0),MATCH("#/1000 ft2 (#/100 m2)",'Raw Data - Occupancy'!$AW$7:$BB$7,0)),"")</f>
        <v/>
      </c>
      <c r="J20" s="153" t="str">
        <f>IFERROR(OccupancyAssumptions[[#This Row],[Occupant Density
'[People/1000SF']]]*OccupancyAssumptions[[#This Row],[Area (sqft)]]/1000,"")</f>
        <v/>
      </c>
      <c r="K20" s="20" t="str">
        <f>IF(OccupancyAssumptions[[#This Row],[Occupant Density
'[People/1000SF']]]="","",IF(OccupancyAssumptions[[#This Row],[Occupant Density
'[People/1000SF']]]&gt;=50,"YES","NO"))</f>
        <v/>
      </c>
      <c r="L20" s="152"/>
      <c r="M20" s="95" t="str">
        <f>IFERROR(INDEX('Raw Data - Occupancy'!$AB$7:$AG$85,MATCH(OccupancyAssumptions[[#This Row],[ASHRAE 2007 Space Type]],'Raw Data - Occupancy'!$AB$7:$AB$85,0),MATCH("Rp (CFM/per)",'Raw Data - Occupancy'!$AB$7:$AG$7,0)),"")</f>
        <v/>
      </c>
      <c r="N20" s="95" t="str">
        <f>IFERROR(INDEX('Raw Data - Occupancy'!$AB$7:$AG$85,MATCH(OccupancyAssumptions[[#This Row],[ASHRAE 2007 Space Type]],'Raw Data - Occupancy'!$AB$7:$AB$85,0),MATCH("Ra (cfm/ft2)",'Raw Data - Occupancy'!$AB$7:$AG$7,0)),"")</f>
        <v/>
      </c>
      <c r="O20" s="95" t="str">
        <f>IFERROR(INDEX('Raw Data - Occupancy'!$AB$7:$AG$85,MATCH(OccupancyAssumptions[[#This Row],[ASHRAE 2007 Space Type]],'Raw Data - Occupancy'!$AB$7:$AB$85,0),MATCH("#/1000 ft2 (#/100 m2)",'Raw Data - Occupancy'!$AB$7:$AG$7,0)),"")</f>
        <v/>
      </c>
      <c r="P20" s="153" t="str">
        <f>IFERROR(OccupancyAssumptions[[#This Row],[ASHRAE 2007 Occupant Density
'[People/1000SF']]]*OccupancyAssumptions[[#This Row],[Area (sqft)]]/1000,"")</f>
        <v/>
      </c>
      <c r="Q20" s="20" t="str">
        <f>IF(OccupancyAssumptions[[#This Row],[ASHRAE 2007 Occupant Density
'[People/1000SF']]]="","",IF(OccupancyAssumptions[[#This Row],[ASHRAE 2007 Occupant Density
'[People/1000SF']]]&gt;=50,"YES","NO"))</f>
        <v/>
      </c>
      <c r="R20" s="152"/>
      <c r="S20" s="95" t="str">
        <f>IFERROR(INDEX('Raw Data - Occupancy'!$AI$7:$AN$85,MATCH(OccupancyAssumptions[[#This Row],[ASHRAE 2010 Space Type]],'Raw Data - Occupancy'!$AI$7:$AI$85,0),MATCH("Rp (CFM/per)",'Raw Data - Occupancy'!$AI$7:$AN$7,0)),"")</f>
        <v/>
      </c>
      <c r="T20" s="95" t="str">
        <f>IFERROR(INDEX('Raw Data - Occupancy'!$AI$7:$AN$85,MATCH(OccupancyAssumptions[[#This Row],[ASHRAE 2010 Space Type]],'Raw Data - Occupancy'!$AI$7:$AI$85,0),MATCH("Ra (cfm/ft2)",'Raw Data - Occupancy'!$AI$7:$AN$7,0)),"")</f>
        <v/>
      </c>
      <c r="U20" s="95" t="str">
        <f>IFERROR(INDEX('Raw Data - Occupancy'!$AI$7:$AN$85,MATCH(OccupancyAssumptions[[#This Row],[ASHRAE 2010 Space Type]],'Raw Data - Occupancy'!$AI$7:$AI$85,0),MATCH("#/1000 ft2 (#/100 m2)",'Raw Data - Occupancy'!$AI$7:$AN$7,0)),"")</f>
        <v/>
      </c>
      <c r="V20" s="153" t="str">
        <f>IFERROR(OccupancyAssumptions[[#This Row],[ASHRAE 2010 Occupant Density
'[People/1000SF']]]*OccupancyAssumptions[[#This Row],[Area (sqft)]]/1000,"")</f>
        <v/>
      </c>
      <c r="W20" s="20" t="str">
        <f>IF(OccupancyAssumptions[[#This Row],[ASHRAE 2010 Occupant Density
'[People/1000SF']]]="","",IF(OccupancyAssumptions[[#This Row],[ASHRAE 2010 Occupant Density
'[People/1000SF']]]&gt;=50,"YES","NO"))</f>
        <v/>
      </c>
      <c r="X20" s="152"/>
      <c r="Y20" s="95" t="str">
        <f>IFERROR(INDEX('Raw Data - Occupancy'!$AP$7:$AU$85,MATCH(OccupancyAssumptions[[#This Row],[ASHRAE 2013 Space Type]],'Raw Data - Occupancy'!$AP$7:$AP$85,0),MATCH("Rp (CFM/per)",'Raw Data - Occupancy'!$AP$7:$AU$7,0)),"")</f>
        <v/>
      </c>
      <c r="Z20" s="95" t="str">
        <f>IFERROR(INDEX('Raw Data - Occupancy'!$AP$7:$AU$85,MATCH(OccupancyAssumptions[[#This Row],[ASHRAE 2013 Space Type]],'Raw Data - Occupancy'!$AP$7:$AP$85,0),MATCH("Ra (cfm/ft2)",'Raw Data - Occupancy'!$AP$7:$AU$7,0)),"")</f>
        <v/>
      </c>
      <c r="AA20" s="95" t="str">
        <f>IFERROR(INDEX('Raw Data - Occupancy'!$AP$7:$AU$85,MATCH(OccupancyAssumptions[[#This Row],[ASHRAE 2013 Space Type]],'Raw Data - Occupancy'!$AP$7:$AP$85,0),MATCH("#/1000 ft2 (#/100 m2)",'Raw Data - Occupancy'!$AP$7:$AU$7,0)),"")</f>
        <v/>
      </c>
      <c r="AB20" s="153" t="str">
        <f>IFERROR(OccupancyAssumptions[[#This Row],[ASHRAE 2013 Occupant Density
'[People/1000SF']]]*OccupancyAssumptions[[#This Row],[Area (sqft)]]/1000,"")</f>
        <v/>
      </c>
      <c r="AC20" s="20" t="str">
        <f>IF(OccupancyAssumptions[[#This Row],[ASHRAE 2013 Occupant Density
'[People/1000SF']]]="","",IF(OccupancyAssumptions[[#This Row],[ASHRAE 2013 Occupant Density
'[People/1000SF']]]&gt;=50,"YES","NO"))</f>
        <v/>
      </c>
      <c r="AD20" s="152"/>
      <c r="AE20" s="95" t="str">
        <f>IFERROR(INDEX('Raw Data - Occupancy'!$AW$7:$BB$85,MATCH(OccupancyAssumptions[[#This Row],[ASHRAE 2016 Space Type]],'Raw Data - Occupancy'!$AW$7:$AW$85,0),MATCH("Rp (CFM/per)",'Raw Data - Occupancy'!$AW$7:$BB$7,0)),"")</f>
        <v/>
      </c>
      <c r="AF20" s="95" t="str">
        <f>IFERROR(INDEX('Raw Data - Occupancy'!$AW$7:$BB$85,MATCH(OccupancyAssumptions[[#This Row],[ASHRAE 2016 Space Type]],'Raw Data - Occupancy'!$AW$7:$AW$85,0),MATCH("Ra (cfm/ft2)",'Raw Data - Occupancy'!$AW$7:$BB$7,0)),"")</f>
        <v/>
      </c>
      <c r="AG20" s="95" t="str">
        <f>IFERROR(INDEX('Raw Data - Occupancy'!$AW$7:$BB$85,MATCH(OccupancyAssumptions[[#This Row],[ASHRAE 2016 Space Type]],'Raw Data - Occupancy'!$AW$7:$AW$85,0),MATCH("#/1000 ft2 (#/100 m2)",'Raw Data - Occupancy'!$AW$7:$BB$7,0)),"")</f>
        <v/>
      </c>
      <c r="AH20" s="153" t="str">
        <f>IFERROR(OccupancyAssumptions[[#This Row],[ASHRAE 2016 Occupant Density
'[People/1000SF']]]*OccupancyAssumptions[[#This Row],[Area (sqft)]]/1000,"")</f>
        <v/>
      </c>
      <c r="AI20" s="20" t="str">
        <f>IF(OccupancyAssumptions[[#This Row],[ASHRAE 2016 Occupant Density
'[People/1000SF']]]="","",IF(OccupancyAssumptions[[#This Row],[ASHRAE 2016 Occupant Density
'[People/1000SF']]]&gt;=50,"YES","NO"))</f>
        <v/>
      </c>
      <c r="AJ20" s="152"/>
      <c r="AK20" s="95" t="str">
        <f>IFERROR(INDEX('Raw Data - Occupancy'!$BD$7:$BI$85,MATCH(OccupancyAssumptions[[#This Row],[ASHRAE 2019 Space Type]],'Raw Data - Occupancy'!$BD$7:$BD$85,0),MATCH("Rp (CFM/per)",'Raw Data - Occupancy'!$BD$7:$BI$7,0)),"")</f>
        <v/>
      </c>
      <c r="AL20" s="95" t="str">
        <f>IFERROR(INDEX('Raw Data - Occupancy'!$BD$7:$BI$85,MATCH(OccupancyAssumptions[[#This Row],[ASHRAE 2019 Space Type]],'Raw Data - Occupancy'!$BD$7:$BD$85,0),MATCH("Ra (cfm/ft2)",'Raw Data - Occupancy'!$BD$7:$BI$7,0)),"")</f>
        <v/>
      </c>
      <c r="AM20" s="95" t="str">
        <f>IFERROR(INDEX('Raw Data - Occupancy'!$BD$7:$BI$85,MATCH(OccupancyAssumptions[[#This Row],[ASHRAE 2019 Space Type]],'Raw Data - Occupancy'!$BD$7:$BD$85,0),MATCH("#/1000 ft2 (#/100 m2)",'Raw Data - Occupancy'!$BD$7:$BI$7,0)),"")</f>
        <v/>
      </c>
      <c r="AN20" s="155" t="str">
        <f>IFERROR(OccupancyAssumptions[[#This Row],[ASHRAE 2019 Occupant Density
'[People/1000SF']]]*OccupancyAssumptions[[#This Row],[Area (sqft)]]/1000,"")</f>
        <v/>
      </c>
      <c r="AO20" s="156" t="str">
        <f>IF(OccupancyAssumptions[[#This Row],[ASHRAE 2019 Occupant Density
'[People/1000SF']]]="","",IF(OccupancyAssumptions[[#This Row],[ASHRAE 2019 Occupant Density
'[People/1000SF']]]&gt;=50,"YES","NO"))</f>
        <v/>
      </c>
      <c r="AP20" s="152">
        <v>0.6</v>
      </c>
      <c r="AQ20" s="154" t="s">
        <v>214</v>
      </c>
      <c r="AR20" s="154" t="s">
        <v>214</v>
      </c>
      <c r="AS20" s="471" t="s">
        <v>214</v>
      </c>
      <c r="AT20" s="471" t="str">
        <f>IFERROR(1000/OccupancyAssumptions[[#This Row],[Design Occupant Density '[SF/Person']]],"-")</f>
        <v>-</v>
      </c>
      <c r="AU20" s="156" t="str">
        <f>IF(OccupancyAssumptions[[#This Row],[Design Occupant Density
'[People/1000SF']]]="-","",IF(OccupancyAssumptions[[#This Row],[Design Occupant Density
'[People/1000SF']]]&gt;=50,"YES","NO"))</f>
        <v/>
      </c>
      <c r="AV20" s="26"/>
    </row>
    <row r="21" spans="2:48" x14ac:dyDescent="0.25">
      <c r="B21" s="18">
        <v>4</v>
      </c>
      <c r="C21" s="19" t="str">
        <f>IF('Master Room List'!R19="","",'Master Room List'!R19)</f>
        <v/>
      </c>
      <c r="D21" s="20" t="str">
        <f>IF(OccupancyAssumptions[[#This Row],[Space Type]]="","-",VLOOKUP(OccupancyAssumptions[[#This Row],[Space Type]],MasterRoomList_SpaceTypeSummary[[#All],[SpaceType]:[% of Total Area]],3,FALSE))</f>
        <v>-</v>
      </c>
      <c r="E21" s="152" t="s">
        <v>343</v>
      </c>
      <c r="F21" s="19" t="str">
        <f>IF(OccupancyAssumptions[[#This Row],[Space Type]]="","",INDEX('Raw Data - Occupancy'!$V$6:$Z$92,MATCH(OccupancyAssumptions[[#This Row],[Primary Function Area]],'Raw Data - Occupancy'!$V$6:$V$92,0),MATCH('Raw Data - Occupancy'!$W$6,'Raw Data - Occupancy'!$V$6:$Z$6,0)))</f>
        <v/>
      </c>
      <c r="G21" s="19" t="str">
        <f>IF(OccupancyAssumptions[[#This Row],[Space Type]]="","",INDEX('Raw Data - Occupancy'!$V$6:$Z$92,MATCH(OccupancyAssumptions[[#This Row],[Primary Function Area]],'Raw Data - Occupancy'!$V$6:$V$92,0),MATCH('Raw Data - Occupancy'!$X$6,'Raw Data - Occupancy'!$V$6:$Z$6,0)))</f>
        <v/>
      </c>
      <c r="H21" s="19" t="str">
        <f>IF(OccupancyAssumptions[[#This Row],[Space Type]]="","",15)</f>
        <v/>
      </c>
      <c r="I21" s="19">
        <f>IFERROR(INDEX('Raw Data - Occupancy'!$AW$7:$BB$85,MATCH(OccupancyAssumptions[[#This Row],[ASHRAE 2019 Space Type]],'Raw Data - Occupancy'!$AW$7:$AW$85,0),MATCH("#/1000 ft2 (#/100 m2)",'Raw Data - Occupancy'!$AW$7:$BB$7,0)),"")</f>
        <v>5</v>
      </c>
      <c r="J21" s="153" t="str">
        <f>IFERROR(OccupancyAssumptions[[#This Row],[Occupant Density
'[People/1000SF']]]*OccupancyAssumptions[[#This Row],[Area (sqft)]]/1000,"")</f>
        <v/>
      </c>
      <c r="K21" s="20" t="str">
        <f>IF(OccupancyAssumptions[[#This Row],[Occupant Density
'[People/1000SF']]]="","",IF(OccupancyAssumptions[[#This Row],[Occupant Density
'[People/1000SF']]]&gt;=50,"YES","NO"))</f>
        <v>NO</v>
      </c>
      <c r="L21" s="152" t="s">
        <v>344</v>
      </c>
      <c r="M21" s="95">
        <f>IFERROR(INDEX('Raw Data - Occupancy'!$AB$7:$AG$85,MATCH(OccupancyAssumptions[[#This Row],[ASHRAE 2007 Space Type]],'Raw Data - Occupancy'!$AB$7:$AB$85,0),MATCH("Rp (CFM/per)",'Raw Data - Occupancy'!$AB$7:$AG$7,0)),"")</f>
        <v>5</v>
      </c>
      <c r="N21" s="95">
        <f>IFERROR(INDEX('Raw Data - Occupancy'!$AB$7:$AG$85,MATCH(OccupancyAssumptions[[#This Row],[ASHRAE 2007 Space Type]],'Raw Data - Occupancy'!$AB$7:$AB$85,0),MATCH("Ra (cfm/ft2)",'Raw Data - Occupancy'!$AB$7:$AG$7,0)),"")</f>
        <v>0.06</v>
      </c>
      <c r="O21" s="95">
        <f>IFERROR(INDEX('Raw Data - Occupancy'!$AB$7:$AG$85,MATCH(OccupancyAssumptions[[#This Row],[ASHRAE 2007 Space Type]],'Raw Data - Occupancy'!$AB$7:$AB$85,0),MATCH("#/1000 ft2 (#/100 m2)",'Raw Data - Occupancy'!$AB$7:$AG$7,0)),"")</f>
        <v>5</v>
      </c>
      <c r="P21" s="153" t="str">
        <f>IFERROR(OccupancyAssumptions[[#This Row],[ASHRAE 2007 Occupant Density
'[People/1000SF']]]*OccupancyAssumptions[[#This Row],[Area (sqft)]]/1000,"")</f>
        <v/>
      </c>
      <c r="Q21" s="20" t="str">
        <f>IF(OccupancyAssumptions[[#This Row],[ASHRAE 2007 Occupant Density
'[People/1000SF']]]="","",IF(OccupancyAssumptions[[#This Row],[ASHRAE 2007 Occupant Density
'[People/1000SF']]]&gt;=50,"YES","NO"))</f>
        <v>NO</v>
      </c>
      <c r="R21" s="152" t="s">
        <v>344</v>
      </c>
      <c r="S21" s="95">
        <f>IFERROR(INDEX('Raw Data - Occupancy'!$AI$7:$AN$85,MATCH(OccupancyAssumptions[[#This Row],[ASHRAE 2010 Space Type]],'Raw Data - Occupancy'!$AI$7:$AI$85,0),MATCH("Rp (CFM/per)",'Raw Data - Occupancy'!$AI$7:$AN$7,0)),"")</f>
        <v>5</v>
      </c>
      <c r="T21" s="95">
        <f>IFERROR(INDEX('Raw Data - Occupancy'!$AI$7:$AN$85,MATCH(OccupancyAssumptions[[#This Row],[ASHRAE 2010 Space Type]],'Raw Data - Occupancy'!$AI$7:$AI$85,0),MATCH("Ra (cfm/ft2)",'Raw Data - Occupancy'!$AI$7:$AN$7,0)),"")</f>
        <v>0.06</v>
      </c>
      <c r="U21" s="95">
        <f>IFERROR(INDEX('Raw Data - Occupancy'!$AI$7:$AN$85,MATCH(OccupancyAssumptions[[#This Row],[ASHRAE 2010 Space Type]],'Raw Data - Occupancy'!$AI$7:$AI$85,0),MATCH("#/1000 ft2 (#/100 m2)",'Raw Data - Occupancy'!$AI$7:$AN$7,0)),"")</f>
        <v>5</v>
      </c>
      <c r="V21" s="153" t="str">
        <f>IFERROR(OccupancyAssumptions[[#This Row],[ASHRAE 2010 Occupant Density
'[People/1000SF']]]*OccupancyAssumptions[[#This Row],[Area (sqft)]]/1000,"")</f>
        <v/>
      </c>
      <c r="W21" s="20" t="str">
        <f>IF(OccupancyAssumptions[[#This Row],[ASHRAE 2010 Occupant Density
'[People/1000SF']]]="","",IF(OccupancyAssumptions[[#This Row],[ASHRAE 2010 Occupant Density
'[People/1000SF']]]&gt;=50,"YES","NO"))</f>
        <v>NO</v>
      </c>
      <c r="X21" s="152" t="s">
        <v>344</v>
      </c>
      <c r="Y21" s="95">
        <f>IFERROR(INDEX('Raw Data - Occupancy'!$AP$7:$AU$85,MATCH(OccupancyAssumptions[[#This Row],[ASHRAE 2013 Space Type]],'Raw Data - Occupancy'!$AP$7:$AP$85,0),MATCH("Rp (CFM/per)",'Raw Data - Occupancy'!$AP$7:$AU$7,0)),"")</f>
        <v>5</v>
      </c>
      <c r="Z21" s="95">
        <f>IFERROR(INDEX('Raw Data - Occupancy'!$AP$7:$AU$85,MATCH(OccupancyAssumptions[[#This Row],[ASHRAE 2013 Space Type]],'Raw Data - Occupancy'!$AP$7:$AP$85,0),MATCH("Ra (cfm/ft2)",'Raw Data - Occupancy'!$AP$7:$AU$7,0)),"")</f>
        <v>0.06</v>
      </c>
      <c r="AA21" s="95">
        <f>IFERROR(INDEX('Raw Data - Occupancy'!$AP$7:$AU$85,MATCH(OccupancyAssumptions[[#This Row],[ASHRAE 2013 Space Type]],'Raw Data - Occupancy'!$AP$7:$AP$85,0),MATCH("#/1000 ft2 (#/100 m2)",'Raw Data - Occupancy'!$AP$7:$AU$7,0)),"")</f>
        <v>5</v>
      </c>
      <c r="AB21" s="153" t="str">
        <f>IFERROR(OccupancyAssumptions[[#This Row],[ASHRAE 2013 Occupant Density
'[People/1000SF']]]*OccupancyAssumptions[[#This Row],[Area (sqft)]]/1000,"")</f>
        <v/>
      </c>
      <c r="AC21" s="20" t="str">
        <f>IF(OccupancyAssumptions[[#This Row],[ASHRAE 2013 Occupant Density
'[People/1000SF']]]="","",IF(OccupancyAssumptions[[#This Row],[ASHRAE 2013 Occupant Density
'[People/1000SF']]]&gt;=50,"YES","NO"))</f>
        <v>NO</v>
      </c>
      <c r="AD21" s="152" t="s">
        <v>344</v>
      </c>
      <c r="AE21" s="95">
        <f>IFERROR(INDEX('Raw Data - Occupancy'!$AW$7:$BB$85,MATCH(OccupancyAssumptions[[#This Row],[ASHRAE 2016 Space Type]],'Raw Data - Occupancy'!$AW$7:$AW$85,0),MATCH("Rp (CFM/per)",'Raw Data - Occupancy'!$AW$7:$BB$7,0)),"")</f>
        <v>5</v>
      </c>
      <c r="AF21" s="95">
        <f>IFERROR(INDEX('Raw Data - Occupancy'!$AW$7:$BB$85,MATCH(OccupancyAssumptions[[#This Row],[ASHRAE 2016 Space Type]],'Raw Data - Occupancy'!$AW$7:$AW$85,0),MATCH("Ra (cfm/ft2)",'Raw Data - Occupancy'!$AW$7:$BB$7,0)),"")</f>
        <v>0.06</v>
      </c>
      <c r="AG21" s="95">
        <f>IFERROR(INDEX('Raw Data - Occupancy'!$AW$7:$BB$85,MATCH(OccupancyAssumptions[[#This Row],[ASHRAE 2016 Space Type]],'Raw Data - Occupancy'!$AW$7:$AW$85,0),MATCH("#/1000 ft2 (#/100 m2)",'Raw Data - Occupancy'!$AW$7:$BB$7,0)),"")</f>
        <v>5</v>
      </c>
      <c r="AH21" s="153" t="str">
        <f>IFERROR(OccupancyAssumptions[[#This Row],[ASHRAE 2016 Occupant Density
'[People/1000SF']]]*OccupancyAssumptions[[#This Row],[Area (sqft)]]/1000,"")</f>
        <v/>
      </c>
      <c r="AI21" s="20" t="str">
        <f>IF(OccupancyAssumptions[[#This Row],[ASHRAE 2016 Occupant Density
'[People/1000SF']]]="","",IF(OccupancyAssumptions[[#This Row],[ASHRAE 2016 Occupant Density
'[People/1000SF']]]&gt;=50,"YES","NO"))</f>
        <v>NO</v>
      </c>
      <c r="AJ21" s="152" t="s">
        <v>344</v>
      </c>
      <c r="AK21" s="95">
        <f>IFERROR(INDEX('Raw Data - Occupancy'!$BD$7:$BI$85,MATCH(OccupancyAssumptions[[#This Row],[ASHRAE 2019 Space Type]],'Raw Data - Occupancy'!$BD$7:$BD$85,0),MATCH("Rp (CFM/per)",'Raw Data - Occupancy'!$BD$7:$BI$7,0)),"")</f>
        <v>5</v>
      </c>
      <c r="AL21" s="95">
        <f>IFERROR(INDEX('Raw Data - Occupancy'!$BD$7:$BI$85,MATCH(OccupancyAssumptions[[#This Row],[ASHRAE 2019 Space Type]],'Raw Data - Occupancy'!$BD$7:$BD$85,0),MATCH("Ra (cfm/ft2)",'Raw Data - Occupancy'!$BD$7:$BI$7,0)),"")</f>
        <v>0.06</v>
      </c>
      <c r="AM21" s="95">
        <f>IFERROR(INDEX('Raw Data - Occupancy'!$BD$7:$BI$85,MATCH(OccupancyAssumptions[[#This Row],[ASHRAE 2019 Space Type]],'Raw Data - Occupancy'!$BD$7:$BD$85,0),MATCH("#/1000 ft2 (#/100 m2)",'Raw Data - Occupancy'!$BD$7:$BI$7,0)),"")</f>
        <v>5</v>
      </c>
      <c r="AN21" s="155" t="str">
        <f>IFERROR(OccupancyAssumptions[[#This Row],[ASHRAE 2019 Occupant Density
'[People/1000SF']]]*OccupancyAssumptions[[#This Row],[Area (sqft)]]/1000,"")</f>
        <v/>
      </c>
      <c r="AO21" s="156" t="str">
        <f>IF(OccupancyAssumptions[[#This Row],[ASHRAE 2019 Occupant Density
'[People/1000SF']]]="","",IF(OccupancyAssumptions[[#This Row],[ASHRAE 2019 Occupant Density
'[People/1000SF']]]&gt;=50,"YES","NO"))</f>
        <v>NO</v>
      </c>
      <c r="AP21" s="152" t="s">
        <v>214</v>
      </c>
      <c r="AQ21" s="154">
        <v>6</v>
      </c>
      <c r="AR21" s="154">
        <v>2</v>
      </c>
      <c r="AS21" s="471">
        <v>100</v>
      </c>
      <c r="AT21" s="471">
        <f>IFERROR(1000/OccupancyAssumptions[[#This Row],[Design Occupant Density '[SF/Person']]],"-")</f>
        <v>10</v>
      </c>
      <c r="AU21" s="156" t="str">
        <f>IF(OccupancyAssumptions[[#This Row],[Design Occupant Density
'[People/1000SF']]]="-","",IF(OccupancyAssumptions[[#This Row],[Design Occupant Density
'[People/1000SF']]]&gt;=50,"YES","NO"))</f>
        <v>NO</v>
      </c>
      <c r="AV21" s="26"/>
    </row>
    <row r="22" spans="2:48" x14ac:dyDescent="0.25">
      <c r="B22" s="18">
        <v>5</v>
      </c>
      <c r="C22" s="19" t="str">
        <f>IF('Master Room List'!R20="","",'Master Room List'!R20)</f>
        <v/>
      </c>
      <c r="D22" s="20" t="str">
        <f>IF(OccupancyAssumptions[[#This Row],[Space Type]]="","-",VLOOKUP(OccupancyAssumptions[[#This Row],[Space Type]],MasterRoomList_SpaceTypeSummary[[#All],[SpaceType]:[% of Total Area]],3,FALSE))</f>
        <v>-</v>
      </c>
      <c r="E22" s="152" t="s">
        <v>343</v>
      </c>
      <c r="F22" s="19" t="str">
        <f>IF(OccupancyAssumptions[[#This Row],[Space Type]]="","",INDEX('Raw Data - Occupancy'!$V$6:$Z$92,MATCH(OccupancyAssumptions[[#This Row],[Primary Function Area]],'Raw Data - Occupancy'!$V$6:$V$92,0),MATCH('Raw Data - Occupancy'!$W$6,'Raw Data - Occupancy'!$V$6:$Z$6,0)))</f>
        <v/>
      </c>
      <c r="G22" s="19" t="str">
        <f>IF(OccupancyAssumptions[[#This Row],[Space Type]]="","",INDEX('Raw Data - Occupancy'!$V$6:$Z$92,MATCH(OccupancyAssumptions[[#This Row],[Primary Function Area]],'Raw Data - Occupancy'!$V$6:$V$92,0),MATCH('Raw Data - Occupancy'!$X$6,'Raw Data - Occupancy'!$V$6:$Z$6,0)))</f>
        <v/>
      </c>
      <c r="H22" s="19" t="str">
        <f>IF(OccupancyAssumptions[[#This Row],[Space Type]]="","",15)</f>
        <v/>
      </c>
      <c r="I22" s="19">
        <f>IFERROR(INDEX('Raw Data - Occupancy'!$AW$7:$BB$85,MATCH(OccupancyAssumptions[[#This Row],[ASHRAE 2019 Space Type]],'Raw Data - Occupancy'!$AW$7:$AW$85,0),MATCH("#/1000 ft2 (#/100 m2)",'Raw Data - Occupancy'!$AW$7:$BB$7,0)),"")</f>
        <v>25</v>
      </c>
      <c r="J22" s="153" t="str">
        <f>IFERROR(OccupancyAssumptions[[#This Row],[Occupant Density
'[People/1000SF']]]*OccupancyAssumptions[[#This Row],[Area (sqft)]]/1000,"")</f>
        <v/>
      </c>
      <c r="K22" s="20" t="str">
        <f>IF(OccupancyAssumptions[[#This Row],[Occupant Density
'[People/1000SF']]]="","",IF(OccupancyAssumptions[[#This Row],[Occupant Density
'[People/1000SF']]]&gt;=50,"YES","NO"))</f>
        <v>NO</v>
      </c>
      <c r="L22" s="152" t="s">
        <v>345</v>
      </c>
      <c r="M22" s="95">
        <f>IFERROR(INDEX('Raw Data - Occupancy'!$AB$7:$AG$85,MATCH(OccupancyAssumptions[[#This Row],[ASHRAE 2007 Space Type]],'Raw Data - Occupancy'!$AB$7:$AB$85,0),MATCH("Rp (CFM/per)",'Raw Data - Occupancy'!$AB$7:$AG$7,0)),"")</f>
        <v>10</v>
      </c>
      <c r="N22" s="95">
        <f>IFERROR(INDEX('Raw Data - Occupancy'!$AB$7:$AG$85,MATCH(OccupancyAssumptions[[#This Row],[ASHRAE 2007 Space Type]],'Raw Data - Occupancy'!$AB$7:$AB$85,0),MATCH("Ra (cfm/ft2)",'Raw Data - Occupancy'!$AB$7:$AG$7,0)),"")</f>
        <v>0.18</v>
      </c>
      <c r="O22" s="95">
        <f>IFERROR(INDEX('Raw Data - Occupancy'!$AB$7:$AG$85,MATCH(OccupancyAssumptions[[#This Row],[ASHRAE 2007 Space Type]],'Raw Data - Occupancy'!$AB$7:$AB$85,0),MATCH("#/1000 ft2 (#/100 m2)",'Raw Data - Occupancy'!$AB$7:$AG$7,0)),"")</f>
        <v>25</v>
      </c>
      <c r="P22" s="153" t="str">
        <f>IFERROR(OccupancyAssumptions[[#This Row],[ASHRAE 2007 Occupant Density
'[People/1000SF']]]*OccupancyAssumptions[[#This Row],[Area (sqft)]]/1000,"")</f>
        <v/>
      </c>
      <c r="Q22" s="20" t="str">
        <f>IF(OccupancyAssumptions[[#This Row],[ASHRAE 2007 Occupant Density
'[People/1000SF']]]="","",IF(OccupancyAssumptions[[#This Row],[ASHRAE 2007 Occupant Density
'[People/1000SF']]]&gt;=50,"YES","NO"))</f>
        <v>NO</v>
      </c>
      <c r="R22" s="152" t="s">
        <v>345</v>
      </c>
      <c r="S22" s="95">
        <f>IFERROR(INDEX('Raw Data - Occupancy'!$AI$7:$AN$85,MATCH(OccupancyAssumptions[[#This Row],[ASHRAE 2010 Space Type]],'Raw Data - Occupancy'!$AI$7:$AI$85,0),MATCH("Rp (CFM/per)",'Raw Data - Occupancy'!$AI$7:$AN$7,0)),"")</f>
        <v>10</v>
      </c>
      <c r="T22" s="95">
        <f>IFERROR(INDEX('Raw Data - Occupancy'!$AI$7:$AN$85,MATCH(OccupancyAssumptions[[#This Row],[ASHRAE 2010 Space Type]],'Raw Data - Occupancy'!$AI$7:$AI$85,0),MATCH("Ra (cfm/ft2)",'Raw Data - Occupancy'!$AI$7:$AN$7,0)),"")</f>
        <v>0.18</v>
      </c>
      <c r="U22" s="95">
        <f>IFERROR(INDEX('Raw Data - Occupancy'!$AI$7:$AN$85,MATCH(OccupancyAssumptions[[#This Row],[ASHRAE 2010 Space Type]],'Raw Data - Occupancy'!$AI$7:$AI$85,0),MATCH("#/1000 ft2 (#/100 m2)",'Raw Data - Occupancy'!$AI$7:$AN$7,0)),"")</f>
        <v>25</v>
      </c>
      <c r="V22" s="153" t="str">
        <f>IFERROR(OccupancyAssumptions[[#This Row],[ASHRAE 2010 Occupant Density
'[People/1000SF']]]*OccupancyAssumptions[[#This Row],[Area (sqft)]]/1000,"")</f>
        <v/>
      </c>
      <c r="W22" s="20" t="str">
        <f>IF(OccupancyAssumptions[[#This Row],[ASHRAE 2010 Occupant Density
'[People/1000SF']]]="","",IF(OccupancyAssumptions[[#This Row],[ASHRAE 2010 Occupant Density
'[People/1000SF']]]&gt;=50,"YES","NO"))</f>
        <v>NO</v>
      </c>
      <c r="X22" s="152" t="s">
        <v>345</v>
      </c>
      <c r="Y22" s="95">
        <f>IFERROR(INDEX('Raw Data - Occupancy'!$AP$7:$AU$85,MATCH(OccupancyAssumptions[[#This Row],[ASHRAE 2013 Space Type]],'Raw Data - Occupancy'!$AP$7:$AP$85,0),MATCH("Rp (CFM/per)",'Raw Data - Occupancy'!$AP$7:$AU$7,0)),"")</f>
        <v>10</v>
      </c>
      <c r="Z22" s="95">
        <f>IFERROR(INDEX('Raw Data - Occupancy'!$AP$7:$AU$85,MATCH(OccupancyAssumptions[[#This Row],[ASHRAE 2013 Space Type]],'Raw Data - Occupancy'!$AP$7:$AP$85,0),MATCH("Ra (cfm/ft2)",'Raw Data - Occupancy'!$AP$7:$AU$7,0)),"")</f>
        <v>0.18</v>
      </c>
      <c r="AA22" s="95">
        <f>IFERROR(INDEX('Raw Data - Occupancy'!$AP$7:$AU$85,MATCH(OccupancyAssumptions[[#This Row],[ASHRAE 2013 Space Type]],'Raw Data - Occupancy'!$AP$7:$AP$85,0),MATCH("#/1000 ft2 (#/100 m2)",'Raw Data - Occupancy'!$AP$7:$AU$7,0)),"")</f>
        <v>25</v>
      </c>
      <c r="AB22" s="153" t="str">
        <f>IFERROR(OccupancyAssumptions[[#This Row],[ASHRAE 2013 Occupant Density
'[People/1000SF']]]*OccupancyAssumptions[[#This Row],[Area (sqft)]]/1000,"")</f>
        <v/>
      </c>
      <c r="AC22" s="20" t="str">
        <f>IF(OccupancyAssumptions[[#This Row],[ASHRAE 2013 Occupant Density
'[People/1000SF']]]="","",IF(OccupancyAssumptions[[#This Row],[ASHRAE 2013 Occupant Density
'[People/1000SF']]]&gt;=50,"YES","NO"))</f>
        <v>NO</v>
      </c>
      <c r="AD22" s="152" t="s">
        <v>345</v>
      </c>
      <c r="AE22" s="95">
        <f>IFERROR(INDEX('Raw Data - Occupancy'!$AW$7:$BB$85,MATCH(OccupancyAssumptions[[#This Row],[ASHRAE 2016 Space Type]],'Raw Data - Occupancy'!$AW$7:$AW$85,0),MATCH("Rp (CFM/per)",'Raw Data - Occupancy'!$AW$7:$BB$7,0)),"")</f>
        <v>10</v>
      </c>
      <c r="AF22" s="95">
        <f>IFERROR(INDEX('Raw Data - Occupancy'!$AW$7:$BB$85,MATCH(OccupancyAssumptions[[#This Row],[ASHRAE 2016 Space Type]],'Raw Data - Occupancy'!$AW$7:$AW$85,0),MATCH("Ra (cfm/ft2)",'Raw Data - Occupancy'!$AW$7:$BB$7,0)),"")</f>
        <v>0.18</v>
      </c>
      <c r="AG22" s="95">
        <f>IFERROR(INDEX('Raw Data - Occupancy'!$AW$7:$BB$85,MATCH(OccupancyAssumptions[[#This Row],[ASHRAE 2016 Space Type]],'Raw Data - Occupancy'!$AW$7:$AW$85,0),MATCH("#/1000 ft2 (#/100 m2)",'Raw Data - Occupancy'!$AW$7:$BB$7,0)),"")</f>
        <v>25</v>
      </c>
      <c r="AH22" s="153" t="str">
        <f>IFERROR(OccupancyAssumptions[[#This Row],[ASHRAE 2016 Occupant Density
'[People/1000SF']]]*OccupancyAssumptions[[#This Row],[Area (sqft)]]/1000,"")</f>
        <v/>
      </c>
      <c r="AI22" s="20" t="str">
        <f>IF(OccupancyAssumptions[[#This Row],[ASHRAE 2016 Occupant Density
'[People/1000SF']]]="","",IF(OccupancyAssumptions[[#This Row],[ASHRAE 2016 Occupant Density
'[People/1000SF']]]&gt;=50,"YES","NO"))</f>
        <v>NO</v>
      </c>
      <c r="AJ22" s="152" t="s">
        <v>345</v>
      </c>
      <c r="AK22" s="95">
        <f>IFERROR(INDEX('Raw Data - Occupancy'!$BD$7:$BI$85,MATCH(OccupancyAssumptions[[#This Row],[ASHRAE 2019 Space Type]],'Raw Data - Occupancy'!$BD$7:$BD$85,0),MATCH("Rp (CFM/per)",'Raw Data - Occupancy'!$BD$7:$BI$7,0)),"")</f>
        <v>10</v>
      </c>
      <c r="AL22" s="95">
        <f>IFERROR(INDEX('Raw Data - Occupancy'!$BD$7:$BI$85,MATCH(OccupancyAssumptions[[#This Row],[ASHRAE 2019 Space Type]],'Raw Data - Occupancy'!$BD$7:$BD$85,0),MATCH("Ra (cfm/ft2)",'Raw Data - Occupancy'!$BD$7:$BI$7,0)),"")</f>
        <v>0.18</v>
      </c>
      <c r="AM22" s="95">
        <f>IFERROR(INDEX('Raw Data - Occupancy'!$BD$7:$BI$85,MATCH(OccupancyAssumptions[[#This Row],[ASHRAE 2019 Space Type]],'Raw Data - Occupancy'!$BD$7:$BD$85,0),MATCH("#/1000 ft2 (#/100 m2)",'Raw Data - Occupancy'!$BD$7:$BI$7,0)),"")</f>
        <v>25</v>
      </c>
      <c r="AN22" s="155" t="str">
        <f>IFERROR(OccupancyAssumptions[[#This Row],[ASHRAE 2019 Occupant Density
'[People/1000SF']]]*OccupancyAssumptions[[#This Row],[Area (sqft)]]/1000,"")</f>
        <v/>
      </c>
      <c r="AO22" s="156" t="str">
        <f>IF(OccupancyAssumptions[[#This Row],[ASHRAE 2019 Occupant Density
'[People/1000SF']]]="","",IF(OccupancyAssumptions[[#This Row],[ASHRAE 2019 Occupant Density
'[People/1000SF']]]&gt;=50,"YES","NO"))</f>
        <v>NO</v>
      </c>
      <c r="AP22" s="152" t="s">
        <v>214</v>
      </c>
      <c r="AQ22" s="154">
        <v>6</v>
      </c>
      <c r="AR22" s="154">
        <v>2</v>
      </c>
      <c r="AS22" s="471">
        <v>100</v>
      </c>
      <c r="AT22" s="471">
        <f>IFERROR(1000/OccupancyAssumptions[[#This Row],[Design Occupant Density '[SF/Person']]],"-")</f>
        <v>10</v>
      </c>
      <c r="AU22" s="156" t="str">
        <f>IF(OccupancyAssumptions[[#This Row],[Design Occupant Density
'[People/1000SF']]]="-","",IF(OccupancyAssumptions[[#This Row],[Design Occupant Density
'[People/1000SF']]]&gt;=50,"YES","NO"))</f>
        <v>NO</v>
      </c>
      <c r="AV22" s="26" t="s">
        <v>346</v>
      </c>
    </row>
    <row r="23" spans="2:48" x14ac:dyDescent="0.25">
      <c r="B23" s="18">
        <v>6</v>
      </c>
      <c r="C23" s="19" t="str">
        <f>IF('Master Room List'!R21="","",'Master Room List'!R21)</f>
        <v/>
      </c>
      <c r="D23" s="20" t="str">
        <f>IF(OccupancyAssumptions[[#This Row],[Space Type]]="","-",VLOOKUP(OccupancyAssumptions[[#This Row],[Space Type]],MasterRoomList_SpaceTypeSummary[[#All],[SpaceType]:[% of Total Area]],3,FALSE))</f>
        <v>-</v>
      </c>
      <c r="E23" s="152" t="s">
        <v>343</v>
      </c>
      <c r="F23" s="19" t="str">
        <f>IF(OccupancyAssumptions[[#This Row],[Space Type]]="","",INDEX('Raw Data - Occupancy'!$V$6:$Z$92,MATCH(OccupancyAssumptions[[#This Row],[Primary Function Area]],'Raw Data - Occupancy'!$V$6:$V$92,0),MATCH('Raw Data - Occupancy'!$W$6,'Raw Data - Occupancy'!$V$6:$Z$6,0)))</f>
        <v/>
      </c>
      <c r="G23" s="19" t="str">
        <f>IF(OccupancyAssumptions[[#This Row],[Space Type]]="","",INDEX('Raw Data - Occupancy'!$V$6:$Z$92,MATCH(OccupancyAssumptions[[#This Row],[Primary Function Area]],'Raw Data - Occupancy'!$V$6:$V$92,0),MATCH('Raw Data - Occupancy'!$X$6,'Raw Data - Occupancy'!$V$6:$Z$6,0)))</f>
        <v/>
      </c>
      <c r="H23" s="19" t="str">
        <f>IF(OccupancyAssumptions[[#This Row],[Space Type]]="","",15)</f>
        <v/>
      </c>
      <c r="I23" s="19">
        <f>IFERROR(INDEX('Raw Data - Occupancy'!$AW$7:$BB$85,MATCH(OccupancyAssumptions[[#This Row],[ASHRAE 2019 Space Type]],'Raw Data - Occupancy'!$AW$7:$AW$85,0),MATCH("#/1000 ft2 (#/100 m2)",'Raw Data - Occupancy'!$AW$7:$BB$7,0)),"")</f>
        <v>25</v>
      </c>
      <c r="J23" s="153" t="str">
        <f>IFERROR(OccupancyAssumptions[[#This Row],[Occupant Density
'[People/1000SF']]]*OccupancyAssumptions[[#This Row],[Area (sqft)]]/1000,"")</f>
        <v/>
      </c>
      <c r="K23" s="20" t="str">
        <f>IF(OccupancyAssumptions[[#This Row],[Occupant Density
'[People/1000SF']]]="","",IF(OccupancyAssumptions[[#This Row],[Occupant Density
'[People/1000SF']]]&gt;=50,"YES","NO"))</f>
        <v>NO</v>
      </c>
      <c r="L23" s="152" t="s">
        <v>345</v>
      </c>
      <c r="M23" s="95">
        <f>IFERROR(INDEX('Raw Data - Occupancy'!$AB$7:$AG$85,MATCH(OccupancyAssumptions[[#This Row],[ASHRAE 2007 Space Type]],'Raw Data - Occupancy'!$AB$7:$AB$85,0),MATCH("Rp (CFM/per)",'Raw Data - Occupancy'!$AB$7:$AG$7,0)),"")</f>
        <v>10</v>
      </c>
      <c r="N23" s="95">
        <f>IFERROR(INDEX('Raw Data - Occupancy'!$AB$7:$AG$85,MATCH(OccupancyAssumptions[[#This Row],[ASHRAE 2007 Space Type]],'Raw Data - Occupancy'!$AB$7:$AB$85,0),MATCH("Ra (cfm/ft2)",'Raw Data - Occupancy'!$AB$7:$AG$7,0)),"")</f>
        <v>0.18</v>
      </c>
      <c r="O23" s="95">
        <f>IFERROR(INDEX('Raw Data - Occupancy'!$AB$7:$AG$85,MATCH(OccupancyAssumptions[[#This Row],[ASHRAE 2007 Space Type]],'Raw Data - Occupancy'!$AB$7:$AB$85,0),MATCH("#/1000 ft2 (#/100 m2)",'Raw Data - Occupancy'!$AB$7:$AG$7,0)),"")</f>
        <v>25</v>
      </c>
      <c r="P23" s="153" t="str">
        <f>IFERROR(OccupancyAssumptions[[#This Row],[ASHRAE 2007 Occupant Density
'[People/1000SF']]]*OccupancyAssumptions[[#This Row],[Area (sqft)]]/1000,"")</f>
        <v/>
      </c>
      <c r="Q23" s="20" t="str">
        <f>IF(OccupancyAssumptions[[#This Row],[ASHRAE 2007 Occupant Density
'[People/1000SF']]]="","",IF(OccupancyAssumptions[[#This Row],[ASHRAE 2007 Occupant Density
'[People/1000SF']]]&gt;=50,"YES","NO"))</f>
        <v>NO</v>
      </c>
      <c r="R23" s="152" t="s">
        <v>345</v>
      </c>
      <c r="S23" s="95">
        <f>IFERROR(INDEX('Raw Data - Occupancy'!$AI$7:$AN$85,MATCH(OccupancyAssumptions[[#This Row],[ASHRAE 2010 Space Type]],'Raw Data - Occupancy'!$AI$7:$AI$85,0),MATCH("Rp (CFM/per)",'Raw Data - Occupancy'!$AI$7:$AN$7,0)),"")</f>
        <v>10</v>
      </c>
      <c r="T23" s="95">
        <f>IFERROR(INDEX('Raw Data - Occupancy'!$AI$7:$AN$85,MATCH(OccupancyAssumptions[[#This Row],[ASHRAE 2010 Space Type]],'Raw Data - Occupancy'!$AI$7:$AI$85,0),MATCH("Ra (cfm/ft2)",'Raw Data - Occupancy'!$AI$7:$AN$7,0)),"")</f>
        <v>0.18</v>
      </c>
      <c r="U23" s="95">
        <f>IFERROR(INDEX('Raw Data - Occupancy'!$AI$7:$AN$85,MATCH(OccupancyAssumptions[[#This Row],[ASHRAE 2010 Space Type]],'Raw Data - Occupancy'!$AI$7:$AI$85,0),MATCH("#/1000 ft2 (#/100 m2)",'Raw Data - Occupancy'!$AI$7:$AN$7,0)),"")</f>
        <v>25</v>
      </c>
      <c r="V23" s="153" t="str">
        <f>IFERROR(OccupancyAssumptions[[#This Row],[ASHRAE 2010 Occupant Density
'[People/1000SF']]]*OccupancyAssumptions[[#This Row],[Area (sqft)]]/1000,"")</f>
        <v/>
      </c>
      <c r="W23" s="20" t="str">
        <f>IF(OccupancyAssumptions[[#This Row],[ASHRAE 2010 Occupant Density
'[People/1000SF']]]="","",IF(OccupancyAssumptions[[#This Row],[ASHRAE 2010 Occupant Density
'[People/1000SF']]]&gt;=50,"YES","NO"))</f>
        <v>NO</v>
      </c>
      <c r="X23" s="152" t="s">
        <v>345</v>
      </c>
      <c r="Y23" s="95">
        <f>IFERROR(INDEX('Raw Data - Occupancy'!$AP$7:$AU$85,MATCH(OccupancyAssumptions[[#This Row],[ASHRAE 2013 Space Type]],'Raw Data - Occupancy'!$AP$7:$AP$85,0),MATCH("Rp (CFM/per)",'Raw Data - Occupancy'!$AP$7:$AU$7,0)),"")</f>
        <v>10</v>
      </c>
      <c r="Z23" s="95">
        <f>IFERROR(INDEX('Raw Data - Occupancy'!$AP$7:$AU$85,MATCH(OccupancyAssumptions[[#This Row],[ASHRAE 2013 Space Type]],'Raw Data - Occupancy'!$AP$7:$AP$85,0),MATCH("Ra (cfm/ft2)",'Raw Data - Occupancy'!$AP$7:$AU$7,0)),"")</f>
        <v>0.18</v>
      </c>
      <c r="AA23" s="95">
        <f>IFERROR(INDEX('Raw Data - Occupancy'!$AP$7:$AU$85,MATCH(OccupancyAssumptions[[#This Row],[ASHRAE 2013 Space Type]],'Raw Data - Occupancy'!$AP$7:$AP$85,0),MATCH("#/1000 ft2 (#/100 m2)",'Raw Data - Occupancy'!$AP$7:$AU$7,0)),"")</f>
        <v>25</v>
      </c>
      <c r="AB23" s="153" t="str">
        <f>IFERROR(OccupancyAssumptions[[#This Row],[ASHRAE 2013 Occupant Density
'[People/1000SF']]]*OccupancyAssumptions[[#This Row],[Area (sqft)]]/1000,"")</f>
        <v/>
      </c>
      <c r="AC23" s="20" t="str">
        <f>IF(OccupancyAssumptions[[#This Row],[ASHRAE 2013 Occupant Density
'[People/1000SF']]]="","",IF(OccupancyAssumptions[[#This Row],[ASHRAE 2013 Occupant Density
'[People/1000SF']]]&gt;=50,"YES","NO"))</f>
        <v>NO</v>
      </c>
      <c r="AD23" s="152" t="s">
        <v>345</v>
      </c>
      <c r="AE23" s="95">
        <f>IFERROR(INDEX('Raw Data - Occupancy'!$AW$7:$BB$85,MATCH(OccupancyAssumptions[[#This Row],[ASHRAE 2016 Space Type]],'Raw Data - Occupancy'!$AW$7:$AW$85,0),MATCH("Rp (CFM/per)",'Raw Data - Occupancy'!$AW$7:$BB$7,0)),"")</f>
        <v>10</v>
      </c>
      <c r="AF23" s="95">
        <f>IFERROR(INDEX('Raw Data - Occupancy'!$AW$7:$BB$85,MATCH(OccupancyAssumptions[[#This Row],[ASHRAE 2016 Space Type]],'Raw Data - Occupancy'!$AW$7:$AW$85,0),MATCH("Ra (cfm/ft2)",'Raw Data - Occupancy'!$AW$7:$BB$7,0)),"")</f>
        <v>0.18</v>
      </c>
      <c r="AG23" s="95">
        <f>IFERROR(INDEX('Raw Data - Occupancy'!$AW$7:$BB$85,MATCH(OccupancyAssumptions[[#This Row],[ASHRAE 2016 Space Type]],'Raw Data - Occupancy'!$AW$7:$AW$85,0),MATCH("#/1000 ft2 (#/100 m2)",'Raw Data - Occupancy'!$AW$7:$BB$7,0)),"")</f>
        <v>25</v>
      </c>
      <c r="AH23" s="153" t="str">
        <f>IFERROR(OccupancyAssumptions[[#This Row],[ASHRAE 2016 Occupant Density
'[People/1000SF']]]*OccupancyAssumptions[[#This Row],[Area (sqft)]]/1000,"")</f>
        <v/>
      </c>
      <c r="AI23" s="20" t="str">
        <f>IF(OccupancyAssumptions[[#This Row],[ASHRAE 2016 Occupant Density
'[People/1000SF']]]="","",IF(OccupancyAssumptions[[#This Row],[ASHRAE 2016 Occupant Density
'[People/1000SF']]]&gt;=50,"YES","NO"))</f>
        <v>NO</v>
      </c>
      <c r="AJ23" s="152" t="s">
        <v>345</v>
      </c>
      <c r="AK23" s="95">
        <f>IFERROR(INDEX('Raw Data - Occupancy'!$BD$7:$BI$85,MATCH(OccupancyAssumptions[[#This Row],[ASHRAE 2019 Space Type]],'Raw Data - Occupancy'!$BD$7:$BD$85,0),MATCH("Rp (CFM/per)",'Raw Data - Occupancy'!$BD$7:$BI$7,0)),"")</f>
        <v>10</v>
      </c>
      <c r="AL23" s="95">
        <f>IFERROR(INDEX('Raw Data - Occupancy'!$BD$7:$BI$85,MATCH(OccupancyAssumptions[[#This Row],[ASHRAE 2019 Space Type]],'Raw Data - Occupancy'!$BD$7:$BD$85,0),MATCH("Ra (cfm/ft2)",'Raw Data - Occupancy'!$BD$7:$BI$7,0)),"")</f>
        <v>0.18</v>
      </c>
      <c r="AM23" s="95">
        <f>IFERROR(INDEX('Raw Data - Occupancy'!$BD$7:$BI$85,MATCH(OccupancyAssumptions[[#This Row],[ASHRAE 2019 Space Type]],'Raw Data - Occupancy'!$BD$7:$BD$85,0),MATCH("#/1000 ft2 (#/100 m2)",'Raw Data - Occupancy'!$BD$7:$BI$7,0)),"")</f>
        <v>25</v>
      </c>
      <c r="AN23" s="155" t="str">
        <f>IFERROR(OccupancyAssumptions[[#This Row],[ASHRAE 2019 Occupant Density
'[People/1000SF']]]*OccupancyAssumptions[[#This Row],[Area (sqft)]]/1000,"")</f>
        <v/>
      </c>
      <c r="AO23" s="156" t="str">
        <f>IF(OccupancyAssumptions[[#This Row],[ASHRAE 2019 Occupant Density
'[People/1000SF']]]="","",IF(OccupancyAssumptions[[#This Row],[ASHRAE 2019 Occupant Density
'[People/1000SF']]]&gt;=50,"YES","NO"))</f>
        <v>NO</v>
      </c>
      <c r="AP23" s="152" t="s">
        <v>214</v>
      </c>
      <c r="AQ23" s="154">
        <v>6</v>
      </c>
      <c r="AR23" s="154">
        <v>2</v>
      </c>
      <c r="AS23" s="471">
        <v>100</v>
      </c>
      <c r="AT23" s="471">
        <f>IFERROR(1000/OccupancyAssumptions[[#This Row],[Design Occupant Density '[SF/Person']]],"-")</f>
        <v>10</v>
      </c>
      <c r="AU23" s="156" t="str">
        <f>IF(OccupancyAssumptions[[#This Row],[Design Occupant Density
'[People/1000SF']]]="-","",IF(OccupancyAssumptions[[#This Row],[Design Occupant Density
'[People/1000SF']]]&gt;=50,"YES","NO"))</f>
        <v>NO</v>
      </c>
      <c r="AV23" s="26" t="s">
        <v>346</v>
      </c>
    </row>
    <row r="24" spans="2:48" x14ac:dyDescent="0.25">
      <c r="B24" s="18">
        <v>7</v>
      </c>
      <c r="C24" s="19" t="str">
        <f>IF('Master Room List'!R22="","",'Master Room List'!R22)</f>
        <v/>
      </c>
      <c r="D24" s="20" t="str">
        <f>IF(OccupancyAssumptions[[#This Row],[Space Type]]="","-",VLOOKUP(OccupancyAssumptions[[#This Row],[Space Type]],MasterRoomList_SpaceTypeSummary[[#All],[SpaceType]:[% of Total Area]],3,FALSE))</f>
        <v>-</v>
      </c>
      <c r="E24" s="152" t="s">
        <v>347</v>
      </c>
      <c r="F24" s="19" t="str">
        <f>IF(OccupancyAssumptions[[#This Row],[Space Type]]="","",INDEX('Raw Data - Occupancy'!$V$6:$Z$92,MATCH(OccupancyAssumptions[[#This Row],[Primary Function Area]],'Raw Data - Occupancy'!$V$6:$V$92,0),MATCH('Raw Data - Occupancy'!$W$6,'Raw Data - Occupancy'!$V$6:$Z$6,0)))</f>
        <v/>
      </c>
      <c r="G24" s="19" t="str">
        <f>IF(OccupancyAssumptions[[#This Row],[Space Type]]="","",INDEX('Raw Data - Occupancy'!$V$6:$Z$92,MATCH(OccupancyAssumptions[[#This Row],[Primary Function Area]],'Raw Data - Occupancy'!$V$6:$V$92,0),MATCH('Raw Data - Occupancy'!$X$6,'Raw Data - Occupancy'!$V$6:$Z$6,0)))</f>
        <v/>
      </c>
      <c r="H24" s="19" t="str">
        <f>IF(OccupancyAssumptions[[#This Row],[Space Type]]="","",15)</f>
        <v/>
      </c>
      <c r="I24" s="19">
        <f>IFERROR(INDEX('Raw Data - Occupancy'!$AW$7:$BB$85,MATCH(OccupancyAssumptions[[#This Row],[ASHRAE 2019 Space Type]],'Raw Data - Occupancy'!$AW$7:$AW$85,0),MATCH("#/1000 ft2 (#/100 m2)",'Raw Data - Occupancy'!$AW$7:$BB$7,0)),"")</f>
        <v>150</v>
      </c>
      <c r="J24" s="153" t="str">
        <f>IFERROR(OccupancyAssumptions[[#This Row],[Occupant Density
'[People/1000SF']]]*OccupancyAssumptions[[#This Row],[Area (sqft)]]/1000,"")</f>
        <v/>
      </c>
      <c r="K24" s="20" t="str">
        <f>IF(OccupancyAssumptions[[#This Row],[Occupant Density
'[People/1000SF']]]="","",IF(OccupancyAssumptions[[#This Row],[Occupant Density
'[People/1000SF']]]&gt;=50,"YES","NO"))</f>
        <v>YES</v>
      </c>
      <c r="L24" s="152" t="s">
        <v>348</v>
      </c>
      <c r="M24" s="95">
        <f>IFERROR(INDEX('Raw Data - Occupancy'!$AB$7:$AG$85,MATCH(OccupancyAssumptions[[#This Row],[ASHRAE 2007 Space Type]],'Raw Data - Occupancy'!$AB$7:$AB$85,0),MATCH("Rp (CFM/per)",'Raw Data - Occupancy'!$AB$7:$AG$7,0)),"")</f>
        <v>5</v>
      </c>
      <c r="N24" s="95">
        <f>IFERROR(INDEX('Raw Data - Occupancy'!$AB$7:$AG$85,MATCH(OccupancyAssumptions[[#This Row],[ASHRAE 2007 Space Type]],'Raw Data - Occupancy'!$AB$7:$AB$85,0),MATCH("Ra (cfm/ft2)",'Raw Data - Occupancy'!$AB$7:$AG$7,0)),"")</f>
        <v>0.06</v>
      </c>
      <c r="O24" s="95">
        <f>IFERROR(INDEX('Raw Data - Occupancy'!$AB$7:$AG$85,MATCH(OccupancyAssumptions[[#This Row],[ASHRAE 2007 Space Type]],'Raw Data - Occupancy'!$AB$7:$AB$85,0),MATCH("#/1000 ft2 (#/100 m2)",'Raw Data - Occupancy'!$AB$7:$AG$7,0)),"")</f>
        <v>150</v>
      </c>
      <c r="P24" s="153" t="str">
        <f>IFERROR(OccupancyAssumptions[[#This Row],[ASHRAE 2007 Occupant Density
'[People/1000SF']]]*OccupancyAssumptions[[#This Row],[Area (sqft)]]/1000,"")</f>
        <v/>
      </c>
      <c r="Q24" s="20" t="str">
        <f>IF(OccupancyAssumptions[[#This Row],[ASHRAE 2007 Occupant Density
'[People/1000SF']]]="","",IF(OccupancyAssumptions[[#This Row],[ASHRAE 2007 Occupant Density
'[People/1000SF']]]&gt;=50,"YES","NO"))</f>
        <v>YES</v>
      </c>
      <c r="R24" s="152" t="s">
        <v>348</v>
      </c>
      <c r="S24" s="95">
        <f>IFERROR(INDEX('Raw Data - Occupancy'!$AI$7:$AN$85,MATCH(OccupancyAssumptions[[#This Row],[ASHRAE 2010 Space Type]],'Raw Data - Occupancy'!$AI$7:$AI$85,0),MATCH("Rp (CFM/per)",'Raw Data - Occupancy'!$AI$7:$AN$7,0)),"")</f>
        <v>5</v>
      </c>
      <c r="T24" s="95">
        <f>IFERROR(INDEX('Raw Data - Occupancy'!$AI$7:$AN$85,MATCH(OccupancyAssumptions[[#This Row],[ASHRAE 2010 Space Type]],'Raw Data - Occupancy'!$AI$7:$AI$85,0),MATCH("Ra (cfm/ft2)",'Raw Data - Occupancy'!$AI$7:$AN$7,0)),"")</f>
        <v>0.06</v>
      </c>
      <c r="U24" s="95">
        <f>IFERROR(INDEX('Raw Data - Occupancy'!$AI$7:$AN$85,MATCH(OccupancyAssumptions[[#This Row],[ASHRAE 2010 Space Type]],'Raw Data - Occupancy'!$AI$7:$AI$85,0),MATCH("#/1000 ft2 (#/100 m2)",'Raw Data - Occupancy'!$AI$7:$AN$7,0)),"")</f>
        <v>150</v>
      </c>
      <c r="V24" s="153" t="str">
        <f>IFERROR(OccupancyAssumptions[[#This Row],[ASHRAE 2010 Occupant Density
'[People/1000SF']]]*OccupancyAssumptions[[#This Row],[Area (sqft)]]/1000,"")</f>
        <v/>
      </c>
      <c r="W24" s="20" t="str">
        <f>IF(OccupancyAssumptions[[#This Row],[ASHRAE 2010 Occupant Density
'[People/1000SF']]]="","",IF(OccupancyAssumptions[[#This Row],[ASHRAE 2010 Occupant Density
'[People/1000SF']]]&gt;=50,"YES","NO"))</f>
        <v>YES</v>
      </c>
      <c r="X24" s="152" t="s">
        <v>348</v>
      </c>
      <c r="Y24" s="95">
        <f>IFERROR(INDEX('Raw Data - Occupancy'!$AP$7:$AU$85,MATCH(OccupancyAssumptions[[#This Row],[ASHRAE 2013 Space Type]],'Raw Data - Occupancy'!$AP$7:$AP$85,0),MATCH("Rp (CFM/per)",'Raw Data - Occupancy'!$AP$7:$AU$7,0)),"")</f>
        <v>5</v>
      </c>
      <c r="Z24" s="95">
        <f>IFERROR(INDEX('Raw Data - Occupancy'!$AP$7:$AU$85,MATCH(OccupancyAssumptions[[#This Row],[ASHRAE 2013 Space Type]],'Raw Data - Occupancy'!$AP$7:$AP$85,0),MATCH("Ra (cfm/ft2)",'Raw Data - Occupancy'!$AP$7:$AU$7,0)),"")</f>
        <v>0.06</v>
      </c>
      <c r="AA24" s="95">
        <f>IFERROR(INDEX('Raw Data - Occupancy'!$AP$7:$AU$85,MATCH(OccupancyAssumptions[[#This Row],[ASHRAE 2013 Space Type]],'Raw Data - Occupancy'!$AP$7:$AP$85,0),MATCH("#/1000 ft2 (#/100 m2)",'Raw Data - Occupancy'!$AP$7:$AU$7,0)),"")</f>
        <v>150</v>
      </c>
      <c r="AB24" s="153" t="str">
        <f>IFERROR(OccupancyAssumptions[[#This Row],[ASHRAE 2013 Occupant Density
'[People/1000SF']]]*OccupancyAssumptions[[#This Row],[Area (sqft)]]/1000,"")</f>
        <v/>
      </c>
      <c r="AC24" s="20" t="str">
        <f>IF(OccupancyAssumptions[[#This Row],[ASHRAE 2013 Occupant Density
'[People/1000SF']]]="","",IF(OccupancyAssumptions[[#This Row],[ASHRAE 2013 Occupant Density
'[People/1000SF']]]&gt;=50,"YES","NO"))</f>
        <v>YES</v>
      </c>
      <c r="AD24" s="152" t="s">
        <v>348</v>
      </c>
      <c r="AE24" s="95">
        <f>IFERROR(INDEX('Raw Data - Occupancy'!$AW$7:$BB$85,MATCH(OccupancyAssumptions[[#This Row],[ASHRAE 2016 Space Type]],'Raw Data - Occupancy'!$AW$7:$AW$85,0),MATCH("Rp (CFM/per)",'Raw Data - Occupancy'!$AW$7:$BB$7,0)),"")</f>
        <v>5</v>
      </c>
      <c r="AF24" s="95">
        <f>IFERROR(INDEX('Raw Data - Occupancy'!$AW$7:$BB$85,MATCH(OccupancyAssumptions[[#This Row],[ASHRAE 2016 Space Type]],'Raw Data - Occupancy'!$AW$7:$AW$85,0),MATCH("Ra (cfm/ft2)",'Raw Data - Occupancy'!$AW$7:$BB$7,0)),"")</f>
        <v>0.06</v>
      </c>
      <c r="AG24" s="95">
        <f>IFERROR(INDEX('Raw Data - Occupancy'!$AW$7:$BB$85,MATCH(OccupancyAssumptions[[#This Row],[ASHRAE 2016 Space Type]],'Raw Data - Occupancy'!$AW$7:$AW$85,0),MATCH("#/1000 ft2 (#/100 m2)",'Raw Data - Occupancy'!$AW$7:$BB$7,0)),"")</f>
        <v>150</v>
      </c>
      <c r="AH24" s="153" t="str">
        <f>IFERROR(OccupancyAssumptions[[#This Row],[ASHRAE 2016 Occupant Density
'[People/1000SF']]]*OccupancyAssumptions[[#This Row],[Area (sqft)]]/1000,"")</f>
        <v/>
      </c>
      <c r="AI24" s="20" t="str">
        <f>IF(OccupancyAssumptions[[#This Row],[ASHRAE 2016 Occupant Density
'[People/1000SF']]]="","",IF(OccupancyAssumptions[[#This Row],[ASHRAE 2016 Occupant Density
'[People/1000SF']]]&gt;=50,"YES","NO"))</f>
        <v>YES</v>
      </c>
      <c r="AJ24" s="152" t="s">
        <v>348</v>
      </c>
      <c r="AK24" s="95">
        <f>IFERROR(INDEX('Raw Data - Occupancy'!$BD$7:$BI$85,MATCH(OccupancyAssumptions[[#This Row],[ASHRAE 2019 Space Type]],'Raw Data - Occupancy'!$BD$7:$BD$85,0),MATCH("Rp (CFM/per)",'Raw Data - Occupancy'!$BD$7:$BI$7,0)),"")</f>
        <v>5</v>
      </c>
      <c r="AL24" s="95">
        <f>IFERROR(INDEX('Raw Data - Occupancy'!$BD$7:$BI$85,MATCH(OccupancyAssumptions[[#This Row],[ASHRAE 2019 Space Type]],'Raw Data - Occupancy'!$BD$7:$BD$85,0),MATCH("Ra (cfm/ft2)",'Raw Data - Occupancy'!$BD$7:$BI$7,0)),"")</f>
        <v>0.06</v>
      </c>
      <c r="AM24" s="95">
        <f>IFERROR(INDEX('Raw Data - Occupancy'!$BD$7:$BI$85,MATCH(OccupancyAssumptions[[#This Row],[ASHRAE 2019 Space Type]],'Raw Data - Occupancy'!$BD$7:$BD$85,0),MATCH("#/1000 ft2 (#/100 m2)",'Raw Data - Occupancy'!$BD$7:$BI$7,0)),"")</f>
        <v>150</v>
      </c>
      <c r="AN24" s="155" t="str">
        <f>IFERROR(OccupancyAssumptions[[#This Row],[ASHRAE 2019 Occupant Density
'[People/1000SF']]]*OccupancyAssumptions[[#This Row],[Area (sqft)]]/1000,"")</f>
        <v/>
      </c>
      <c r="AO24" s="156" t="str">
        <f>IF(OccupancyAssumptions[[#This Row],[ASHRAE 2019 Occupant Density
'[People/1000SF']]]="","",IF(OccupancyAssumptions[[#This Row],[ASHRAE 2019 Occupant Density
'[People/1000SF']]]&gt;=50,"YES","NO"))</f>
        <v>YES</v>
      </c>
      <c r="AP24" s="152" t="s">
        <v>214</v>
      </c>
      <c r="AQ24" s="154">
        <v>4</v>
      </c>
      <c r="AR24" s="154">
        <v>2</v>
      </c>
      <c r="AS24" s="471">
        <v>35</v>
      </c>
      <c r="AT24" s="471">
        <f>IFERROR(1000/OccupancyAssumptions[[#This Row],[Design Occupant Density '[SF/Person']]],"-")</f>
        <v>28.571428571428573</v>
      </c>
      <c r="AU24" s="156" t="str">
        <f>IF(OccupancyAssumptions[[#This Row],[Design Occupant Density
'[People/1000SF']]]="-","",IF(OccupancyAssumptions[[#This Row],[Design Occupant Density
'[People/1000SF']]]&gt;=50,"YES","NO"))</f>
        <v>NO</v>
      </c>
      <c r="AV24" s="26" t="s">
        <v>349</v>
      </c>
    </row>
    <row r="25" spans="2:48" x14ac:dyDescent="0.25">
      <c r="B25" s="18">
        <v>8</v>
      </c>
      <c r="C25" s="19" t="str">
        <f>IF('Master Room List'!R23="","",'Master Room List'!R23)</f>
        <v/>
      </c>
      <c r="D25" s="20" t="str">
        <f>IF(OccupancyAssumptions[[#This Row],[Space Type]]="","-",VLOOKUP(OccupancyAssumptions[[#This Row],[Space Type]],MasterRoomList_SpaceTypeSummary[[#All],[SpaceType]:[% of Total Area]],3,FALSE))</f>
        <v>-</v>
      </c>
      <c r="E25" s="152" t="s">
        <v>350</v>
      </c>
      <c r="F25" s="19" t="str">
        <f>IF(OccupancyAssumptions[[#This Row],[Space Type]]="","",INDEX('Raw Data - Occupancy'!$V$6:$Z$92,MATCH(OccupancyAssumptions[[#This Row],[Primary Function Area]],'Raw Data - Occupancy'!$V$6:$V$92,0),MATCH('Raw Data - Occupancy'!$W$6,'Raw Data - Occupancy'!$V$6:$Z$6,0)))</f>
        <v/>
      </c>
      <c r="G25" s="19" t="str">
        <f>IF(OccupancyAssumptions[[#This Row],[Space Type]]="","",INDEX('Raw Data - Occupancy'!$V$6:$Z$92,MATCH(OccupancyAssumptions[[#This Row],[Primary Function Area]],'Raw Data - Occupancy'!$V$6:$V$92,0),MATCH('Raw Data - Occupancy'!$X$6,'Raw Data - Occupancy'!$V$6:$Z$6,0)))</f>
        <v/>
      </c>
      <c r="H25" s="19" t="str">
        <f>IF(OccupancyAssumptions[[#This Row],[Space Type]]="","",15)</f>
        <v/>
      </c>
      <c r="I25" s="19">
        <f>IFERROR(INDEX('Raw Data - Occupancy'!$AW$7:$BB$85,MATCH(OccupancyAssumptions[[#This Row],[ASHRAE 2019 Space Type]],'Raw Data - Occupancy'!$AW$7:$AW$85,0),MATCH("#/1000 ft2 (#/100 m2)",'Raw Data - Occupancy'!$AW$7:$BB$7,0)),"")</f>
        <v>50</v>
      </c>
      <c r="J25" s="153" t="str">
        <f>IFERROR(OccupancyAssumptions[[#This Row],[Occupant Density
'[People/1000SF']]]*OccupancyAssumptions[[#This Row],[Area (sqft)]]/1000,"")</f>
        <v/>
      </c>
      <c r="K25" s="20" t="str">
        <f>IF(OccupancyAssumptions[[#This Row],[Occupant Density
'[People/1000SF']]]="","",IF(OccupancyAssumptions[[#This Row],[Occupant Density
'[People/1000SF']]]&gt;=50,"YES","NO"))</f>
        <v>YES</v>
      </c>
      <c r="L25" s="152" t="s">
        <v>351</v>
      </c>
      <c r="M25" s="95">
        <f>IFERROR(INDEX('Raw Data - Occupancy'!$AB$7:$AG$85,MATCH(OccupancyAssumptions[[#This Row],[ASHRAE 2007 Space Type]],'Raw Data - Occupancy'!$AB$7:$AB$85,0),MATCH("Rp (CFM/per)",'Raw Data - Occupancy'!$AB$7:$AG$7,0)),"")</f>
        <v>5</v>
      </c>
      <c r="N25" s="95">
        <f>IFERROR(INDEX('Raw Data - Occupancy'!$AB$7:$AG$85,MATCH(OccupancyAssumptions[[#This Row],[ASHRAE 2007 Space Type]],'Raw Data - Occupancy'!$AB$7:$AB$85,0),MATCH("Ra (cfm/ft2)",'Raw Data - Occupancy'!$AB$7:$AG$7,0)),"")</f>
        <v>0.12</v>
      </c>
      <c r="O25" s="95">
        <f>IFERROR(INDEX('Raw Data - Occupancy'!$AB$7:$AG$85,MATCH(OccupancyAssumptions[[#This Row],[ASHRAE 2007 Space Type]],'Raw Data - Occupancy'!$AB$7:$AB$85,0),MATCH("#/1000 ft2 (#/100 m2)",'Raw Data - Occupancy'!$AB$7:$AG$7,0)),"")</f>
        <v>50</v>
      </c>
      <c r="P25" s="153" t="str">
        <f>IFERROR(OccupancyAssumptions[[#This Row],[ASHRAE 2007 Occupant Density
'[People/1000SF']]]*OccupancyAssumptions[[#This Row],[Area (sqft)]]/1000,"")</f>
        <v/>
      </c>
      <c r="Q25" s="20" t="str">
        <f>IF(OccupancyAssumptions[[#This Row],[ASHRAE 2007 Occupant Density
'[People/1000SF']]]="","",IF(OccupancyAssumptions[[#This Row],[ASHRAE 2007 Occupant Density
'[People/1000SF']]]&gt;=50,"YES","NO"))</f>
        <v>YES</v>
      </c>
      <c r="R25" s="152" t="s">
        <v>351</v>
      </c>
      <c r="S25" s="95">
        <f>IFERROR(INDEX('Raw Data - Occupancy'!$AI$7:$AN$85,MATCH(OccupancyAssumptions[[#This Row],[ASHRAE 2010 Space Type]],'Raw Data - Occupancy'!$AI$7:$AI$85,0),MATCH("Rp (CFM/per)",'Raw Data - Occupancy'!$AI$7:$AN$7,0)),"")</f>
        <v>5</v>
      </c>
      <c r="T25" s="95">
        <f>IFERROR(INDEX('Raw Data - Occupancy'!$AI$7:$AN$85,MATCH(OccupancyAssumptions[[#This Row],[ASHRAE 2010 Space Type]],'Raw Data - Occupancy'!$AI$7:$AI$85,0),MATCH("Ra (cfm/ft2)",'Raw Data - Occupancy'!$AI$7:$AN$7,0)),"")</f>
        <v>0.12</v>
      </c>
      <c r="U25" s="95">
        <f>IFERROR(INDEX('Raw Data - Occupancy'!$AI$7:$AN$85,MATCH(OccupancyAssumptions[[#This Row],[ASHRAE 2010 Space Type]],'Raw Data - Occupancy'!$AI$7:$AI$85,0),MATCH("#/1000 ft2 (#/100 m2)",'Raw Data - Occupancy'!$AI$7:$AN$7,0)),"")</f>
        <v>50</v>
      </c>
      <c r="V25" s="153" t="str">
        <f>IFERROR(OccupancyAssumptions[[#This Row],[ASHRAE 2010 Occupant Density
'[People/1000SF']]]*OccupancyAssumptions[[#This Row],[Area (sqft)]]/1000,"")</f>
        <v/>
      </c>
      <c r="W25" s="20" t="str">
        <f>IF(OccupancyAssumptions[[#This Row],[ASHRAE 2010 Occupant Density
'[People/1000SF']]]="","",IF(OccupancyAssumptions[[#This Row],[ASHRAE 2010 Occupant Density
'[People/1000SF']]]&gt;=50,"YES","NO"))</f>
        <v>YES</v>
      </c>
      <c r="X25" s="152" t="s">
        <v>351</v>
      </c>
      <c r="Y25" s="95">
        <f>IFERROR(INDEX('Raw Data - Occupancy'!$AP$7:$AU$85,MATCH(OccupancyAssumptions[[#This Row],[ASHRAE 2013 Space Type]],'Raw Data - Occupancy'!$AP$7:$AP$85,0),MATCH("Rp (CFM/per)",'Raw Data - Occupancy'!$AP$7:$AU$7,0)),"")</f>
        <v>5</v>
      </c>
      <c r="Z25" s="95">
        <f>IFERROR(INDEX('Raw Data - Occupancy'!$AP$7:$AU$85,MATCH(OccupancyAssumptions[[#This Row],[ASHRAE 2013 Space Type]],'Raw Data - Occupancy'!$AP$7:$AP$85,0),MATCH("Ra (cfm/ft2)",'Raw Data - Occupancy'!$AP$7:$AU$7,0)),"")</f>
        <v>0.12</v>
      </c>
      <c r="AA25" s="95">
        <f>IFERROR(INDEX('Raw Data - Occupancy'!$AP$7:$AU$85,MATCH(OccupancyAssumptions[[#This Row],[ASHRAE 2013 Space Type]],'Raw Data - Occupancy'!$AP$7:$AP$85,0),MATCH("#/1000 ft2 (#/100 m2)",'Raw Data - Occupancy'!$AP$7:$AU$7,0)),"")</f>
        <v>50</v>
      </c>
      <c r="AB25" s="153" t="str">
        <f>IFERROR(OccupancyAssumptions[[#This Row],[ASHRAE 2013 Occupant Density
'[People/1000SF']]]*OccupancyAssumptions[[#This Row],[Area (sqft)]]/1000,"")</f>
        <v/>
      </c>
      <c r="AC25" s="20" t="str">
        <f>IF(OccupancyAssumptions[[#This Row],[ASHRAE 2013 Occupant Density
'[People/1000SF']]]="","",IF(OccupancyAssumptions[[#This Row],[ASHRAE 2013 Occupant Density
'[People/1000SF']]]&gt;=50,"YES","NO"))</f>
        <v>YES</v>
      </c>
      <c r="AD25" s="152" t="s">
        <v>351</v>
      </c>
      <c r="AE25" s="95">
        <f>IFERROR(INDEX('Raw Data - Occupancy'!$AW$7:$BB$85,MATCH(OccupancyAssumptions[[#This Row],[ASHRAE 2016 Space Type]],'Raw Data - Occupancy'!$AW$7:$AW$85,0),MATCH("Rp (CFM/per)",'Raw Data - Occupancy'!$AW$7:$BB$7,0)),"")</f>
        <v>5</v>
      </c>
      <c r="AF25" s="95">
        <f>IFERROR(INDEX('Raw Data - Occupancy'!$AW$7:$BB$85,MATCH(OccupancyAssumptions[[#This Row],[ASHRAE 2016 Space Type]],'Raw Data - Occupancy'!$AW$7:$AW$85,0),MATCH("Ra (cfm/ft2)",'Raw Data - Occupancy'!$AW$7:$BB$7,0)),"")</f>
        <v>0.12</v>
      </c>
      <c r="AG25" s="95">
        <f>IFERROR(INDEX('Raw Data - Occupancy'!$AW$7:$BB$85,MATCH(OccupancyAssumptions[[#This Row],[ASHRAE 2016 Space Type]],'Raw Data - Occupancy'!$AW$7:$AW$85,0),MATCH("#/1000 ft2 (#/100 m2)",'Raw Data - Occupancy'!$AW$7:$BB$7,0)),"")</f>
        <v>50</v>
      </c>
      <c r="AH25" s="153" t="str">
        <f>IFERROR(OccupancyAssumptions[[#This Row],[ASHRAE 2016 Occupant Density
'[People/1000SF']]]*OccupancyAssumptions[[#This Row],[Area (sqft)]]/1000,"")</f>
        <v/>
      </c>
      <c r="AI25" s="20" t="str">
        <f>IF(OccupancyAssumptions[[#This Row],[ASHRAE 2016 Occupant Density
'[People/1000SF']]]="","",IF(OccupancyAssumptions[[#This Row],[ASHRAE 2016 Occupant Density
'[People/1000SF']]]&gt;=50,"YES","NO"))</f>
        <v>YES</v>
      </c>
      <c r="AJ25" s="152" t="s">
        <v>351</v>
      </c>
      <c r="AK25" s="95">
        <f>IFERROR(INDEX('Raw Data - Occupancy'!$BD$7:$BI$85,MATCH(OccupancyAssumptions[[#This Row],[ASHRAE 2019 Space Type]],'Raw Data - Occupancy'!$BD$7:$BD$85,0),MATCH("Rp (CFM/per)",'Raw Data - Occupancy'!$BD$7:$BI$7,0)),"")</f>
        <v>5</v>
      </c>
      <c r="AL25" s="95">
        <f>IFERROR(INDEX('Raw Data - Occupancy'!$BD$7:$BI$85,MATCH(OccupancyAssumptions[[#This Row],[ASHRAE 2019 Space Type]],'Raw Data - Occupancy'!$BD$7:$BD$85,0),MATCH("Ra (cfm/ft2)",'Raw Data - Occupancy'!$BD$7:$BI$7,0)),"")</f>
        <v>0.12</v>
      </c>
      <c r="AM25" s="95">
        <f>IFERROR(INDEX('Raw Data - Occupancy'!$BD$7:$BI$85,MATCH(OccupancyAssumptions[[#This Row],[ASHRAE 2019 Space Type]],'Raw Data - Occupancy'!$BD$7:$BD$85,0),MATCH("#/1000 ft2 (#/100 m2)",'Raw Data - Occupancy'!$BD$7:$BI$7,0)),"")</f>
        <v>50</v>
      </c>
      <c r="AN25" s="155" t="str">
        <f>IFERROR(OccupancyAssumptions[[#This Row],[ASHRAE 2019 Occupant Density
'[People/1000SF']]]*OccupancyAssumptions[[#This Row],[Area (sqft)]]/1000,"")</f>
        <v/>
      </c>
      <c r="AO25" s="156" t="str">
        <f>IF(OccupancyAssumptions[[#This Row],[ASHRAE 2019 Occupant Density
'[People/1000SF']]]="","",IF(OccupancyAssumptions[[#This Row],[ASHRAE 2019 Occupant Density
'[People/1000SF']]]&gt;=50,"YES","NO"))</f>
        <v>YES</v>
      </c>
      <c r="AP25" s="152" t="s">
        <v>214</v>
      </c>
      <c r="AQ25" s="154">
        <v>4</v>
      </c>
      <c r="AR25" s="154">
        <v>2</v>
      </c>
      <c r="AS25" s="471">
        <v>40</v>
      </c>
      <c r="AT25" s="471">
        <f>IFERROR(1000/OccupancyAssumptions[[#This Row],[Design Occupant Density '[SF/Person']]],"-")</f>
        <v>25</v>
      </c>
      <c r="AU25" s="156" t="str">
        <f>IF(OccupancyAssumptions[[#This Row],[Design Occupant Density
'[People/1000SF']]]="-","",IF(OccupancyAssumptions[[#This Row],[Design Occupant Density
'[People/1000SF']]]&gt;=50,"YES","NO"))</f>
        <v>NO</v>
      </c>
      <c r="AV25" s="26"/>
    </row>
    <row r="26" spans="2:48" x14ac:dyDescent="0.25">
      <c r="B26" s="18">
        <v>9</v>
      </c>
      <c r="C26" s="19" t="str">
        <f>IF('Master Room List'!R24="","",'Master Room List'!R24)</f>
        <v/>
      </c>
      <c r="D26" s="20" t="str">
        <f>IF(OccupancyAssumptions[[#This Row],[Space Type]]="","-",VLOOKUP(OccupancyAssumptions[[#This Row],[Space Type]],MasterRoomList_SpaceTypeSummary[[#All],[SpaceType]:[% of Total Area]],3,FALSE))</f>
        <v>-</v>
      </c>
      <c r="E26" s="152" t="s">
        <v>343</v>
      </c>
      <c r="F26" s="19" t="str">
        <f>IF(OccupancyAssumptions[[#This Row],[Space Type]]="","",INDEX('Raw Data - Occupancy'!$V$6:$Z$92,MATCH(OccupancyAssumptions[[#This Row],[Primary Function Area]],'Raw Data - Occupancy'!$V$6:$V$92,0),MATCH('Raw Data - Occupancy'!$W$6,'Raw Data - Occupancy'!$V$6:$Z$6,0)))</f>
        <v/>
      </c>
      <c r="G26" s="19" t="str">
        <f>IF(OccupancyAssumptions[[#This Row],[Space Type]]="","",INDEX('Raw Data - Occupancy'!$V$6:$Z$92,MATCH(OccupancyAssumptions[[#This Row],[Primary Function Area]],'Raw Data - Occupancy'!$V$6:$V$92,0),MATCH('Raw Data - Occupancy'!$X$6,'Raw Data - Occupancy'!$V$6:$Z$6,0)))</f>
        <v/>
      </c>
      <c r="H26" s="19" t="str">
        <f>IF(OccupancyAssumptions[[#This Row],[Space Type]]="","",15)</f>
        <v/>
      </c>
      <c r="I26" s="19">
        <f>IFERROR(INDEX('Raw Data - Occupancy'!$AW$7:$BB$85,MATCH(OccupancyAssumptions[[#This Row],[ASHRAE 2019 Space Type]],'Raw Data - Occupancy'!$AW$7:$AW$85,0),MATCH("#/1000 ft2 (#/100 m2)",'Raw Data - Occupancy'!$AW$7:$BB$7,0)),"")</f>
        <v>5</v>
      </c>
      <c r="J26" s="153" t="str">
        <f>IFERROR(OccupancyAssumptions[[#This Row],[Occupant Density
'[People/1000SF']]]*OccupancyAssumptions[[#This Row],[Area (sqft)]]/1000,"")</f>
        <v/>
      </c>
      <c r="K26" s="20" t="str">
        <f>IF(OccupancyAssumptions[[#This Row],[Occupant Density
'[People/1000SF']]]="","",IF(OccupancyAssumptions[[#This Row],[Occupant Density
'[People/1000SF']]]&gt;=50,"YES","NO"))</f>
        <v>NO</v>
      </c>
      <c r="L26" s="152" t="s">
        <v>344</v>
      </c>
      <c r="M26" s="95">
        <f>IFERROR(INDEX('Raw Data - Occupancy'!$AB$7:$AG$85,MATCH(OccupancyAssumptions[[#This Row],[ASHRAE 2007 Space Type]],'Raw Data - Occupancy'!$AB$7:$AB$85,0),MATCH("Rp (CFM/per)",'Raw Data - Occupancy'!$AB$7:$AG$7,0)),"")</f>
        <v>5</v>
      </c>
      <c r="N26" s="95">
        <f>IFERROR(INDEX('Raw Data - Occupancy'!$AB$7:$AG$85,MATCH(OccupancyAssumptions[[#This Row],[ASHRAE 2007 Space Type]],'Raw Data - Occupancy'!$AB$7:$AB$85,0),MATCH("Ra (cfm/ft2)",'Raw Data - Occupancy'!$AB$7:$AG$7,0)),"")</f>
        <v>0.06</v>
      </c>
      <c r="O26" s="95">
        <f>IFERROR(INDEX('Raw Data - Occupancy'!$AB$7:$AG$85,MATCH(OccupancyAssumptions[[#This Row],[ASHRAE 2007 Space Type]],'Raw Data - Occupancy'!$AB$7:$AB$85,0),MATCH("#/1000 ft2 (#/100 m2)",'Raw Data - Occupancy'!$AB$7:$AG$7,0)),"")</f>
        <v>5</v>
      </c>
      <c r="P26" s="153" t="str">
        <f>IFERROR(OccupancyAssumptions[[#This Row],[ASHRAE 2007 Occupant Density
'[People/1000SF']]]*OccupancyAssumptions[[#This Row],[Area (sqft)]]/1000,"")</f>
        <v/>
      </c>
      <c r="Q26" s="20" t="str">
        <f>IF(OccupancyAssumptions[[#This Row],[ASHRAE 2007 Occupant Density
'[People/1000SF']]]="","",IF(OccupancyAssumptions[[#This Row],[ASHRAE 2007 Occupant Density
'[People/1000SF']]]&gt;=50,"YES","NO"))</f>
        <v>NO</v>
      </c>
      <c r="R26" s="152" t="s">
        <v>344</v>
      </c>
      <c r="S26" s="95">
        <f>IFERROR(INDEX('Raw Data - Occupancy'!$AI$7:$AN$85,MATCH(OccupancyAssumptions[[#This Row],[ASHRAE 2010 Space Type]],'Raw Data - Occupancy'!$AI$7:$AI$85,0),MATCH("Rp (CFM/per)",'Raw Data - Occupancy'!$AI$7:$AN$7,0)),"")</f>
        <v>5</v>
      </c>
      <c r="T26" s="95">
        <f>IFERROR(INDEX('Raw Data - Occupancy'!$AI$7:$AN$85,MATCH(OccupancyAssumptions[[#This Row],[ASHRAE 2010 Space Type]],'Raw Data - Occupancy'!$AI$7:$AI$85,0),MATCH("Ra (cfm/ft2)",'Raw Data - Occupancy'!$AI$7:$AN$7,0)),"")</f>
        <v>0.06</v>
      </c>
      <c r="U26" s="95">
        <f>IFERROR(INDEX('Raw Data - Occupancy'!$AI$7:$AN$85,MATCH(OccupancyAssumptions[[#This Row],[ASHRAE 2010 Space Type]],'Raw Data - Occupancy'!$AI$7:$AI$85,0),MATCH("#/1000 ft2 (#/100 m2)",'Raw Data - Occupancy'!$AI$7:$AN$7,0)),"")</f>
        <v>5</v>
      </c>
      <c r="V26" s="153" t="str">
        <f>IFERROR(OccupancyAssumptions[[#This Row],[ASHRAE 2010 Occupant Density
'[People/1000SF']]]*OccupancyAssumptions[[#This Row],[Area (sqft)]]/1000,"")</f>
        <v/>
      </c>
      <c r="W26" s="20" t="str">
        <f>IF(OccupancyAssumptions[[#This Row],[ASHRAE 2010 Occupant Density
'[People/1000SF']]]="","",IF(OccupancyAssumptions[[#This Row],[ASHRAE 2010 Occupant Density
'[People/1000SF']]]&gt;=50,"YES","NO"))</f>
        <v>NO</v>
      </c>
      <c r="X26" s="152" t="s">
        <v>344</v>
      </c>
      <c r="Y26" s="95">
        <f>IFERROR(INDEX('Raw Data - Occupancy'!$AP$7:$AU$85,MATCH(OccupancyAssumptions[[#This Row],[ASHRAE 2013 Space Type]],'Raw Data - Occupancy'!$AP$7:$AP$85,0),MATCH("Rp (CFM/per)",'Raw Data - Occupancy'!$AP$7:$AU$7,0)),"")</f>
        <v>5</v>
      </c>
      <c r="Z26" s="95">
        <f>IFERROR(INDEX('Raw Data - Occupancy'!$AP$7:$AU$85,MATCH(OccupancyAssumptions[[#This Row],[ASHRAE 2013 Space Type]],'Raw Data - Occupancy'!$AP$7:$AP$85,0),MATCH("Ra (cfm/ft2)",'Raw Data - Occupancy'!$AP$7:$AU$7,0)),"")</f>
        <v>0.06</v>
      </c>
      <c r="AA26" s="95">
        <f>IFERROR(INDEX('Raw Data - Occupancy'!$AP$7:$AU$85,MATCH(OccupancyAssumptions[[#This Row],[ASHRAE 2013 Space Type]],'Raw Data - Occupancy'!$AP$7:$AP$85,0),MATCH("#/1000 ft2 (#/100 m2)",'Raw Data - Occupancy'!$AP$7:$AU$7,0)),"")</f>
        <v>5</v>
      </c>
      <c r="AB26" s="153" t="str">
        <f>IFERROR(OccupancyAssumptions[[#This Row],[ASHRAE 2013 Occupant Density
'[People/1000SF']]]*OccupancyAssumptions[[#This Row],[Area (sqft)]]/1000,"")</f>
        <v/>
      </c>
      <c r="AC26" s="20" t="str">
        <f>IF(OccupancyAssumptions[[#This Row],[ASHRAE 2013 Occupant Density
'[People/1000SF']]]="","",IF(OccupancyAssumptions[[#This Row],[ASHRAE 2013 Occupant Density
'[People/1000SF']]]&gt;=50,"YES","NO"))</f>
        <v>NO</v>
      </c>
      <c r="AD26" s="152" t="s">
        <v>344</v>
      </c>
      <c r="AE26" s="95">
        <f>IFERROR(INDEX('Raw Data - Occupancy'!$AW$7:$BB$85,MATCH(OccupancyAssumptions[[#This Row],[ASHRAE 2016 Space Type]],'Raw Data - Occupancy'!$AW$7:$AW$85,0),MATCH("Rp (CFM/per)",'Raw Data - Occupancy'!$AW$7:$BB$7,0)),"")</f>
        <v>5</v>
      </c>
      <c r="AF26" s="95">
        <f>IFERROR(INDEX('Raw Data - Occupancy'!$AW$7:$BB$85,MATCH(OccupancyAssumptions[[#This Row],[ASHRAE 2016 Space Type]],'Raw Data - Occupancy'!$AW$7:$AW$85,0),MATCH("Ra (cfm/ft2)",'Raw Data - Occupancy'!$AW$7:$BB$7,0)),"")</f>
        <v>0.06</v>
      </c>
      <c r="AG26" s="95">
        <f>IFERROR(INDEX('Raw Data - Occupancy'!$AW$7:$BB$85,MATCH(OccupancyAssumptions[[#This Row],[ASHRAE 2016 Space Type]],'Raw Data - Occupancy'!$AW$7:$AW$85,0),MATCH("#/1000 ft2 (#/100 m2)",'Raw Data - Occupancy'!$AW$7:$BB$7,0)),"")</f>
        <v>5</v>
      </c>
      <c r="AH26" s="153" t="str">
        <f>IFERROR(OccupancyAssumptions[[#This Row],[ASHRAE 2016 Occupant Density
'[People/1000SF']]]*OccupancyAssumptions[[#This Row],[Area (sqft)]]/1000,"")</f>
        <v/>
      </c>
      <c r="AI26" s="20" t="str">
        <f>IF(OccupancyAssumptions[[#This Row],[ASHRAE 2016 Occupant Density
'[People/1000SF']]]="","",IF(OccupancyAssumptions[[#This Row],[ASHRAE 2016 Occupant Density
'[People/1000SF']]]&gt;=50,"YES","NO"))</f>
        <v>NO</v>
      </c>
      <c r="AJ26" s="152" t="s">
        <v>344</v>
      </c>
      <c r="AK26" s="95">
        <f>IFERROR(INDEX('Raw Data - Occupancy'!$BD$7:$BI$85,MATCH(OccupancyAssumptions[[#This Row],[ASHRAE 2019 Space Type]],'Raw Data - Occupancy'!$BD$7:$BD$85,0),MATCH("Rp (CFM/per)",'Raw Data - Occupancy'!$BD$7:$BI$7,0)),"")</f>
        <v>5</v>
      </c>
      <c r="AL26" s="95">
        <f>IFERROR(INDEX('Raw Data - Occupancy'!$BD$7:$BI$85,MATCH(OccupancyAssumptions[[#This Row],[ASHRAE 2019 Space Type]],'Raw Data - Occupancy'!$BD$7:$BD$85,0),MATCH("Ra (cfm/ft2)",'Raw Data - Occupancy'!$BD$7:$BI$7,0)),"")</f>
        <v>0.06</v>
      </c>
      <c r="AM26" s="95">
        <f>IFERROR(INDEX('Raw Data - Occupancy'!$BD$7:$BI$85,MATCH(OccupancyAssumptions[[#This Row],[ASHRAE 2019 Space Type]],'Raw Data - Occupancy'!$BD$7:$BD$85,0),MATCH("#/1000 ft2 (#/100 m2)",'Raw Data - Occupancy'!$BD$7:$BI$7,0)),"")</f>
        <v>5</v>
      </c>
      <c r="AN26" s="155" t="str">
        <f>IFERROR(OccupancyAssumptions[[#This Row],[ASHRAE 2019 Occupant Density
'[People/1000SF']]]*OccupancyAssumptions[[#This Row],[Area (sqft)]]/1000,"")</f>
        <v/>
      </c>
      <c r="AO26" s="156" t="str">
        <f>IF(OccupancyAssumptions[[#This Row],[ASHRAE 2019 Occupant Density
'[People/1000SF']]]="","",IF(OccupancyAssumptions[[#This Row],[ASHRAE 2019 Occupant Density
'[People/1000SF']]]&gt;=50,"YES","NO"))</f>
        <v>NO</v>
      </c>
      <c r="AP26" s="152" t="s">
        <v>214</v>
      </c>
      <c r="AQ26" s="154">
        <v>4</v>
      </c>
      <c r="AR26" s="154">
        <v>2</v>
      </c>
      <c r="AS26" s="471">
        <v>200</v>
      </c>
      <c r="AT26" s="471">
        <f>IFERROR(1000/OccupancyAssumptions[[#This Row],[Design Occupant Density '[SF/Person']]],"-")</f>
        <v>5</v>
      </c>
      <c r="AU26" s="156" t="str">
        <f>IF(OccupancyAssumptions[[#This Row],[Design Occupant Density
'[People/1000SF']]]="-","",IF(OccupancyAssumptions[[#This Row],[Design Occupant Density
'[People/1000SF']]]&gt;=50,"YES","NO"))</f>
        <v>NO</v>
      </c>
      <c r="AV26" s="26"/>
    </row>
    <row r="27" spans="2:48" x14ac:dyDescent="0.25">
      <c r="B27" s="18">
        <v>10</v>
      </c>
      <c r="C27" s="19" t="str">
        <f>IF('Master Room List'!R25="","",'Master Room List'!R25)</f>
        <v/>
      </c>
      <c r="D27" s="20" t="str">
        <f>IF(OccupancyAssumptions[[#This Row],[Space Type]]="","-",VLOOKUP(OccupancyAssumptions[[#This Row],[Space Type]],MasterRoomList_SpaceTypeSummary[[#All],[SpaceType]:[% of Total Area]],3,FALSE))</f>
        <v>-</v>
      </c>
      <c r="E27" s="152" t="s">
        <v>343</v>
      </c>
      <c r="F27" s="19" t="str">
        <f>IF(OccupancyAssumptions[[#This Row],[Space Type]]="","",INDEX('Raw Data - Occupancy'!$V$6:$Z$92,MATCH(OccupancyAssumptions[[#This Row],[Primary Function Area]],'Raw Data - Occupancy'!$V$6:$V$92,0),MATCH('Raw Data - Occupancy'!$W$6,'Raw Data - Occupancy'!$V$6:$Z$6,0)))</f>
        <v/>
      </c>
      <c r="G27" s="19" t="str">
        <f>IF(OccupancyAssumptions[[#This Row],[Space Type]]="","",INDEX('Raw Data - Occupancy'!$V$6:$Z$92,MATCH(OccupancyAssumptions[[#This Row],[Primary Function Area]],'Raw Data - Occupancy'!$V$6:$V$92,0),MATCH('Raw Data - Occupancy'!$X$6,'Raw Data - Occupancy'!$V$6:$Z$6,0)))</f>
        <v/>
      </c>
      <c r="H27" s="19" t="str">
        <f>IF(OccupancyAssumptions[[#This Row],[Space Type]]="","",15)</f>
        <v/>
      </c>
      <c r="I27" s="19">
        <f>IFERROR(INDEX('Raw Data - Occupancy'!$AW$7:$BB$85,MATCH(OccupancyAssumptions[[#This Row],[ASHRAE 2019 Space Type]],'Raw Data - Occupancy'!$AW$7:$AW$85,0),MATCH("#/1000 ft2 (#/100 m2)",'Raw Data - Occupancy'!$AW$7:$BB$7,0)),"")</f>
        <v>5</v>
      </c>
      <c r="J27" s="153" t="str">
        <f>IFERROR(OccupancyAssumptions[[#This Row],[Occupant Density
'[People/1000SF']]]*OccupancyAssumptions[[#This Row],[Area (sqft)]]/1000,"")</f>
        <v/>
      </c>
      <c r="K27" s="20" t="str">
        <f>IF(OccupancyAssumptions[[#This Row],[Occupant Density
'[People/1000SF']]]="","",IF(OccupancyAssumptions[[#This Row],[Occupant Density
'[People/1000SF']]]&gt;=50,"YES","NO"))</f>
        <v>NO</v>
      </c>
      <c r="L27" s="152" t="s">
        <v>344</v>
      </c>
      <c r="M27" s="95">
        <f>IFERROR(INDEX('Raw Data - Occupancy'!$AB$7:$AG$85,MATCH(OccupancyAssumptions[[#This Row],[ASHRAE 2007 Space Type]],'Raw Data - Occupancy'!$AB$7:$AB$85,0),MATCH("Rp (CFM/per)",'Raw Data - Occupancy'!$AB$7:$AG$7,0)),"")</f>
        <v>5</v>
      </c>
      <c r="N27" s="95">
        <f>IFERROR(INDEX('Raw Data - Occupancy'!$AB$7:$AG$85,MATCH(OccupancyAssumptions[[#This Row],[ASHRAE 2007 Space Type]],'Raw Data - Occupancy'!$AB$7:$AB$85,0),MATCH("Ra (cfm/ft2)",'Raw Data - Occupancy'!$AB$7:$AG$7,0)),"")</f>
        <v>0.06</v>
      </c>
      <c r="O27" s="95">
        <f>IFERROR(INDEX('Raw Data - Occupancy'!$AB$7:$AG$85,MATCH(OccupancyAssumptions[[#This Row],[ASHRAE 2007 Space Type]],'Raw Data - Occupancy'!$AB$7:$AB$85,0),MATCH("#/1000 ft2 (#/100 m2)",'Raw Data - Occupancy'!$AB$7:$AG$7,0)),"")</f>
        <v>5</v>
      </c>
      <c r="P27" s="153" t="str">
        <f>IFERROR(OccupancyAssumptions[[#This Row],[ASHRAE 2007 Occupant Density
'[People/1000SF']]]*OccupancyAssumptions[[#This Row],[Area (sqft)]]/1000,"")</f>
        <v/>
      </c>
      <c r="Q27" s="20" t="str">
        <f>IF(OccupancyAssumptions[[#This Row],[ASHRAE 2007 Occupant Density
'[People/1000SF']]]="","",IF(OccupancyAssumptions[[#This Row],[ASHRAE 2007 Occupant Density
'[People/1000SF']]]&gt;=50,"YES","NO"))</f>
        <v>NO</v>
      </c>
      <c r="R27" s="152" t="s">
        <v>344</v>
      </c>
      <c r="S27" s="95">
        <f>IFERROR(INDEX('Raw Data - Occupancy'!$AI$7:$AN$85,MATCH(OccupancyAssumptions[[#This Row],[ASHRAE 2010 Space Type]],'Raw Data - Occupancy'!$AI$7:$AI$85,0),MATCH("Rp (CFM/per)",'Raw Data - Occupancy'!$AI$7:$AN$7,0)),"")</f>
        <v>5</v>
      </c>
      <c r="T27" s="95">
        <f>IFERROR(INDEX('Raw Data - Occupancy'!$AI$7:$AN$85,MATCH(OccupancyAssumptions[[#This Row],[ASHRAE 2010 Space Type]],'Raw Data - Occupancy'!$AI$7:$AI$85,0),MATCH("Ra (cfm/ft2)",'Raw Data - Occupancy'!$AI$7:$AN$7,0)),"")</f>
        <v>0.06</v>
      </c>
      <c r="U27" s="95">
        <f>IFERROR(INDEX('Raw Data - Occupancy'!$AI$7:$AN$85,MATCH(OccupancyAssumptions[[#This Row],[ASHRAE 2010 Space Type]],'Raw Data - Occupancy'!$AI$7:$AI$85,0),MATCH("#/1000 ft2 (#/100 m2)",'Raw Data - Occupancy'!$AI$7:$AN$7,0)),"")</f>
        <v>5</v>
      </c>
      <c r="V27" s="153" t="str">
        <f>IFERROR(OccupancyAssumptions[[#This Row],[ASHRAE 2010 Occupant Density
'[People/1000SF']]]*OccupancyAssumptions[[#This Row],[Area (sqft)]]/1000,"")</f>
        <v/>
      </c>
      <c r="W27" s="20" t="str">
        <f>IF(OccupancyAssumptions[[#This Row],[ASHRAE 2010 Occupant Density
'[People/1000SF']]]="","",IF(OccupancyAssumptions[[#This Row],[ASHRAE 2010 Occupant Density
'[People/1000SF']]]&gt;=50,"YES","NO"))</f>
        <v>NO</v>
      </c>
      <c r="X27" s="152" t="s">
        <v>344</v>
      </c>
      <c r="Y27" s="95">
        <f>IFERROR(INDEX('Raw Data - Occupancy'!$AP$7:$AU$85,MATCH(OccupancyAssumptions[[#This Row],[ASHRAE 2013 Space Type]],'Raw Data - Occupancy'!$AP$7:$AP$85,0),MATCH("Rp (CFM/per)",'Raw Data - Occupancy'!$AP$7:$AU$7,0)),"")</f>
        <v>5</v>
      </c>
      <c r="Z27" s="95">
        <f>IFERROR(INDEX('Raw Data - Occupancy'!$AP$7:$AU$85,MATCH(OccupancyAssumptions[[#This Row],[ASHRAE 2013 Space Type]],'Raw Data - Occupancy'!$AP$7:$AP$85,0),MATCH("Ra (cfm/ft2)",'Raw Data - Occupancy'!$AP$7:$AU$7,0)),"")</f>
        <v>0.06</v>
      </c>
      <c r="AA27" s="95">
        <f>IFERROR(INDEX('Raw Data - Occupancy'!$AP$7:$AU$85,MATCH(OccupancyAssumptions[[#This Row],[ASHRAE 2013 Space Type]],'Raw Data - Occupancy'!$AP$7:$AP$85,0),MATCH("#/1000 ft2 (#/100 m2)",'Raw Data - Occupancy'!$AP$7:$AU$7,0)),"")</f>
        <v>5</v>
      </c>
      <c r="AB27" s="153" t="str">
        <f>IFERROR(OccupancyAssumptions[[#This Row],[ASHRAE 2013 Occupant Density
'[People/1000SF']]]*OccupancyAssumptions[[#This Row],[Area (sqft)]]/1000,"")</f>
        <v/>
      </c>
      <c r="AC27" s="20" t="str">
        <f>IF(OccupancyAssumptions[[#This Row],[ASHRAE 2013 Occupant Density
'[People/1000SF']]]="","",IF(OccupancyAssumptions[[#This Row],[ASHRAE 2013 Occupant Density
'[People/1000SF']]]&gt;=50,"YES","NO"))</f>
        <v>NO</v>
      </c>
      <c r="AD27" s="152" t="s">
        <v>344</v>
      </c>
      <c r="AE27" s="95">
        <f>IFERROR(INDEX('Raw Data - Occupancy'!$AW$7:$BB$85,MATCH(OccupancyAssumptions[[#This Row],[ASHRAE 2016 Space Type]],'Raw Data - Occupancy'!$AW$7:$AW$85,0),MATCH("Rp (CFM/per)",'Raw Data - Occupancy'!$AW$7:$BB$7,0)),"")</f>
        <v>5</v>
      </c>
      <c r="AF27" s="95">
        <f>IFERROR(INDEX('Raw Data - Occupancy'!$AW$7:$BB$85,MATCH(OccupancyAssumptions[[#This Row],[ASHRAE 2016 Space Type]],'Raw Data - Occupancy'!$AW$7:$AW$85,0),MATCH("Ra (cfm/ft2)",'Raw Data - Occupancy'!$AW$7:$BB$7,0)),"")</f>
        <v>0.06</v>
      </c>
      <c r="AG27" s="95">
        <f>IFERROR(INDEX('Raw Data - Occupancy'!$AW$7:$BB$85,MATCH(OccupancyAssumptions[[#This Row],[ASHRAE 2016 Space Type]],'Raw Data - Occupancy'!$AW$7:$AW$85,0),MATCH("#/1000 ft2 (#/100 m2)",'Raw Data - Occupancy'!$AW$7:$BB$7,0)),"")</f>
        <v>5</v>
      </c>
      <c r="AH27" s="153" t="str">
        <f>IFERROR(OccupancyAssumptions[[#This Row],[ASHRAE 2016 Occupant Density
'[People/1000SF']]]*OccupancyAssumptions[[#This Row],[Area (sqft)]]/1000,"")</f>
        <v/>
      </c>
      <c r="AI27" s="20" t="str">
        <f>IF(OccupancyAssumptions[[#This Row],[ASHRAE 2016 Occupant Density
'[People/1000SF']]]="","",IF(OccupancyAssumptions[[#This Row],[ASHRAE 2016 Occupant Density
'[People/1000SF']]]&gt;=50,"YES","NO"))</f>
        <v>NO</v>
      </c>
      <c r="AJ27" s="152" t="s">
        <v>344</v>
      </c>
      <c r="AK27" s="95">
        <f>IFERROR(INDEX('Raw Data - Occupancy'!$BD$7:$BI$85,MATCH(OccupancyAssumptions[[#This Row],[ASHRAE 2019 Space Type]],'Raw Data - Occupancy'!$BD$7:$BD$85,0),MATCH("Rp (CFM/per)",'Raw Data - Occupancy'!$BD$7:$BI$7,0)),"")</f>
        <v>5</v>
      </c>
      <c r="AL27" s="95">
        <f>IFERROR(INDEX('Raw Data - Occupancy'!$BD$7:$BI$85,MATCH(OccupancyAssumptions[[#This Row],[ASHRAE 2019 Space Type]],'Raw Data - Occupancy'!$BD$7:$BD$85,0),MATCH("Ra (cfm/ft2)",'Raw Data - Occupancy'!$BD$7:$BI$7,0)),"")</f>
        <v>0.06</v>
      </c>
      <c r="AM27" s="95">
        <f>IFERROR(INDEX('Raw Data - Occupancy'!$BD$7:$BI$85,MATCH(OccupancyAssumptions[[#This Row],[ASHRAE 2019 Space Type]],'Raw Data - Occupancy'!$BD$7:$BD$85,0),MATCH("#/1000 ft2 (#/100 m2)",'Raw Data - Occupancy'!$BD$7:$BI$7,0)),"")</f>
        <v>5</v>
      </c>
      <c r="AN27" s="155" t="str">
        <f>IFERROR(OccupancyAssumptions[[#This Row],[ASHRAE 2019 Occupant Density
'[People/1000SF']]]*OccupancyAssumptions[[#This Row],[Area (sqft)]]/1000,"")</f>
        <v/>
      </c>
      <c r="AO27" s="156" t="str">
        <f>IF(OccupancyAssumptions[[#This Row],[ASHRAE 2019 Occupant Density
'[People/1000SF']]]="","",IF(OccupancyAssumptions[[#This Row],[ASHRAE 2019 Occupant Density
'[People/1000SF']]]&gt;=50,"YES","NO"))</f>
        <v>NO</v>
      </c>
      <c r="AP27" s="152" t="s">
        <v>214</v>
      </c>
      <c r="AQ27" s="154">
        <v>4</v>
      </c>
      <c r="AR27" s="154">
        <v>2</v>
      </c>
      <c r="AS27" s="471">
        <v>100</v>
      </c>
      <c r="AT27" s="471">
        <f>IFERROR(1000/OccupancyAssumptions[[#This Row],[Design Occupant Density '[SF/Person']]],"-")</f>
        <v>10</v>
      </c>
      <c r="AU27" s="156" t="str">
        <f>IF(OccupancyAssumptions[[#This Row],[Design Occupant Density
'[People/1000SF']]]="-","",IF(OccupancyAssumptions[[#This Row],[Design Occupant Density
'[People/1000SF']]]&gt;=50,"YES","NO"))</f>
        <v>NO</v>
      </c>
      <c r="AV27" s="26"/>
    </row>
    <row r="28" spans="2:48" x14ac:dyDescent="0.25">
      <c r="B28" s="18">
        <v>11</v>
      </c>
      <c r="C28" s="19" t="str">
        <f>IF('Master Room List'!R26="","",'Master Room List'!R26)</f>
        <v/>
      </c>
      <c r="D28" s="20" t="str">
        <f>IF(OccupancyAssumptions[[#This Row],[Space Type]]="","-",VLOOKUP(OccupancyAssumptions[[#This Row],[Space Type]],MasterRoomList_SpaceTypeSummary[[#All],[SpaceType]:[% of Total Area]],3,FALSE))</f>
        <v>-</v>
      </c>
      <c r="E28" s="152" t="s">
        <v>214</v>
      </c>
      <c r="F28" s="19" t="str">
        <f>IF(OccupancyAssumptions[[#This Row],[Space Type]]="","",INDEX('Raw Data - Occupancy'!$V$6:$Z$92,MATCH(OccupancyAssumptions[[#This Row],[Primary Function Area]],'Raw Data - Occupancy'!$V$6:$V$92,0),MATCH('Raw Data - Occupancy'!$W$6,'Raw Data - Occupancy'!$V$6:$Z$6,0)))</f>
        <v/>
      </c>
      <c r="G28" s="19" t="str">
        <f>IF(OccupancyAssumptions[[#This Row],[Space Type]]="","",INDEX('Raw Data - Occupancy'!$V$6:$Z$92,MATCH(OccupancyAssumptions[[#This Row],[Primary Function Area]],'Raw Data - Occupancy'!$V$6:$V$92,0),MATCH('Raw Data - Occupancy'!$X$6,'Raw Data - Occupancy'!$V$6:$Z$6,0)))</f>
        <v/>
      </c>
      <c r="H28" s="19" t="str">
        <f>IF(OccupancyAssumptions[[#This Row],[Space Type]]="","",15)</f>
        <v/>
      </c>
      <c r="I28" s="19" t="str">
        <f>IFERROR(INDEX('Raw Data - Occupancy'!$AW$7:$BB$85,MATCH(OccupancyAssumptions[[#This Row],[ASHRAE 2019 Space Type]],'Raw Data - Occupancy'!$AW$7:$AW$85,0),MATCH("#/1000 ft2 (#/100 m2)",'Raw Data - Occupancy'!$AW$7:$BB$7,0)),"")</f>
        <v/>
      </c>
      <c r="J28" s="153" t="str">
        <f>IFERROR(OccupancyAssumptions[[#This Row],[Occupant Density
'[People/1000SF']]]*OccupancyAssumptions[[#This Row],[Area (sqft)]]/1000,"")</f>
        <v/>
      </c>
      <c r="K28" s="20" t="str">
        <f>IF(OccupancyAssumptions[[#This Row],[Occupant Density
'[People/1000SF']]]="","",IF(OccupancyAssumptions[[#This Row],[Occupant Density
'[People/1000SF']]]&gt;=50,"YES","NO"))</f>
        <v/>
      </c>
      <c r="L28" s="152"/>
      <c r="M28" s="95" t="str">
        <f>IFERROR(INDEX('Raw Data - Occupancy'!$AB$7:$AG$85,MATCH(OccupancyAssumptions[[#This Row],[ASHRAE 2007 Space Type]],'Raw Data - Occupancy'!$AB$7:$AB$85,0),MATCH("Rp (CFM/per)",'Raw Data - Occupancy'!$AB$7:$AG$7,0)),"")</f>
        <v/>
      </c>
      <c r="N28" s="95" t="str">
        <f>IFERROR(INDEX('Raw Data - Occupancy'!$AB$7:$AG$85,MATCH(OccupancyAssumptions[[#This Row],[ASHRAE 2007 Space Type]],'Raw Data - Occupancy'!$AB$7:$AB$85,0),MATCH("Ra (cfm/ft2)",'Raw Data - Occupancy'!$AB$7:$AG$7,0)),"")</f>
        <v/>
      </c>
      <c r="O28" s="95" t="str">
        <f>IFERROR(INDEX('Raw Data - Occupancy'!$AB$7:$AG$85,MATCH(OccupancyAssumptions[[#This Row],[ASHRAE 2007 Space Type]],'Raw Data - Occupancy'!$AB$7:$AB$85,0),MATCH("#/1000 ft2 (#/100 m2)",'Raw Data - Occupancy'!$AB$7:$AG$7,0)),"")</f>
        <v/>
      </c>
      <c r="P28" s="153" t="str">
        <f>IFERROR(OccupancyAssumptions[[#This Row],[ASHRAE 2007 Occupant Density
'[People/1000SF']]]*OccupancyAssumptions[[#This Row],[Area (sqft)]]/1000,"")</f>
        <v/>
      </c>
      <c r="Q28" s="20" t="str">
        <f>IF(OccupancyAssumptions[[#This Row],[ASHRAE 2007 Occupant Density
'[People/1000SF']]]="","",IF(OccupancyAssumptions[[#This Row],[ASHRAE 2007 Occupant Density
'[People/1000SF']]]&gt;=50,"YES","NO"))</f>
        <v/>
      </c>
      <c r="R28" s="152"/>
      <c r="S28" s="95" t="str">
        <f>IFERROR(INDEX('Raw Data - Occupancy'!$AI$7:$AN$85,MATCH(OccupancyAssumptions[[#This Row],[ASHRAE 2010 Space Type]],'Raw Data - Occupancy'!$AI$7:$AI$85,0),MATCH("Rp (CFM/per)",'Raw Data - Occupancy'!$AI$7:$AN$7,0)),"")</f>
        <v/>
      </c>
      <c r="T28" s="95" t="str">
        <f>IFERROR(INDEX('Raw Data - Occupancy'!$AI$7:$AN$85,MATCH(OccupancyAssumptions[[#This Row],[ASHRAE 2010 Space Type]],'Raw Data - Occupancy'!$AI$7:$AI$85,0),MATCH("Ra (cfm/ft2)",'Raw Data - Occupancy'!$AI$7:$AN$7,0)),"")</f>
        <v/>
      </c>
      <c r="U28" s="95" t="str">
        <f>IFERROR(INDEX('Raw Data - Occupancy'!$AI$7:$AN$85,MATCH(OccupancyAssumptions[[#This Row],[ASHRAE 2010 Space Type]],'Raw Data - Occupancy'!$AI$7:$AI$85,0),MATCH("#/1000 ft2 (#/100 m2)",'Raw Data - Occupancy'!$AI$7:$AN$7,0)),"")</f>
        <v/>
      </c>
      <c r="V28" s="153" t="str">
        <f>IFERROR(OccupancyAssumptions[[#This Row],[ASHRAE 2010 Occupant Density
'[People/1000SF']]]*OccupancyAssumptions[[#This Row],[Area (sqft)]]/1000,"")</f>
        <v/>
      </c>
      <c r="W28" s="20" t="str">
        <f>IF(OccupancyAssumptions[[#This Row],[ASHRAE 2010 Occupant Density
'[People/1000SF']]]="","",IF(OccupancyAssumptions[[#This Row],[ASHRAE 2010 Occupant Density
'[People/1000SF']]]&gt;=50,"YES","NO"))</f>
        <v/>
      </c>
      <c r="X28" s="152"/>
      <c r="Y28" s="95" t="str">
        <f>IFERROR(INDEX('Raw Data - Occupancy'!$AP$7:$AU$85,MATCH(OccupancyAssumptions[[#This Row],[ASHRAE 2013 Space Type]],'Raw Data - Occupancy'!$AP$7:$AP$85,0),MATCH("Rp (CFM/per)",'Raw Data - Occupancy'!$AP$7:$AU$7,0)),"")</f>
        <v/>
      </c>
      <c r="Z28" s="95" t="str">
        <f>IFERROR(INDEX('Raw Data - Occupancy'!$AP$7:$AU$85,MATCH(OccupancyAssumptions[[#This Row],[ASHRAE 2013 Space Type]],'Raw Data - Occupancy'!$AP$7:$AP$85,0),MATCH("Ra (cfm/ft2)",'Raw Data - Occupancy'!$AP$7:$AU$7,0)),"")</f>
        <v/>
      </c>
      <c r="AA28" s="95" t="str">
        <f>IFERROR(INDEX('Raw Data - Occupancy'!$AP$7:$AU$85,MATCH(OccupancyAssumptions[[#This Row],[ASHRAE 2013 Space Type]],'Raw Data - Occupancy'!$AP$7:$AP$85,0),MATCH("#/1000 ft2 (#/100 m2)",'Raw Data - Occupancy'!$AP$7:$AU$7,0)),"")</f>
        <v/>
      </c>
      <c r="AB28" s="153" t="str">
        <f>IFERROR(OccupancyAssumptions[[#This Row],[ASHRAE 2013 Occupant Density
'[People/1000SF']]]*OccupancyAssumptions[[#This Row],[Area (sqft)]]/1000,"")</f>
        <v/>
      </c>
      <c r="AC28" s="20" t="str">
        <f>IF(OccupancyAssumptions[[#This Row],[ASHRAE 2013 Occupant Density
'[People/1000SF']]]="","",IF(OccupancyAssumptions[[#This Row],[ASHRAE 2013 Occupant Density
'[People/1000SF']]]&gt;=50,"YES","NO"))</f>
        <v/>
      </c>
      <c r="AD28" s="152"/>
      <c r="AE28" s="95" t="str">
        <f>IFERROR(INDEX('Raw Data - Occupancy'!$AW$7:$BB$85,MATCH(OccupancyAssumptions[[#This Row],[ASHRAE 2016 Space Type]],'Raw Data - Occupancy'!$AW$7:$AW$85,0),MATCH("Rp (CFM/per)",'Raw Data - Occupancy'!$AW$7:$BB$7,0)),"")</f>
        <v/>
      </c>
      <c r="AF28" s="95" t="str">
        <f>IFERROR(INDEX('Raw Data - Occupancy'!$AW$7:$BB$85,MATCH(OccupancyAssumptions[[#This Row],[ASHRAE 2016 Space Type]],'Raw Data - Occupancy'!$AW$7:$AW$85,0),MATCH("Ra (cfm/ft2)",'Raw Data - Occupancy'!$AW$7:$BB$7,0)),"")</f>
        <v/>
      </c>
      <c r="AG28" s="95" t="str">
        <f>IFERROR(INDEX('Raw Data - Occupancy'!$AW$7:$BB$85,MATCH(OccupancyAssumptions[[#This Row],[ASHRAE 2016 Space Type]],'Raw Data - Occupancy'!$AW$7:$AW$85,0),MATCH("#/1000 ft2 (#/100 m2)",'Raw Data - Occupancy'!$AW$7:$BB$7,0)),"")</f>
        <v/>
      </c>
      <c r="AH28" s="153" t="str">
        <f>IFERROR(OccupancyAssumptions[[#This Row],[ASHRAE 2016 Occupant Density
'[People/1000SF']]]*OccupancyAssumptions[[#This Row],[Area (sqft)]]/1000,"")</f>
        <v/>
      </c>
      <c r="AI28" s="20" t="str">
        <f>IF(OccupancyAssumptions[[#This Row],[ASHRAE 2016 Occupant Density
'[People/1000SF']]]="","",IF(OccupancyAssumptions[[#This Row],[ASHRAE 2016 Occupant Density
'[People/1000SF']]]&gt;=50,"YES","NO"))</f>
        <v/>
      </c>
      <c r="AJ28" s="152"/>
      <c r="AK28" s="95" t="str">
        <f>IFERROR(INDEX('Raw Data - Occupancy'!$BD$7:$BI$85,MATCH(OccupancyAssumptions[[#This Row],[ASHRAE 2019 Space Type]],'Raw Data - Occupancy'!$BD$7:$BD$85,0),MATCH("Rp (CFM/per)",'Raw Data - Occupancy'!$BD$7:$BI$7,0)),"")</f>
        <v/>
      </c>
      <c r="AL28" s="95" t="str">
        <f>IFERROR(INDEX('Raw Data - Occupancy'!$BD$7:$BI$85,MATCH(OccupancyAssumptions[[#This Row],[ASHRAE 2019 Space Type]],'Raw Data - Occupancy'!$BD$7:$BD$85,0),MATCH("Ra (cfm/ft2)",'Raw Data - Occupancy'!$BD$7:$BI$7,0)),"")</f>
        <v/>
      </c>
      <c r="AM28" s="95" t="str">
        <f>IFERROR(INDEX('Raw Data - Occupancy'!$BD$7:$BI$85,MATCH(OccupancyAssumptions[[#This Row],[ASHRAE 2019 Space Type]],'Raw Data - Occupancy'!$BD$7:$BD$85,0),MATCH("#/1000 ft2 (#/100 m2)",'Raw Data - Occupancy'!$BD$7:$BI$7,0)),"")</f>
        <v/>
      </c>
      <c r="AN28" s="155" t="str">
        <f>IFERROR(OccupancyAssumptions[[#This Row],[ASHRAE 2019 Occupant Density
'[People/1000SF']]]*OccupancyAssumptions[[#This Row],[Area (sqft)]]/1000,"")</f>
        <v/>
      </c>
      <c r="AO28" s="156" t="str">
        <f>IF(OccupancyAssumptions[[#This Row],[ASHRAE 2019 Occupant Density
'[People/1000SF']]]="","",IF(OccupancyAssumptions[[#This Row],[ASHRAE 2019 Occupant Density
'[People/1000SF']]]&gt;=50,"YES","NO"))</f>
        <v/>
      </c>
      <c r="AP28" s="152" t="s">
        <v>214</v>
      </c>
      <c r="AQ28" s="154">
        <v>10</v>
      </c>
      <c r="AR28" s="154" t="s">
        <v>214</v>
      </c>
      <c r="AS28" s="471">
        <v>250</v>
      </c>
      <c r="AT28" s="471">
        <f>IFERROR(1000/OccupancyAssumptions[[#This Row],[Design Occupant Density '[SF/Person']]],"-")</f>
        <v>4</v>
      </c>
      <c r="AU28" s="156" t="str">
        <f>IF(OccupancyAssumptions[[#This Row],[Design Occupant Density
'[People/1000SF']]]="-","",IF(OccupancyAssumptions[[#This Row],[Design Occupant Density
'[People/1000SF']]]&gt;=50,"YES","NO"))</f>
        <v>NO</v>
      </c>
      <c r="AV28" s="26"/>
    </row>
    <row r="29" spans="2:48" x14ac:dyDescent="0.25">
      <c r="B29" s="18">
        <v>12</v>
      </c>
      <c r="C29" s="19" t="str">
        <f>IF('Master Room List'!R27="","",'Master Room List'!R27)</f>
        <v/>
      </c>
      <c r="D29" s="20" t="str">
        <f>IF(OccupancyAssumptions[[#This Row],[Space Type]]="","-",VLOOKUP(OccupancyAssumptions[[#This Row],[Space Type]],MasterRoomList_SpaceTypeSummary[[#All],[SpaceType]:[% of Total Area]],3,FALSE))</f>
        <v>-</v>
      </c>
      <c r="E29" s="152" t="s">
        <v>341</v>
      </c>
      <c r="F29" s="19" t="str">
        <f>IF(OccupancyAssumptions[[#This Row],[Space Type]]="","",INDEX('Raw Data - Occupancy'!$V$6:$Z$92,MATCH(OccupancyAssumptions[[#This Row],[Primary Function Area]],'Raw Data - Occupancy'!$V$6:$V$92,0),MATCH('Raw Data - Occupancy'!$W$6,'Raw Data - Occupancy'!$V$6:$Z$6,0)))</f>
        <v/>
      </c>
      <c r="G29" s="19" t="str">
        <f>IF(OccupancyAssumptions[[#This Row],[Space Type]]="","",INDEX('Raw Data - Occupancy'!$V$6:$Z$92,MATCH(OccupancyAssumptions[[#This Row],[Primary Function Area]],'Raw Data - Occupancy'!$V$6:$V$92,0),MATCH('Raw Data - Occupancy'!$X$6,'Raw Data - Occupancy'!$V$6:$Z$6,0)))</f>
        <v/>
      </c>
      <c r="H29" s="19" t="str">
        <f>IF(OccupancyAssumptions[[#This Row],[Space Type]]="","",15)</f>
        <v/>
      </c>
      <c r="I29" s="19">
        <f>IFERROR(INDEX('Raw Data - Occupancy'!$AW$7:$BB$85,MATCH(OccupancyAssumptions[[#This Row],[ASHRAE 2019 Space Type]],'Raw Data - Occupancy'!$AW$7:$AW$85,0),MATCH("#/1000 ft2 (#/100 m2)",'Raw Data - Occupancy'!$AW$7:$BB$7,0)),"")</f>
        <v>0</v>
      </c>
      <c r="J29" s="153" t="str">
        <f>IFERROR(OccupancyAssumptions[[#This Row],[Occupant Density
'[People/1000SF']]]*OccupancyAssumptions[[#This Row],[Area (sqft)]]/1000,"")</f>
        <v/>
      </c>
      <c r="K29" s="20" t="str">
        <f>IF(OccupancyAssumptions[[#This Row],[Occupant Density
'[People/1000SF']]]="","",IF(OccupancyAssumptions[[#This Row],[Occupant Density
'[People/1000SF']]]&gt;=50,"YES","NO"))</f>
        <v>NO</v>
      </c>
      <c r="L29" s="152" t="s">
        <v>342</v>
      </c>
      <c r="M29" s="95">
        <f>IFERROR(INDEX('Raw Data - Occupancy'!$AB$7:$AG$85,MATCH(OccupancyAssumptions[[#This Row],[ASHRAE 2007 Space Type]],'Raw Data - Occupancy'!$AB$7:$AB$85,0),MATCH("Rp (CFM/per)",'Raw Data - Occupancy'!$AB$7:$AG$7,0)),"")</f>
        <v>0</v>
      </c>
      <c r="N29" s="95">
        <f>IFERROR(INDEX('Raw Data - Occupancy'!$AB$7:$AG$85,MATCH(OccupancyAssumptions[[#This Row],[ASHRAE 2007 Space Type]],'Raw Data - Occupancy'!$AB$7:$AB$85,0),MATCH("Ra (cfm/ft2)",'Raw Data - Occupancy'!$AB$7:$AG$7,0)),"")</f>
        <v>0.06</v>
      </c>
      <c r="O29" s="95">
        <f>IFERROR(INDEX('Raw Data - Occupancy'!$AB$7:$AG$85,MATCH(OccupancyAssumptions[[#This Row],[ASHRAE 2007 Space Type]],'Raw Data - Occupancy'!$AB$7:$AB$85,0),MATCH("#/1000 ft2 (#/100 m2)",'Raw Data - Occupancy'!$AB$7:$AG$7,0)),"")</f>
        <v>0</v>
      </c>
      <c r="P29" s="153" t="str">
        <f>IFERROR(OccupancyAssumptions[[#This Row],[ASHRAE 2007 Occupant Density
'[People/1000SF']]]*OccupancyAssumptions[[#This Row],[Area (sqft)]]/1000,"")</f>
        <v/>
      </c>
      <c r="Q29" s="20" t="str">
        <f>IF(OccupancyAssumptions[[#This Row],[ASHRAE 2007 Occupant Density
'[People/1000SF']]]="","",IF(OccupancyAssumptions[[#This Row],[ASHRAE 2007 Occupant Density
'[People/1000SF']]]&gt;=50,"YES","NO"))</f>
        <v>NO</v>
      </c>
      <c r="R29" s="152" t="s">
        <v>342</v>
      </c>
      <c r="S29" s="95">
        <f>IFERROR(INDEX('Raw Data - Occupancy'!$AI$7:$AN$85,MATCH(OccupancyAssumptions[[#This Row],[ASHRAE 2010 Space Type]],'Raw Data - Occupancy'!$AI$7:$AI$85,0),MATCH("Rp (CFM/per)",'Raw Data - Occupancy'!$AI$7:$AN$7,0)),"")</f>
        <v>0</v>
      </c>
      <c r="T29" s="95">
        <f>IFERROR(INDEX('Raw Data - Occupancy'!$AI$7:$AN$85,MATCH(OccupancyAssumptions[[#This Row],[ASHRAE 2010 Space Type]],'Raw Data - Occupancy'!$AI$7:$AI$85,0),MATCH("Ra (cfm/ft2)",'Raw Data - Occupancy'!$AI$7:$AN$7,0)),"")</f>
        <v>0.06</v>
      </c>
      <c r="U29" s="95">
        <f>IFERROR(INDEX('Raw Data - Occupancy'!$AI$7:$AN$85,MATCH(OccupancyAssumptions[[#This Row],[ASHRAE 2010 Space Type]],'Raw Data - Occupancy'!$AI$7:$AI$85,0),MATCH("#/1000 ft2 (#/100 m2)",'Raw Data - Occupancy'!$AI$7:$AN$7,0)),"")</f>
        <v>0</v>
      </c>
      <c r="V29" s="153" t="str">
        <f>IFERROR(OccupancyAssumptions[[#This Row],[ASHRAE 2010 Occupant Density
'[People/1000SF']]]*OccupancyAssumptions[[#This Row],[Area (sqft)]]/1000,"")</f>
        <v/>
      </c>
      <c r="W29" s="20" t="str">
        <f>IF(OccupancyAssumptions[[#This Row],[ASHRAE 2010 Occupant Density
'[People/1000SF']]]="","",IF(OccupancyAssumptions[[#This Row],[ASHRAE 2010 Occupant Density
'[People/1000SF']]]&gt;=50,"YES","NO"))</f>
        <v>NO</v>
      </c>
      <c r="X29" s="152" t="s">
        <v>342</v>
      </c>
      <c r="Y29" s="95">
        <f>IFERROR(INDEX('Raw Data - Occupancy'!$AP$7:$AU$85,MATCH(OccupancyAssumptions[[#This Row],[ASHRAE 2013 Space Type]],'Raw Data - Occupancy'!$AP$7:$AP$85,0),MATCH("Rp (CFM/per)",'Raw Data - Occupancy'!$AP$7:$AU$7,0)),"")</f>
        <v>0</v>
      </c>
      <c r="Z29" s="95">
        <f>IFERROR(INDEX('Raw Data - Occupancy'!$AP$7:$AU$85,MATCH(OccupancyAssumptions[[#This Row],[ASHRAE 2013 Space Type]],'Raw Data - Occupancy'!$AP$7:$AP$85,0),MATCH("Ra (cfm/ft2)",'Raw Data - Occupancy'!$AP$7:$AU$7,0)),"")</f>
        <v>0.06</v>
      </c>
      <c r="AA29" s="95">
        <f>IFERROR(INDEX('Raw Data - Occupancy'!$AP$7:$AU$85,MATCH(OccupancyAssumptions[[#This Row],[ASHRAE 2013 Space Type]],'Raw Data - Occupancy'!$AP$7:$AP$85,0),MATCH("#/1000 ft2 (#/100 m2)",'Raw Data - Occupancy'!$AP$7:$AU$7,0)),"")</f>
        <v>0</v>
      </c>
      <c r="AB29" s="153" t="str">
        <f>IFERROR(OccupancyAssumptions[[#This Row],[ASHRAE 2013 Occupant Density
'[People/1000SF']]]*OccupancyAssumptions[[#This Row],[Area (sqft)]]/1000,"")</f>
        <v/>
      </c>
      <c r="AC29" s="20" t="str">
        <f>IF(OccupancyAssumptions[[#This Row],[ASHRAE 2013 Occupant Density
'[People/1000SF']]]="","",IF(OccupancyAssumptions[[#This Row],[ASHRAE 2013 Occupant Density
'[People/1000SF']]]&gt;=50,"YES","NO"))</f>
        <v>NO</v>
      </c>
      <c r="AD29" s="152" t="s">
        <v>342</v>
      </c>
      <c r="AE29" s="95">
        <f>IFERROR(INDEX('Raw Data - Occupancy'!$AW$7:$BB$85,MATCH(OccupancyAssumptions[[#This Row],[ASHRAE 2016 Space Type]],'Raw Data - Occupancy'!$AW$7:$AW$85,0),MATCH("Rp (CFM/per)",'Raw Data - Occupancy'!$AW$7:$BB$7,0)),"")</f>
        <v>0</v>
      </c>
      <c r="AF29" s="95">
        <f>IFERROR(INDEX('Raw Data - Occupancy'!$AW$7:$BB$85,MATCH(OccupancyAssumptions[[#This Row],[ASHRAE 2016 Space Type]],'Raw Data - Occupancy'!$AW$7:$AW$85,0),MATCH("Ra (cfm/ft2)",'Raw Data - Occupancy'!$AW$7:$BB$7,0)),"")</f>
        <v>0.06</v>
      </c>
      <c r="AG29" s="95">
        <f>IFERROR(INDEX('Raw Data - Occupancy'!$AW$7:$BB$85,MATCH(OccupancyAssumptions[[#This Row],[ASHRAE 2016 Space Type]],'Raw Data - Occupancy'!$AW$7:$AW$85,0),MATCH("#/1000 ft2 (#/100 m2)",'Raw Data - Occupancy'!$AW$7:$BB$7,0)),"")</f>
        <v>0</v>
      </c>
      <c r="AH29" s="153" t="str">
        <f>IFERROR(OccupancyAssumptions[[#This Row],[ASHRAE 2016 Occupant Density
'[People/1000SF']]]*OccupancyAssumptions[[#This Row],[Area (sqft)]]/1000,"")</f>
        <v/>
      </c>
      <c r="AI29" s="20" t="str">
        <f>IF(OccupancyAssumptions[[#This Row],[ASHRAE 2016 Occupant Density
'[People/1000SF']]]="","",IF(OccupancyAssumptions[[#This Row],[ASHRAE 2016 Occupant Density
'[People/1000SF']]]&gt;=50,"YES","NO"))</f>
        <v>NO</v>
      </c>
      <c r="AJ29" s="152" t="s">
        <v>342</v>
      </c>
      <c r="AK29" s="95">
        <f>IFERROR(INDEX('Raw Data - Occupancy'!$BD$7:$BI$85,MATCH(OccupancyAssumptions[[#This Row],[ASHRAE 2019 Space Type]],'Raw Data - Occupancy'!$BD$7:$BD$85,0),MATCH("Rp (CFM/per)",'Raw Data - Occupancy'!$BD$7:$BI$7,0)),"")</f>
        <v>0</v>
      </c>
      <c r="AL29" s="95">
        <f>IFERROR(INDEX('Raw Data - Occupancy'!$BD$7:$BI$85,MATCH(OccupancyAssumptions[[#This Row],[ASHRAE 2019 Space Type]],'Raw Data - Occupancy'!$BD$7:$BD$85,0),MATCH("Ra (cfm/ft2)",'Raw Data - Occupancy'!$BD$7:$BI$7,0)),"")</f>
        <v>0.06</v>
      </c>
      <c r="AM29" s="95">
        <f>IFERROR(INDEX('Raw Data - Occupancy'!$BD$7:$BI$85,MATCH(OccupancyAssumptions[[#This Row],[ASHRAE 2019 Space Type]],'Raw Data - Occupancy'!$BD$7:$BD$85,0),MATCH("#/1000 ft2 (#/100 m2)",'Raw Data - Occupancy'!$BD$7:$BI$7,0)),"")</f>
        <v>0</v>
      </c>
      <c r="AN29" s="155" t="str">
        <f>IFERROR(OccupancyAssumptions[[#This Row],[ASHRAE 2019 Occupant Density
'[People/1000SF']]]*OccupancyAssumptions[[#This Row],[Area (sqft)]]/1000,"")</f>
        <v/>
      </c>
      <c r="AO29" s="156" t="str">
        <f>IF(OccupancyAssumptions[[#This Row],[ASHRAE 2019 Occupant Density
'[People/1000SF']]]="","",IF(OccupancyAssumptions[[#This Row],[ASHRAE 2019 Occupant Density
'[People/1000SF']]]&gt;=50,"YES","NO"))</f>
        <v>NO</v>
      </c>
      <c r="AP29" s="152" t="s">
        <v>214</v>
      </c>
      <c r="AQ29" s="154" t="s">
        <v>214</v>
      </c>
      <c r="AR29" s="154" t="s">
        <v>214</v>
      </c>
      <c r="AS29" s="471" t="s">
        <v>214</v>
      </c>
      <c r="AT29" s="471" t="str">
        <f>IFERROR(1000/OccupancyAssumptions[[#This Row],[Design Occupant Density '[SF/Person']]],"-")</f>
        <v>-</v>
      </c>
      <c r="AU29" s="156" t="str">
        <f>IF(OccupancyAssumptions[[#This Row],[Design Occupant Density
'[People/1000SF']]]="-","",IF(OccupancyAssumptions[[#This Row],[Design Occupant Density
'[People/1000SF']]]&gt;=50,"YES","NO"))</f>
        <v/>
      </c>
      <c r="AV29" s="26"/>
    </row>
    <row r="30" spans="2:48" x14ac:dyDescent="0.25">
      <c r="B30" s="18">
        <v>13</v>
      </c>
      <c r="C30" s="19" t="str">
        <f>IF('Master Room List'!R28="","",'Master Room List'!R28)</f>
        <v/>
      </c>
      <c r="D30" s="20" t="str">
        <f>IF(OccupancyAssumptions[[#This Row],[Space Type]]="","-",VLOOKUP(OccupancyAssumptions[[#This Row],[Space Type]],MasterRoomList_SpaceTypeSummary[[#All],[SpaceType]:[% of Total Area]],3,FALSE))</f>
        <v>-</v>
      </c>
      <c r="E30" s="152" t="s">
        <v>214</v>
      </c>
      <c r="F30" s="19" t="str">
        <f>IF(OccupancyAssumptions[[#This Row],[Space Type]]="","",INDEX('Raw Data - Occupancy'!$V$6:$Z$92,MATCH(OccupancyAssumptions[[#This Row],[Primary Function Area]],'Raw Data - Occupancy'!$V$6:$V$92,0),MATCH('Raw Data - Occupancy'!$W$6,'Raw Data - Occupancy'!$V$6:$Z$6,0)))</f>
        <v/>
      </c>
      <c r="G30" s="19" t="str">
        <f>IF(OccupancyAssumptions[[#This Row],[Space Type]]="","",INDEX('Raw Data - Occupancy'!$V$6:$Z$92,MATCH(OccupancyAssumptions[[#This Row],[Primary Function Area]],'Raw Data - Occupancy'!$V$6:$V$92,0),MATCH('Raw Data - Occupancy'!$X$6,'Raw Data - Occupancy'!$V$6:$Z$6,0)))</f>
        <v/>
      </c>
      <c r="H30" s="19" t="str">
        <f>IF(OccupancyAssumptions[[#This Row],[Space Type]]="","",15)</f>
        <v/>
      </c>
      <c r="I30" s="19" t="str">
        <f>IFERROR(INDEX('Raw Data - Occupancy'!$AW$7:$BB$85,MATCH(OccupancyAssumptions[[#This Row],[ASHRAE 2019 Space Type]],'Raw Data - Occupancy'!$AW$7:$AW$85,0),MATCH("#/1000 ft2 (#/100 m2)",'Raw Data - Occupancy'!$AW$7:$BB$7,0)),"")</f>
        <v/>
      </c>
      <c r="J30" s="153" t="str">
        <f>IFERROR(OccupancyAssumptions[[#This Row],[Occupant Density
'[People/1000SF']]]*OccupancyAssumptions[[#This Row],[Area (sqft)]]/1000,"")</f>
        <v/>
      </c>
      <c r="K30" s="20" t="str">
        <f>IF(OccupancyAssumptions[[#This Row],[Occupant Density
'[People/1000SF']]]="","",IF(OccupancyAssumptions[[#This Row],[Occupant Density
'[People/1000SF']]]&gt;=50,"YES","NO"))</f>
        <v/>
      </c>
      <c r="L30" s="152"/>
      <c r="M30" s="95" t="str">
        <f>IFERROR(INDEX('Raw Data - Occupancy'!$AB$7:$AG$85,MATCH(OccupancyAssumptions[[#This Row],[ASHRAE 2007 Space Type]],'Raw Data - Occupancy'!$AB$7:$AB$85,0),MATCH("Rp (CFM/per)",'Raw Data - Occupancy'!$AB$7:$AG$7,0)),"")</f>
        <v/>
      </c>
      <c r="N30" s="95" t="str">
        <f>IFERROR(INDEX('Raw Data - Occupancy'!$AB$7:$AG$85,MATCH(OccupancyAssumptions[[#This Row],[ASHRAE 2007 Space Type]],'Raw Data - Occupancy'!$AB$7:$AB$85,0),MATCH("Ra (cfm/ft2)",'Raw Data - Occupancy'!$AB$7:$AG$7,0)),"")</f>
        <v/>
      </c>
      <c r="O30" s="95" t="str">
        <f>IFERROR(INDEX('Raw Data - Occupancy'!$AB$7:$AG$85,MATCH(OccupancyAssumptions[[#This Row],[ASHRAE 2007 Space Type]],'Raw Data - Occupancy'!$AB$7:$AB$85,0),MATCH("#/1000 ft2 (#/100 m2)",'Raw Data - Occupancy'!$AB$7:$AG$7,0)),"")</f>
        <v/>
      </c>
      <c r="P30" s="153" t="str">
        <f>IFERROR(OccupancyAssumptions[[#This Row],[ASHRAE 2007 Occupant Density
'[People/1000SF']]]*OccupancyAssumptions[[#This Row],[Area (sqft)]]/1000,"")</f>
        <v/>
      </c>
      <c r="Q30" s="20" t="str">
        <f>IF(OccupancyAssumptions[[#This Row],[ASHRAE 2007 Occupant Density
'[People/1000SF']]]="","",IF(OccupancyAssumptions[[#This Row],[ASHRAE 2007 Occupant Density
'[People/1000SF']]]&gt;=50,"YES","NO"))</f>
        <v/>
      </c>
      <c r="R30" s="152"/>
      <c r="S30" s="95" t="str">
        <f>IFERROR(INDEX('Raw Data - Occupancy'!$AI$7:$AN$85,MATCH(OccupancyAssumptions[[#This Row],[ASHRAE 2010 Space Type]],'Raw Data - Occupancy'!$AI$7:$AI$85,0),MATCH("Rp (CFM/per)",'Raw Data - Occupancy'!$AI$7:$AN$7,0)),"")</f>
        <v/>
      </c>
      <c r="T30" s="95" t="str">
        <f>IFERROR(INDEX('Raw Data - Occupancy'!$AI$7:$AN$85,MATCH(OccupancyAssumptions[[#This Row],[ASHRAE 2010 Space Type]],'Raw Data - Occupancy'!$AI$7:$AI$85,0),MATCH("Ra (cfm/ft2)",'Raw Data - Occupancy'!$AI$7:$AN$7,0)),"")</f>
        <v/>
      </c>
      <c r="U30" s="95" t="str">
        <f>IFERROR(INDEX('Raw Data - Occupancy'!$AI$7:$AN$85,MATCH(OccupancyAssumptions[[#This Row],[ASHRAE 2010 Space Type]],'Raw Data - Occupancy'!$AI$7:$AI$85,0),MATCH("#/1000 ft2 (#/100 m2)",'Raw Data - Occupancy'!$AI$7:$AN$7,0)),"")</f>
        <v/>
      </c>
      <c r="V30" s="153" t="str">
        <f>IFERROR(OccupancyAssumptions[[#This Row],[ASHRAE 2010 Occupant Density
'[People/1000SF']]]*OccupancyAssumptions[[#This Row],[Area (sqft)]]/1000,"")</f>
        <v/>
      </c>
      <c r="W30" s="20" t="str">
        <f>IF(OccupancyAssumptions[[#This Row],[ASHRAE 2010 Occupant Density
'[People/1000SF']]]="","",IF(OccupancyAssumptions[[#This Row],[ASHRAE 2010 Occupant Density
'[People/1000SF']]]&gt;=50,"YES","NO"))</f>
        <v/>
      </c>
      <c r="X30" s="152"/>
      <c r="Y30" s="95" t="str">
        <f>IFERROR(INDEX('Raw Data - Occupancy'!$AP$7:$AU$85,MATCH(OccupancyAssumptions[[#This Row],[ASHRAE 2013 Space Type]],'Raw Data - Occupancy'!$AP$7:$AP$85,0),MATCH("Rp (CFM/per)",'Raw Data - Occupancy'!$AP$7:$AU$7,0)),"")</f>
        <v/>
      </c>
      <c r="Z30" s="95" t="str">
        <f>IFERROR(INDEX('Raw Data - Occupancy'!$AP$7:$AU$85,MATCH(OccupancyAssumptions[[#This Row],[ASHRAE 2013 Space Type]],'Raw Data - Occupancy'!$AP$7:$AP$85,0),MATCH("Ra (cfm/ft2)",'Raw Data - Occupancy'!$AP$7:$AU$7,0)),"")</f>
        <v/>
      </c>
      <c r="AA30" s="95" t="str">
        <f>IFERROR(INDEX('Raw Data - Occupancy'!$AP$7:$AU$85,MATCH(OccupancyAssumptions[[#This Row],[ASHRAE 2013 Space Type]],'Raw Data - Occupancy'!$AP$7:$AP$85,0),MATCH("#/1000 ft2 (#/100 m2)",'Raw Data - Occupancy'!$AP$7:$AU$7,0)),"")</f>
        <v/>
      </c>
      <c r="AB30" s="153" t="str">
        <f>IFERROR(OccupancyAssumptions[[#This Row],[ASHRAE 2013 Occupant Density
'[People/1000SF']]]*OccupancyAssumptions[[#This Row],[Area (sqft)]]/1000,"")</f>
        <v/>
      </c>
      <c r="AC30" s="20" t="str">
        <f>IF(OccupancyAssumptions[[#This Row],[ASHRAE 2013 Occupant Density
'[People/1000SF']]]="","",IF(OccupancyAssumptions[[#This Row],[ASHRAE 2013 Occupant Density
'[People/1000SF']]]&gt;=50,"YES","NO"))</f>
        <v/>
      </c>
      <c r="AD30" s="152"/>
      <c r="AE30" s="95" t="str">
        <f>IFERROR(INDEX('Raw Data - Occupancy'!$AW$7:$BB$85,MATCH(OccupancyAssumptions[[#This Row],[ASHRAE 2016 Space Type]],'Raw Data - Occupancy'!$AW$7:$AW$85,0),MATCH("Rp (CFM/per)",'Raw Data - Occupancy'!$AW$7:$BB$7,0)),"")</f>
        <v/>
      </c>
      <c r="AF30" s="95" t="str">
        <f>IFERROR(INDEX('Raw Data - Occupancy'!$AW$7:$BB$85,MATCH(OccupancyAssumptions[[#This Row],[ASHRAE 2016 Space Type]],'Raw Data - Occupancy'!$AW$7:$AW$85,0),MATCH("Ra (cfm/ft2)",'Raw Data - Occupancy'!$AW$7:$BB$7,0)),"")</f>
        <v/>
      </c>
      <c r="AG30" s="95" t="str">
        <f>IFERROR(INDEX('Raw Data - Occupancy'!$AW$7:$BB$85,MATCH(OccupancyAssumptions[[#This Row],[ASHRAE 2016 Space Type]],'Raw Data - Occupancy'!$AW$7:$AW$85,0),MATCH("#/1000 ft2 (#/100 m2)",'Raw Data - Occupancy'!$AW$7:$BB$7,0)),"")</f>
        <v/>
      </c>
      <c r="AH30" s="153" t="str">
        <f>IFERROR(OccupancyAssumptions[[#This Row],[ASHRAE 2016 Occupant Density
'[People/1000SF']]]*OccupancyAssumptions[[#This Row],[Area (sqft)]]/1000,"")</f>
        <v/>
      </c>
      <c r="AI30" s="20" t="str">
        <f>IF(OccupancyAssumptions[[#This Row],[ASHRAE 2016 Occupant Density
'[People/1000SF']]]="","",IF(OccupancyAssumptions[[#This Row],[ASHRAE 2016 Occupant Density
'[People/1000SF']]]&gt;=50,"YES","NO"))</f>
        <v/>
      </c>
      <c r="AJ30" s="152"/>
      <c r="AK30" s="95" t="str">
        <f>IFERROR(INDEX('Raw Data - Occupancy'!$BD$7:$BI$85,MATCH(OccupancyAssumptions[[#This Row],[ASHRAE 2019 Space Type]],'Raw Data - Occupancy'!$BD$7:$BD$85,0),MATCH("Rp (CFM/per)",'Raw Data - Occupancy'!$BD$7:$BI$7,0)),"")</f>
        <v/>
      </c>
      <c r="AL30" s="95" t="str">
        <f>IFERROR(INDEX('Raw Data - Occupancy'!$BD$7:$BI$85,MATCH(OccupancyAssumptions[[#This Row],[ASHRAE 2019 Space Type]],'Raw Data - Occupancy'!$BD$7:$BD$85,0),MATCH("Ra (cfm/ft2)",'Raw Data - Occupancy'!$BD$7:$BI$7,0)),"")</f>
        <v/>
      </c>
      <c r="AM30" s="95" t="str">
        <f>IFERROR(INDEX('Raw Data - Occupancy'!$BD$7:$BI$85,MATCH(OccupancyAssumptions[[#This Row],[ASHRAE 2019 Space Type]],'Raw Data - Occupancy'!$BD$7:$BD$85,0),MATCH("#/1000 ft2 (#/100 m2)",'Raw Data - Occupancy'!$BD$7:$BI$7,0)),"")</f>
        <v/>
      </c>
      <c r="AN30" s="155" t="str">
        <f>IFERROR(OccupancyAssumptions[[#This Row],[ASHRAE 2019 Occupant Density
'[People/1000SF']]]*OccupancyAssumptions[[#This Row],[Area (sqft)]]/1000,"")</f>
        <v/>
      </c>
      <c r="AO30" s="156" t="str">
        <f>IF(OccupancyAssumptions[[#This Row],[ASHRAE 2019 Occupant Density
'[People/1000SF']]]="","",IF(OccupancyAssumptions[[#This Row],[ASHRAE 2019 Occupant Density
'[People/1000SF']]]&gt;=50,"YES","NO"))</f>
        <v/>
      </c>
      <c r="AP30" s="152" t="s">
        <v>214</v>
      </c>
      <c r="AQ30" s="154">
        <v>4</v>
      </c>
      <c r="AR30" s="154" t="s">
        <v>214</v>
      </c>
      <c r="AS30" s="471" t="s">
        <v>214</v>
      </c>
      <c r="AT30" s="471" t="str">
        <f>IFERROR(1000/OccupancyAssumptions[[#This Row],[Design Occupant Density '[SF/Person']]],"-")</f>
        <v>-</v>
      </c>
      <c r="AU30" s="156" t="str">
        <f>IF(OccupancyAssumptions[[#This Row],[Design Occupant Density
'[People/1000SF']]]="-","",IF(OccupancyAssumptions[[#This Row],[Design Occupant Density
'[People/1000SF']]]&gt;=50,"YES","NO"))</f>
        <v/>
      </c>
      <c r="AV30" s="26"/>
    </row>
    <row r="31" spans="2:48" x14ac:dyDescent="0.25">
      <c r="B31" s="18">
        <v>14</v>
      </c>
      <c r="C31" s="19" t="str">
        <f>IF('Master Room List'!R29="","",'Master Room List'!R29)</f>
        <v/>
      </c>
      <c r="D31" s="20" t="str">
        <f>IF(OccupancyAssumptions[[#This Row],[Space Type]]="","-",VLOOKUP(OccupancyAssumptions[[#This Row],[Space Type]],MasterRoomList_SpaceTypeSummary[[#All],[SpaceType]:[% of Total Area]],3,FALSE))</f>
        <v>-</v>
      </c>
      <c r="E31" s="152" t="s">
        <v>214</v>
      </c>
      <c r="F31" s="19" t="str">
        <f>IF(OccupancyAssumptions[[#This Row],[Space Type]]="","",INDEX('Raw Data - Occupancy'!$V$6:$Z$92,MATCH(OccupancyAssumptions[[#This Row],[Primary Function Area]],'Raw Data - Occupancy'!$V$6:$V$92,0),MATCH('Raw Data - Occupancy'!$W$6,'Raw Data - Occupancy'!$V$6:$Z$6,0)))</f>
        <v/>
      </c>
      <c r="G31" s="19" t="str">
        <f>IF(OccupancyAssumptions[[#This Row],[Space Type]]="","",INDEX('Raw Data - Occupancy'!$V$6:$Z$92,MATCH(OccupancyAssumptions[[#This Row],[Primary Function Area]],'Raw Data - Occupancy'!$V$6:$V$92,0),MATCH('Raw Data - Occupancy'!$X$6,'Raw Data - Occupancy'!$V$6:$Z$6,0)))</f>
        <v/>
      </c>
      <c r="H31" s="19" t="str">
        <f>IF(OccupancyAssumptions[[#This Row],[Space Type]]="","",15)</f>
        <v/>
      </c>
      <c r="I31" s="19" t="str">
        <f>IFERROR(INDEX('Raw Data - Occupancy'!$AW$7:$BB$85,MATCH(OccupancyAssumptions[[#This Row],[ASHRAE 2019 Space Type]],'Raw Data - Occupancy'!$AW$7:$AW$85,0),MATCH("#/1000 ft2 (#/100 m2)",'Raw Data - Occupancy'!$AW$7:$BB$7,0)),"")</f>
        <v/>
      </c>
      <c r="J31" s="153" t="str">
        <f>IFERROR(OccupancyAssumptions[[#This Row],[Occupant Density
'[People/1000SF']]]*OccupancyAssumptions[[#This Row],[Area (sqft)]]/1000,"")</f>
        <v/>
      </c>
      <c r="K31" s="20" t="str">
        <f>IF(OccupancyAssumptions[[#This Row],[Occupant Density
'[People/1000SF']]]="","",IF(OccupancyAssumptions[[#This Row],[Occupant Density
'[People/1000SF']]]&gt;=50,"YES","NO"))</f>
        <v/>
      </c>
      <c r="L31" s="152"/>
      <c r="M31" s="95" t="str">
        <f>IFERROR(INDEX('Raw Data - Occupancy'!$AB$7:$AG$85,MATCH(OccupancyAssumptions[[#This Row],[ASHRAE 2007 Space Type]],'Raw Data - Occupancy'!$AB$7:$AB$85,0),MATCH("Rp (CFM/per)",'Raw Data - Occupancy'!$AB$7:$AG$7,0)),"")</f>
        <v/>
      </c>
      <c r="N31" s="95" t="str">
        <f>IFERROR(INDEX('Raw Data - Occupancy'!$AB$7:$AG$85,MATCH(OccupancyAssumptions[[#This Row],[ASHRAE 2007 Space Type]],'Raw Data - Occupancy'!$AB$7:$AB$85,0),MATCH("Ra (cfm/ft2)",'Raw Data - Occupancy'!$AB$7:$AG$7,0)),"")</f>
        <v/>
      </c>
      <c r="O31" s="95" t="str">
        <f>IFERROR(INDEX('Raw Data - Occupancy'!$AB$7:$AG$85,MATCH(OccupancyAssumptions[[#This Row],[ASHRAE 2007 Space Type]],'Raw Data - Occupancy'!$AB$7:$AB$85,0),MATCH("#/1000 ft2 (#/100 m2)",'Raw Data - Occupancy'!$AB$7:$AG$7,0)),"")</f>
        <v/>
      </c>
      <c r="P31" s="153" t="str">
        <f>IFERROR(OccupancyAssumptions[[#This Row],[ASHRAE 2007 Occupant Density
'[People/1000SF']]]*OccupancyAssumptions[[#This Row],[Area (sqft)]]/1000,"")</f>
        <v/>
      </c>
      <c r="Q31" s="20" t="str">
        <f>IF(OccupancyAssumptions[[#This Row],[ASHRAE 2007 Occupant Density
'[People/1000SF']]]="","",IF(OccupancyAssumptions[[#This Row],[ASHRAE 2007 Occupant Density
'[People/1000SF']]]&gt;=50,"YES","NO"))</f>
        <v/>
      </c>
      <c r="R31" s="152"/>
      <c r="S31" s="95" t="str">
        <f>IFERROR(INDEX('Raw Data - Occupancy'!$AI$7:$AN$85,MATCH(OccupancyAssumptions[[#This Row],[ASHRAE 2010 Space Type]],'Raw Data - Occupancy'!$AI$7:$AI$85,0),MATCH("Rp (CFM/per)",'Raw Data - Occupancy'!$AI$7:$AN$7,0)),"")</f>
        <v/>
      </c>
      <c r="T31" s="95" t="str">
        <f>IFERROR(INDEX('Raw Data - Occupancy'!$AI$7:$AN$85,MATCH(OccupancyAssumptions[[#This Row],[ASHRAE 2010 Space Type]],'Raw Data - Occupancy'!$AI$7:$AI$85,0),MATCH("Ra (cfm/ft2)",'Raw Data - Occupancy'!$AI$7:$AN$7,0)),"")</f>
        <v/>
      </c>
      <c r="U31" s="95" t="str">
        <f>IFERROR(INDEX('Raw Data - Occupancy'!$AI$7:$AN$85,MATCH(OccupancyAssumptions[[#This Row],[ASHRAE 2010 Space Type]],'Raw Data - Occupancy'!$AI$7:$AI$85,0),MATCH("#/1000 ft2 (#/100 m2)",'Raw Data - Occupancy'!$AI$7:$AN$7,0)),"")</f>
        <v/>
      </c>
      <c r="V31" s="153" t="str">
        <f>IFERROR(OccupancyAssumptions[[#This Row],[ASHRAE 2010 Occupant Density
'[People/1000SF']]]*OccupancyAssumptions[[#This Row],[Area (sqft)]]/1000,"")</f>
        <v/>
      </c>
      <c r="W31" s="20" t="str">
        <f>IF(OccupancyAssumptions[[#This Row],[ASHRAE 2010 Occupant Density
'[People/1000SF']]]="","",IF(OccupancyAssumptions[[#This Row],[ASHRAE 2010 Occupant Density
'[People/1000SF']]]&gt;=50,"YES","NO"))</f>
        <v/>
      </c>
      <c r="X31" s="152"/>
      <c r="Y31" s="95" t="str">
        <f>IFERROR(INDEX('Raw Data - Occupancy'!$AP$7:$AU$85,MATCH(OccupancyAssumptions[[#This Row],[ASHRAE 2013 Space Type]],'Raw Data - Occupancy'!$AP$7:$AP$85,0),MATCH("Rp (CFM/per)",'Raw Data - Occupancy'!$AP$7:$AU$7,0)),"")</f>
        <v/>
      </c>
      <c r="Z31" s="95" t="str">
        <f>IFERROR(INDEX('Raw Data - Occupancy'!$AP$7:$AU$85,MATCH(OccupancyAssumptions[[#This Row],[ASHRAE 2013 Space Type]],'Raw Data - Occupancy'!$AP$7:$AP$85,0),MATCH("Ra (cfm/ft2)",'Raw Data - Occupancy'!$AP$7:$AU$7,0)),"")</f>
        <v/>
      </c>
      <c r="AA31" s="95" t="str">
        <f>IFERROR(INDEX('Raw Data - Occupancy'!$AP$7:$AU$85,MATCH(OccupancyAssumptions[[#This Row],[ASHRAE 2013 Space Type]],'Raw Data - Occupancy'!$AP$7:$AP$85,0),MATCH("#/1000 ft2 (#/100 m2)",'Raw Data - Occupancy'!$AP$7:$AU$7,0)),"")</f>
        <v/>
      </c>
      <c r="AB31" s="153" t="str">
        <f>IFERROR(OccupancyAssumptions[[#This Row],[ASHRAE 2013 Occupant Density
'[People/1000SF']]]*OccupancyAssumptions[[#This Row],[Area (sqft)]]/1000,"")</f>
        <v/>
      </c>
      <c r="AC31" s="20" t="str">
        <f>IF(OccupancyAssumptions[[#This Row],[ASHRAE 2013 Occupant Density
'[People/1000SF']]]="","",IF(OccupancyAssumptions[[#This Row],[ASHRAE 2013 Occupant Density
'[People/1000SF']]]&gt;=50,"YES","NO"))</f>
        <v/>
      </c>
      <c r="AD31" s="152"/>
      <c r="AE31" s="95" t="str">
        <f>IFERROR(INDEX('Raw Data - Occupancy'!$AW$7:$BB$85,MATCH(OccupancyAssumptions[[#This Row],[ASHRAE 2016 Space Type]],'Raw Data - Occupancy'!$AW$7:$AW$85,0),MATCH("Rp (CFM/per)",'Raw Data - Occupancy'!$AW$7:$BB$7,0)),"")</f>
        <v/>
      </c>
      <c r="AF31" s="95" t="str">
        <f>IFERROR(INDEX('Raw Data - Occupancy'!$AW$7:$BB$85,MATCH(OccupancyAssumptions[[#This Row],[ASHRAE 2016 Space Type]],'Raw Data - Occupancy'!$AW$7:$AW$85,0),MATCH("Ra (cfm/ft2)",'Raw Data - Occupancy'!$AW$7:$BB$7,0)),"")</f>
        <v/>
      </c>
      <c r="AG31" s="95" t="str">
        <f>IFERROR(INDEX('Raw Data - Occupancy'!$AW$7:$BB$85,MATCH(OccupancyAssumptions[[#This Row],[ASHRAE 2016 Space Type]],'Raw Data - Occupancy'!$AW$7:$AW$85,0),MATCH("#/1000 ft2 (#/100 m2)",'Raw Data - Occupancy'!$AW$7:$BB$7,0)),"")</f>
        <v/>
      </c>
      <c r="AH31" s="153" t="str">
        <f>IFERROR(OccupancyAssumptions[[#This Row],[ASHRAE 2016 Occupant Density
'[People/1000SF']]]*OccupancyAssumptions[[#This Row],[Area (sqft)]]/1000,"")</f>
        <v/>
      </c>
      <c r="AI31" s="20" t="str">
        <f>IF(OccupancyAssumptions[[#This Row],[ASHRAE 2016 Occupant Density
'[People/1000SF']]]="","",IF(OccupancyAssumptions[[#This Row],[ASHRAE 2016 Occupant Density
'[People/1000SF']]]&gt;=50,"YES","NO"))</f>
        <v/>
      </c>
      <c r="AJ31" s="152"/>
      <c r="AK31" s="95" t="str">
        <f>IFERROR(INDEX('Raw Data - Occupancy'!$BD$7:$BI$85,MATCH(OccupancyAssumptions[[#This Row],[ASHRAE 2019 Space Type]],'Raw Data - Occupancy'!$BD$7:$BD$85,0),MATCH("Rp (CFM/per)",'Raw Data - Occupancy'!$BD$7:$BI$7,0)),"")</f>
        <v/>
      </c>
      <c r="AL31" s="95" t="str">
        <f>IFERROR(INDEX('Raw Data - Occupancy'!$BD$7:$BI$85,MATCH(OccupancyAssumptions[[#This Row],[ASHRAE 2019 Space Type]],'Raw Data - Occupancy'!$BD$7:$BD$85,0),MATCH("Ra (cfm/ft2)",'Raw Data - Occupancy'!$BD$7:$BI$7,0)),"")</f>
        <v/>
      </c>
      <c r="AM31" s="95" t="str">
        <f>IFERROR(INDEX('Raw Data - Occupancy'!$BD$7:$BI$85,MATCH(OccupancyAssumptions[[#This Row],[ASHRAE 2019 Space Type]],'Raw Data - Occupancy'!$BD$7:$BD$85,0),MATCH("#/1000 ft2 (#/100 m2)",'Raw Data - Occupancy'!$BD$7:$BI$7,0)),"")</f>
        <v/>
      </c>
      <c r="AN31" s="155" t="str">
        <f>IFERROR(OccupancyAssumptions[[#This Row],[ASHRAE 2019 Occupant Density
'[People/1000SF']]]*OccupancyAssumptions[[#This Row],[Area (sqft)]]/1000,"")</f>
        <v/>
      </c>
      <c r="AO31" s="156" t="str">
        <f>IF(OccupancyAssumptions[[#This Row],[ASHRAE 2019 Occupant Density
'[People/1000SF']]]="","",IF(OccupancyAssumptions[[#This Row],[ASHRAE 2019 Occupant Density
'[People/1000SF']]]&gt;=50,"YES","NO"))</f>
        <v/>
      </c>
      <c r="AP31" s="152" t="s">
        <v>214</v>
      </c>
      <c r="AQ31" s="154" t="s">
        <v>214</v>
      </c>
      <c r="AR31" s="154" t="s">
        <v>214</v>
      </c>
      <c r="AS31" s="471" t="s">
        <v>214</v>
      </c>
      <c r="AT31" s="471" t="str">
        <f>IFERROR(1000/OccupancyAssumptions[[#This Row],[Design Occupant Density '[SF/Person']]],"-")</f>
        <v>-</v>
      </c>
      <c r="AU31" s="156" t="str">
        <f>IF(OccupancyAssumptions[[#This Row],[Design Occupant Density
'[People/1000SF']]]="-","",IF(OccupancyAssumptions[[#This Row],[Design Occupant Density
'[People/1000SF']]]&gt;=50,"YES","NO"))</f>
        <v/>
      </c>
      <c r="AV31" s="26"/>
    </row>
    <row r="32" spans="2:48" x14ac:dyDescent="0.25">
      <c r="B32" s="18">
        <v>15</v>
      </c>
      <c r="C32" s="19" t="str">
        <f>IF('Master Room List'!R30="","",'Master Room List'!R30)</f>
        <v/>
      </c>
      <c r="D32" s="20" t="str">
        <f>IF(OccupancyAssumptions[[#This Row],[Space Type]]="","-",VLOOKUP(OccupancyAssumptions[[#This Row],[Space Type]],MasterRoomList_SpaceTypeSummary[[#All],[SpaceType]:[% of Total Area]],3,FALSE))</f>
        <v>-</v>
      </c>
      <c r="E32" s="152" t="s">
        <v>214</v>
      </c>
      <c r="F32" s="19" t="str">
        <f>IF(OccupancyAssumptions[[#This Row],[Space Type]]="","",INDEX('Raw Data - Occupancy'!$V$6:$Z$92,MATCH(OccupancyAssumptions[[#This Row],[Primary Function Area]],'Raw Data - Occupancy'!$V$6:$V$92,0),MATCH('Raw Data - Occupancy'!$W$6,'Raw Data - Occupancy'!$V$6:$Z$6,0)))</f>
        <v/>
      </c>
      <c r="G32" s="19" t="str">
        <f>IF(OccupancyAssumptions[[#This Row],[Space Type]]="","",INDEX('Raw Data - Occupancy'!$V$6:$Z$92,MATCH(OccupancyAssumptions[[#This Row],[Primary Function Area]],'Raw Data - Occupancy'!$V$6:$V$92,0),MATCH('Raw Data - Occupancy'!$X$6,'Raw Data - Occupancy'!$V$6:$Z$6,0)))</f>
        <v/>
      </c>
      <c r="H32" s="19" t="str">
        <f>IF(OccupancyAssumptions[[#This Row],[Space Type]]="","",15)</f>
        <v/>
      </c>
      <c r="I32" s="19" t="str">
        <f>IFERROR(INDEX('Raw Data - Occupancy'!$AW$7:$BB$85,MATCH(OccupancyAssumptions[[#This Row],[ASHRAE 2019 Space Type]],'Raw Data - Occupancy'!$AW$7:$AW$85,0),MATCH("#/1000 ft2 (#/100 m2)",'Raw Data - Occupancy'!$AW$7:$BB$7,0)),"")</f>
        <v/>
      </c>
      <c r="J32" s="153" t="str">
        <f>IFERROR(OccupancyAssumptions[[#This Row],[Occupant Density
'[People/1000SF']]]*OccupancyAssumptions[[#This Row],[Area (sqft)]]/1000,"")</f>
        <v/>
      </c>
      <c r="K32" s="20" t="str">
        <f>IF(OccupancyAssumptions[[#This Row],[Occupant Density
'[People/1000SF']]]="","",IF(OccupancyAssumptions[[#This Row],[Occupant Density
'[People/1000SF']]]&gt;=50,"YES","NO"))</f>
        <v/>
      </c>
      <c r="L32" s="152"/>
      <c r="M32" s="95" t="str">
        <f>IFERROR(INDEX('Raw Data - Occupancy'!$AB$7:$AG$85,MATCH(OccupancyAssumptions[[#This Row],[ASHRAE 2007 Space Type]],'Raw Data - Occupancy'!$AB$7:$AB$85,0),MATCH("Rp (CFM/per)",'Raw Data - Occupancy'!$AB$7:$AG$7,0)),"")</f>
        <v/>
      </c>
      <c r="N32" s="95" t="str">
        <f>IFERROR(INDEX('Raw Data - Occupancy'!$AB$7:$AG$85,MATCH(OccupancyAssumptions[[#This Row],[ASHRAE 2007 Space Type]],'Raw Data - Occupancy'!$AB$7:$AB$85,0),MATCH("Ra (cfm/ft2)",'Raw Data - Occupancy'!$AB$7:$AG$7,0)),"")</f>
        <v/>
      </c>
      <c r="O32" s="95" t="str">
        <f>IFERROR(INDEX('Raw Data - Occupancy'!$AB$7:$AG$85,MATCH(OccupancyAssumptions[[#This Row],[ASHRAE 2007 Space Type]],'Raw Data - Occupancy'!$AB$7:$AB$85,0),MATCH("#/1000 ft2 (#/100 m2)",'Raw Data - Occupancy'!$AB$7:$AG$7,0)),"")</f>
        <v/>
      </c>
      <c r="P32" s="153" t="str">
        <f>IFERROR(OccupancyAssumptions[[#This Row],[ASHRAE 2007 Occupant Density
'[People/1000SF']]]*OccupancyAssumptions[[#This Row],[Area (sqft)]]/1000,"")</f>
        <v/>
      </c>
      <c r="Q32" s="20" t="str">
        <f>IF(OccupancyAssumptions[[#This Row],[ASHRAE 2007 Occupant Density
'[People/1000SF']]]="","",IF(OccupancyAssumptions[[#This Row],[ASHRAE 2007 Occupant Density
'[People/1000SF']]]&gt;=50,"YES","NO"))</f>
        <v/>
      </c>
      <c r="R32" s="152"/>
      <c r="S32" s="95" t="str">
        <f>IFERROR(INDEX('Raw Data - Occupancy'!$AI$7:$AN$85,MATCH(OccupancyAssumptions[[#This Row],[ASHRAE 2010 Space Type]],'Raw Data - Occupancy'!$AI$7:$AI$85,0),MATCH("Rp (CFM/per)",'Raw Data - Occupancy'!$AI$7:$AN$7,0)),"")</f>
        <v/>
      </c>
      <c r="T32" s="95" t="str">
        <f>IFERROR(INDEX('Raw Data - Occupancy'!$AI$7:$AN$85,MATCH(OccupancyAssumptions[[#This Row],[ASHRAE 2010 Space Type]],'Raw Data - Occupancy'!$AI$7:$AI$85,0),MATCH("Ra (cfm/ft2)",'Raw Data - Occupancy'!$AI$7:$AN$7,0)),"")</f>
        <v/>
      </c>
      <c r="U32" s="95" t="str">
        <f>IFERROR(INDEX('Raw Data - Occupancy'!$AI$7:$AN$85,MATCH(OccupancyAssumptions[[#This Row],[ASHRAE 2010 Space Type]],'Raw Data - Occupancy'!$AI$7:$AI$85,0),MATCH("#/1000 ft2 (#/100 m2)",'Raw Data - Occupancy'!$AI$7:$AN$7,0)),"")</f>
        <v/>
      </c>
      <c r="V32" s="153" t="str">
        <f>IFERROR(OccupancyAssumptions[[#This Row],[ASHRAE 2010 Occupant Density
'[People/1000SF']]]*OccupancyAssumptions[[#This Row],[Area (sqft)]]/1000,"")</f>
        <v/>
      </c>
      <c r="W32" s="20" t="str">
        <f>IF(OccupancyAssumptions[[#This Row],[ASHRAE 2010 Occupant Density
'[People/1000SF']]]="","",IF(OccupancyAssumptions[[#This Row],[ASHRAE 2010 Occupant Density
'[People/1000SF']]]&gt;=50,"YES","NO"))</f>
        <v/>
      </c>
      <c r="X32" s="152"/>
      <c r="Y32" s="95" t="str">
        <f>IFERROR(INDEX('Raw Data - Occupancy'!$AP$7:$AU$85,MATCH(OccupancyAssumptions[[#This Row],[ASHRAE 2013 Space Type]],'Raw Data - Occupancy'!$AP$7:$AP$85,0),MATCH("Rp (CFM/per)",'Raw Data - Occupancy'!$AP$7:$AU$7,0)),"")</f>
        <v/>
      </c>
      <c r="Z32" s="95" t="str">
        <f>IFERROR(INDEX('Raw Data - Occupancy'!$AP$7:$AU$85,MATCH(OccupancyAssumptions[[#This Row],[ASHRAE 2013 Space Type]],'Raw Data - Occupancy'!$AP$7:$AP$85,0),MATCH("Ra (cfm/ft2)",'Raw Data - Occupancy'!$AP$7:$AU$7,0)),"")</f>
        <v/>
      </c>
      <c r="AA32" s="95" t="str">
        <f>IFERROR(INDEX('Raw Data - Occupancy'!$AP$7:$AU$85,MATCH(OccupancyAssumptions[[#This Row],[ASHRAE 2013 Space Type]],'Raw Data - Occupancy'!$AP$7:$AP$85,0),MATCH("#/1000 ft2 (#/100 m2)",'Raw Data - Occupancy'!$AP$7:$AU$7,0)),"")</f>
        <v/>
      </c>
      <c r="AB32" s="153" t="str">
        <f>IFERROR(OccupancyAssumptions[[#This Row],[ASHRAE 2013 Occupant Density
'[People/1000SF']]]*OccupancyAssumptions[[#This Row],[Area (sqft)]]/1000,"")</f>
        <v/>
      </c>
      <c r="AC32" s="20" t="str">
        <f>IF(OccupancyAssumptions[[#This Row],[ASHRAE 2013 Occupant Density
'[People/1000SF']]]="","",IF(OccupancyAssumptions[[#This Row],[ASHRAE 2013 Occupant Density
'[People/1000SF']]]&gt;=50,"YES","NO"))</f>
        <v/>
      </c>
      <c r="AD32" s="152"/>
      <c r="AE32" s="95" t="str">
        <f>IFERROR(INDEX('Raw Data - Occupancy'!$AW$7:$BB$85,MATCH(OccupancyAssumptions[[#This Row],[ASHRAE 2016 Space Type]],'Raw Data - Occupancy'!$AW$7:$AW$85,0),MATCH("Rp (CFM/per)",'Raw Data - Occupancy'!$AW$7:$BB$7,0)),"")</f>
        <v/>
      </c>
      <c r="AF32" s="95" t="str">
        <f>IFERROR(INDEX('Raw Data - Occupancy'!$AW$7:$BB$85,MATCH(OccupancyAssumptions[[#This Row],[ASHRAE 2016 Space Type]],'Raw Data - Occupancy'!$AW$7:$AW$85,0),MATCH("Ra (cfm/ft2)",'Raw Data - Occupancy'!$AW$7:$BB$7,0)),"")</f>
        <v/>
      </c>
      <c r="AG32" s="95" t="str">
        <f>IFERROR(INDEX('Raw Data - Occupancy'!$AW$7:$BB$85,MATCH(OccupancyAssumptions[[#This Row],[ASHRAE 2016 Space Type]],'Raw Data - Occupancy'!$AW$7:$AW$85,0),MATCH("#/1000 ft2 (#/100 m2)",'Raw Data - Occupancy'!$AW$7:$BB$7,0)),"")</f>
        <v/>
      </c>
      <c r="AH32" s="153" t="str">
        <f>IFERROR(OccupancyAssumptions[[#This Row],[ASHRAE 2016 Occupant Density
'[People/1000SF']]]*OccupancyAssumptions[[#This Row],[Area (sqft)]]/1000,"")</f>
        <v/>
      </c>
      <c r="AI32" s="20" t="str">
        <f>IF(OccupancyAssumptions[[#This Row],[ASHRAE 2016 Occupant Density
'[People/1000SF']]]="","",IF(OccupancyAssumptions[[#This Row],[ASHRAE 2016 Occupant Density
'[People/1000SF']]]&gt;=50,"YES","NO"))</f>
        <v/>
      </c>
      <c r="AJ32" s="152"/>
      <c r="AK32" s="95" t="str">
        <f>IFERROR(INDEX('Raw Data - Occupancy'!$BD$7:$BI$85,MATCH(OccupancyAssumptions[[#This Row],[ASHRAE 2019 Space Type]],'Raw Data - Occupancy'!$BD$7:$BD$85,0),MATCH("Rp (CFM/per)",'Raw Data - Occupancy'!$BD$7:$BI$7,0)),"")</f>
        <v/>
      </c>
      <c r="AL32" s="95" t="str">
        <f>IFERROR(INDEX('Raw Data - Occupancy'!$BD$7:$BI$85,MATCH(OccupancyAssumptions[[#This Row],[ASHRAE 2019 Space Type]],'Raw Data - Occupancy'!$BD$7:$BD$85,0),MATCH("Ra (cfm/ft2)",'Raw Data - Occupancy'!$BD$7:$BI$7,0)),"")</f>
        <v/>
      </c>
      <c r="AM32" s="95" t="str">
        <f>IFERROR(INDEX('Raw Data - Occupancy'!$BD$7:$BI$85,MATCH(OccupancyAssumptions[[#This Row],[ASHRAE 2019 Space Type]],'Raw Data - Occupancy'!$BD$7:$BD$85,0),MATCH("#/1000 ft2 (#/100 m2)",'Raw Data - Occupancy'!$BD$7:$BI$7,0)),"")</f>
        <v/>
      </c>
      <c r="AN32" s="155" t="str">
        <f>IFERROR(OccupancyAssumptions[[#This Row],[ASHRAE 2019 Occupant Density
'[People/1000SF']]]*OccupancyAssumptions[[#This Row],[Area (sqft)]]/1000,"")</f>
        <v/>
      </c>
      <c r="AO32" s="156" t="str">
        <f>IF(OccupancyAssumptions[[#This Row],[ASHRAE 2019 Occupant Density
'[People/1000SF']]]="","",IF(OccupancyAssumptions[[#This Row],[ASHRAE 2019 Occupant Density
'[People/1000SF']]]&gt;=50,"YES","NO"))</f>
        <v/>
      </c>
      <c r="AP32" s="152" t="s">
        <v>214</v>
      </c>
      <c r="AQ32" s="154">
        <v>6</v>
      </c>
      <c r="AR32" s="154" t="s">
        <v>214</v>
      </c>
      <c r="AS32" s="471">
        <v>200</v>
      </c>
      <c r="AT32" s="471">
        <f>IFERROR(1000/OccupancyAssumptions[[#This Row],[Design Occupant Density '[SF/Person']]],"-")</f>
        <v>5</v>
      </c>
      <c r="AU32" s="156" t="str">
        <f>IF(OccupancyAssumptions[[#This Row],[Design Occupant Density
'[People/1000SF']]]="-","",IF(OccupancyAssumptions[[#This Row],[Design Occupant Density
'[People/1000SF']]]&gt;=50,"YES","NO"))</f>
        <v>NO</v>
      </c>
      <c r="AV32" s="26"/>
    </row>
    <row r="33" spans="2:48" x14ac:dyDescent="0.25">
      <c r="B33" s="18">
        <v>16</v>
      </c>
      <c r="C33" s="19" t="str">
        <f>IF('Master Room List'!R31="","",'Master Room List'!R31)</f>
        <v/>
      </c>
      <c r="D33" s="20" t="str">
        <f>IF(OccupancyAssumptions[[#This Row],[Space Type]]="","-",VLOOKUP(OccupancyAssumptions[[#This Row],[Space Type]],MasterRoomList_SpaceTypeSummary[[#All],[SpaceType]:[% of Total Area]],3,FALSE))</f>
        <v>-</v>
      </c>
      <c r="E33" s="152" t="s">
        <v>214</v>
      </c>
      <c r="F33" s="19" t="str">
        <f>IF(OccupancyAssumptions[[#This Row],[Space Type]]="","",INDEX('Raw Data - Occupancy'!$V$6:$Z$92,MATCH(OccupancyAssumptions[[#This Row],[Primary Function Area]],'Raw Data - Occupancy'!$V$6:$V$92,0),MATCH('Raw Data - Occupancy'!$W$6,'Raw Data - Occupancy'!$V$6:$Z$6,0)))</f>
        <v/>
      </c>
      <c r="G33" s="19" t="str">
        <f>IF(OccupancyAssumptions[[#This Row],[Space Type]]="","",INDEX('Raw Data - Occupancy'!$V$6:$Z$92,MATCH(OccupancyAssumptions[[#This Row],[Primary Function Area]],'Raw Data - Occupancy'!$V$6:$V$92,0),MATCH('Raw Data - Occupancy'!$X$6,'Raw Data - Occupancy'!$V$6:$Z$6,0)))</f>
        <v/>
      </c>
      <c r="H33" s="19" t="str">
        <f>IF(OccupancyAssumptions[[#This Row],[Space Type]]="","",15)</f>
        <v/>
      </c>
      <c r="I33" s="19" t="str">
        <f>IFERROR(INDEX('Raw Data - Occupancy'!$AW$7:$BB$85,MATCH(OccupancyAssumptions[[#This Row],[ASHRAE 2019 Space Type]],'Raw Data - Occupancy'!$AW$7:$AW$85,0),MATCH("#/1000 ft2 (#/100 m2)",'Raw Data - Occupancy'!$AW$7:$BB$7,0)),"")</f>
        <v/>
      </c>
      <c r="J33" s="153" t="str">
        <f>IFERROR(OccupancyAssumptions[[#This Row],[Occupant Density
'[People/1000SF']]]*OccupancyAssumptions[[#This Row],[Area (sqft)]]/1000,"")</f>
        <v/>
      </c>
      <c r="K33" s="20" t="str">
        <f>IF(OccupancyAssumptions[[#This Row],[Occupant Density
'[People/1000SF']]]="","",IF(OccupancyAssumptions[[#This Row],[Occupant Density
'[People/1000SF']]]&gt;=50,"YES","NO"))</f>
        <v/>
      </c>
      <c r="L33" s="152"/>
      <c r="M33" s="95" t="str">
        <f>IFERROR(INDEX('Raw Data - Occupancy'!$AB$7:$AG$85,MATCH(OccupancyAssumptions[[#This Row],[ASHRAE 2007 Space Type]],'Raw Data - Occupancy'!$AB$7:$AB$85,0),MATCH("Rp (CFM/per)",'Raw Data - Occupancy'!$AB$7:$AG$7,0)),"")</f>
        <v/>
      </c>
      <c r="N33" s="95" t="str">
        <f>IFERROR(INDEX('Raw Data - Occupancy'!$AB$7:$AG$85,MATCH(OccupancyAssumptions[[#This Row],[ASHRAE 2007 Space Type]],'Raw Data - Occupancy'!$AB$7:$AB$85,0),MATCH("Ra (cfm/ft2)",'Raw Data - Occupancy'!$AB$7:$AG$7,0)),"")</f>
        <v/>
      </c>
      <c r="O33" s="95" t="str">
        <f>IFERROR(INDEX('Raw Data - Occupancy'!$AB$7:$AG$85,MATCH(OccupancyAssumptions[[#This Row],[ASHRAE 2007 Space Type]],'Raw Data - Occupancy'!$AB$7:$AB$85,0),MATCH("#/1000 ft2 (#/100 m2)",'Raw Data - Occupancy'!$AB$7:$AG$7,0)),"")</f>
        <v/>
      </c>
      <c r="P33" s="153" t="str">
        <f>IFERROR(OccupancyAssumptions[[#This Row],[ASHRAE 2007 Occupant Density
'[People/1000SF']]]*OccupancyAssumptions[[#This Row],[Area (sqft)]]/1000,"")</f>
        <v/>
      </c>
      <c r="Q33" s="20" t="str">
        <f>IF(OccupancyAssumptions[[#This Row],[ASHRAE 2007 Occupant Density
'[People/1000SF']]]="","",IF(OccupancyAssumptions[[#This Row],[ASHRAE 2007 Occupant Density
'[People/1000SF']]]&gt;=50,"YES","NO"))</f>
        <v/>
      </c>
      <c r="R33" s="152"/>
      <c r="S33" s="95" t="str">
        <f>IFERROR(INDEX('Raw Data - Occupancy'!$AI$7:$AN$85,MATCH(OccupancyAssumptions[[#This Row],[ASHRAE 2010 Space Type]],'Raw Data - Occupancy'!$AI$7:$AI$85,0),MATCH("Rp (CFM/per)",'Raw Data - Occupancy'!$AI$7:$AN$7,0)),"")</f>
        <v/>
      </c>
      <c r="T33" s="95" t="str">
        <f>IFERROR(INDEX('Raw Data - Occupancy'!$AI$7:$AN$85,MATCH(OccupancyAssumptions[[#This Row],[ASHRAE 2010 Space Type]],'Raw Data - Occupancy'!$AI$7:$AI$85,0),MATCH("Ra (cfm/ft2)",'Raw Data - Occupancy'!$AI$7:$AN$7,0)),"")</f>
        <v/>
      </c>
      <c r="U33" s="95" t="str">
        <f>IFERROR(INDEX('Raw Data - Occupancy'!$AI$7:$AN$85,MATCH(OccupancyAssumptions[[#This Row],[ASHRAE 2010 Space Type]],'Raw Data - Occupancy'!$AI$7:$AI$85,0),MATCH("#/1000 ft2 (#/100 m2)",'Raw Data - Occupancy'!$AI$7:$AN$7,0)),"")</f>
        <v/>
      </c>
      <c r="V33" s="153" t="str">
        <f>IFERROR(OccupancyAssumptions[[#This Row],[ASHRAE 2010 Occupant Density
'[People/1000SF']]]*OccupancyAssumptions[[#This Row],[Area (sqft)]]/1000,"")</f>
        <v/>
      </c>
      <c r="W33" s="20" t="str">
        <f>IF(OccupancyAssumptions[[#This Row],[ASHRAE 2010 Occupant Density
'[People/1000SF']]]="","",IF(OccupancyAssumptions[[#This Row],[ASHRAE 2010 Occupant Density
'[People/1000SF']]]&gt;=50,"YES","NO"))</f>
        <v/>
      </c>
      <c r="X33" s="152"/>
      <c r="Y33" s="95" t="str">
        <f>IFERROR(INDEX('Raw Data - Occupancy'!$AP$7:$AU$85,MATCH(OccupancyAssumptions[[#This Row],[ASHRAE 2013 Space Type]],'Raw Data - Occupancy'!$AP$7:$AP$85,0),MATCH("Rp (CFM/per)",'Raw Data - Occupancy'!$AP$7:$AU$7,0)),"")</f>
        <v/>
      </c>
      <c r="Z33" s="95" t="str">
        <f>IFERROR(INDEX('Raw Data - Occupancy'!$AP$7:$AU$85,MATCH(OccupancyAssumptions[[#This Row],[ASHRAE 2013 Space Type]],'Raw Data - Occupancy'!$AP$7:$AP$85,0),MATCH("Ra (cfm/ft2)",'Raw Data - Occupancy'!$AP$7:$AU$7,0)),"")</f>
        <v/>
      </c>
      <c r="AA33" s="95" t="str">
        <f>IFERROR(INDEX('Raw Data - Occupancy'!$AP$7:$AU$85,MATCH(OccupancyAssumptions[[#This Row],[ASHRAE 2013 Space Type]],'Raw Data - Occupancy'!$AP$7:$AP$85,0),MATCH("#/1000 ft2 (#/100 m2)",'Raw Data - Occupancy'!$AP$7:$AU$7,0)),"")</f>
        <v/>
      </c>
      <c r="AB33" s="153" t="str">
        <f>IFERROR(OccupancyAssumptions[[#This Row],[ASHRAE 2013 Occupant Density
'[People/1000SF']]]*OccupancyAssumptions[[#This Row],[Area (sqft)]]/1000,"")</f>
        <v/>
      </c>
      <c r="AC33" s="20" t="str">
        <f>IF(OccupancyAssumptions[[#This Row],[ASHRAE 2013 Occupant Density
'[People/1000SF']]]="","",IF(OccupancyAssumptions[[#This Row],[ASHRAE 2013 Occupant Density
'[People/1000SF']]]&gt;=50,"YES","NO"))</f>
        <v/>
      </c>
      <c r="AD33" s="152"/>
      <c r="AE33" s="95" t="str">
        <f>IFERROR(INDEX('Raw Data - Occupancy'!$AW$7:$BB$85,MATCH(OccupancyAssumptions[[#This Row],[ASHRAE 2016 Space Type]],'Raw Data - Occupancy'!$AW$7:$AW$85,0),MATCH("Rp (CFM/per)",'Raw Data - Occupancy'!$AW$7:$BB$7,0)),"")</f>
        <v/>
      </c>
      <c r="AF33" s="95" t="str">
        <f>IFERROR(INDEX('Raw Data - Occupancy'!$AW$7:$BB$85,MATCH(OccupancyAssumptions[[#This Row],[ASHRAE 2016 Space Type]],'Raw Data - Occupancy'!$AW$7:$AW$85,0),MATCH("Ra (cfm/ft2)",'Raw Data - Occupancy'!$AW$7:$BB$7,0)),"")</f>
        <v/>
      </c>
      <c r="AG33" s="95" t="str">
        <f>IFERROR(INDEX('Raw Data - Occupancy'!$AW$7:$BB$85,MATCH(OccupancyAssumptions[[#This Row],[ASHRAE 2016 Space Type]],'Raw Data - Occupancy'!$AW$7:$AW$85,0),MATCH("#/1000 ft2 (#/100 m2)",'Raw Data - Occupancy'!$AW$7:$BB$7,0)),"")</f>
        <v/>
      </c>
      <c r="AH33" s="153" t="str">
        <f>IFERROR(OccupancyAssumptions[[#This Row],[ASHRAE 2016 Occupant Density
'[People/1000SF']]]*OccupancyAssumptions[[#This Row],[Area (sqft)]]/1000,"")</f>
        <v/>
      </c>
      <c r="AI33" s="20" t="str">
        <f>IF(OccupancyAssumptions[[#This Row],[ASHRAE 2016 Occupant Density
'[People/1000SF']]]="","",IF(OccupancyAssumptions[[#This Row],[ASHRAE 2016 Occupant Density
'[People/1000SF']]]&gt;=50,"YES","NO"))</f>
        <v/>
      </c>
      <c r="AJ33" s="152"/>
      <c r="AK33" s="95" t="str">
        <f>IFERROR(INDEX('Raw Data - Occupancy'!$BD$7:$BI$85,MATCH(OccupancyAssumptions[[#This Row],[ASHRAE 2019 Space Type]],'Raw Data - Occupancy'!$BD$7:$BD$85,0),MATCH("Rp (CFM/per)",'Raw Data - Occupancy'!$BD$7:$BI$7,0)),"")</f>
        <v/>
      </c>
      <c r="AL33" s="95" t="str">
        <f>IFERROR(INDEX('Raw Data - Occupancy'!$BD$7:$BI$85,MATCH(OccupancyAssumptions[[#This Row],[ASHRAE 2019 Space Type]],'Raw Data - Occupancy'!$BD$7:$BD$85,0),MATCH("Ra (cfm/ft2)",'Raw Data - Occupancy'!$BD$7:$BI$7,0)),"")</f>
        <v/>
      </c>
      <c r="AM33" s="95" t="str">
        <f>IFERROR(INDEX('Raw Data - Occupancy'!$BD$7:$BI$85,MATCH(OccupancyAssumptions[[#This Row],[ASHRAE 2019 Space Type]],'Raw Data - Occupancy'!$BD$7:$BD$85,0),MATCH("#/1000 ft2 (#/100 m2)",'Raw Data - Occupancy'!$BD$7:$BI$7,0)),"")</f>
        <v/>
      </c>
      <c r="AN33" s="155" t="str">
        <f>IFERROR(OccupancyAssumptions[[#This Row],[ASHRAE 2019 Occupant Density
'[People/1000SF']]]*OccupancyAssumptions[[#This Row],[Area (sqft)]]/1000,"")</f>
        <v/>
      </c>
      <c r="AO33" s="156" t="str">
        <f>IF(OccupancyAssumptions[[#This Row],[ASHRAE 2019 Occupant Density
'[People/1000SF']]]="","",IF(OccupancyAssumptions[[#This Row],[ASHRAE 2019 Occupant Density
'[People/1000SF']]]&gt;=50,"YES","NO"))</f>
        <v/>
      </c>
      <c r="AP33" s="152" t="s">
        <v>214</v>
      </c>
      <c r="AQ33" s="154">
        <v>4</v>
      </c>
      <c r="AR33" s="154">
        <v>2</v>
      </c>
      <c r="AS33" s="471">
        <v>50</v>
      </c>
      <c r="AT33" s="471">
        <f>IFERROR(1000/OccupancyAssumptions[[#This Row],[Design Occupant Density '[SF/Person']]],"-")</f>
        <v>20</v>
      </c>
      <c r="AU33" s="156" t="str">
        <f>IF(OccupancyAssumptions[[#This Row],[Design Occupant Density
'[People/1000SF']]]="-","",IF(OccupancyAssumptions[[#This Row],[Design Occupant Density
'[People/1000SF']]]&gt;=50,"YES","NO"))</f>
        <v>NO</v>
      </c>
      <c r="AV33" s="26"/>
    </row>
    <row r="34" spans="2:48" x14ac:dyDescent="0.25">
      <c r="B34" s="18">
        <v>17</v>
      </c>
      <c r="C34" s="19" t="str">
        <f>IF('Master Room List'!R32="","",'Master Room List'!R32)</f>
        <v/>
      </c>
      <c r="D34" s="20" t="str">
        <f>IF(OccupancyAssumptions[[#This Row],[Space Type]]="","-",VLOOKUP(OccupancyAssumptions[[#This Row],[Space Type]],MasterRoomList_SpaceTypeSummary[[#All],[SpaceType]:[% of Total Area]],3,FALSE))</f>
        <v>-</v>
      </c>
      <c r="E34" s="152" t="s">
        <v>214</v>
      </c>
      <c r="F34" s="19" t="str">
        <f>IF(OccupancyAssumptions[[#This Row],[Space Type]]="","",INDEX('Raw Data - Occupancy'!$V$6:$Z$92,MATCH(OccupancyAssumptions[[#This Row],[Primary Function Area]],'Raw Data - Occupancy'!$V$6:$V$92,0),MATCH('Raw Data - Occupancy'!$W$6,'Raw Data - Occupancy'!$V$6:$Z$6,0)))</f>
        <v/>
      </c>
      <c r="G34" s="19" t="str">
        <f>IF(OccupancyAssumptions[[#This Row],[Space Type]]="","",INDEX('Raw Data - Occupancy'!$V$6:$Z$92,MATCH(OccupancyAssumptions[[#This Row],[Primary Function Area]],'Raw Data - Occupancy'!$V$6:$V$92,0),MATCH('Raw Data - Occupancy'!$X$6,'Raw Data - Occupancy'!$V$6:$Z$6,0)))</f>
        <v/>
      </c>
      <c r="H34" s="19" t="str">
        <f>IF(OccupancyAssumptions[[#This Row],[Space Type]]="","",15)</f>
        <v/>
      </c>
      <c r="I34" s="19" t="str">
        <f>IFERROR(INDEX('Raw Data - Occupancy'!$AW$7:$BB$85,MATCH(OccupancyAssumptions[[#This Row],[ASHRAE 2019 Space Type]],'Raw Data - Occupancy'!$AW$7:$AW$85,0),MATCH("#/1000 ft2 (#/100 m2)",'Raw Data - Occupancy'!$AW$7:$BB$7,0)),"")</f>
        <v/>
      </c>
      <c r="J34" s="153" t="str">
        <f>IFERROR(OccupancyAssumptions[[#This Row],[Occupant Density
'[People/1000SF']]]*OccupancyAssumptions[[#This Row],[Area (sqft)]]/1000,"")</f>
        <v/>
      </c>
      <c r="K34" s="20" t="str">
        <f>IF(OccupancyAssumptions[[#This Row],[Occupant Density
'[People/1000SF']]]="","",IF(OccupancyAssumptions[[#This Row],[Occupant Density
'[People/1000SF']]]&gt;=50,"YES","NO"))</f>
        <v/>
      </c>
      <c r="L34" s="152"/>
      <c r="M34" s="95" t="str">
        <f>IFERROR(INDEX('Raw Data - Occupancy'!$AB$7:$AG$85,MATCH(OccupancyAssumptions[[#This Row],[ASHRAE 2007 Space Type]],'Raw Data - Occupancy'!$AB$7:$AB$85,0),MATCH("Rp (CFM/per)",'Raw Data - Occupancy'!$AB$7:$AG$7,0)),"")</f>
        <v/>
      </c>
      <c r="N34" s="95" t="str">
        <f>IFERROR(INDEX('Raw Data - Occupancy'!$AB$7:$AG$85,MATCH(OccupancyAssumptions[[#This Row],[ASHRAE 2007 Space Type]],'Raw Data - Occupancy'!$AB$7:$AB$85,0),MATCH("Ra (cfm/ft2)",'Raw Data - Occupancy'!$AB$7:$AG$7,0)),"")</f>
        <v/>
      </c>
      <c r="O34" s="95" t="str">
        <f>IFERROR(INDEX('Raw Data - Occupancy'!$AB$7:$AG$85,MATCH(OccupancyAssumptions[[#This Row],[ASHRAE 2007 Space Type]],'Raw Data - Occupancy'!$AB$7:$AB$85,0),MATCH("#/1000 ft2 (#/100 m2)",'Raw Data - Occupancy'!$AB$7:$AG$7,0)),"")</f>
        <v/>
      </c>
      <c r="P34" s="153" t="str">
        <f>IFERROR(OccupancyAssumptions[[#This Row],[ASHRAE 2007 Occupant Density
'[People/1000SF']]]*OccupancyAssumptions[[#This Row],[Area (sqft)]]/1000,"")</f>
        <v/>
      </c>
      <c r="Q34" s="20" t="str">
        <f>IF(OccupancyAssumptions[[#This Row],[ASHRAE 2007 Occupant Density
'[People/1000SF']]]="","",IF(OccupancyAssumptions[[#This Row],[ASHRAE 2007 Occupant Density
'[People/1000SF']]]&gt;=50,"YES","NO"))</f>
        <v/>
      </c>
      <c r="R34" s="152"/>
      <c r="S34" s="95" t="str">
        <f>IFERROR(INDEX('Raw Data - Occupancy'!$AI$7:$AN$85,MATCH(OccupancyAssumptions[[#This Row],[ASHRAE 2010 Space Type]],'Raw Data - Occupancy'!$AI$7:$AI$85,0),MATCH("Rp (CFM/per)",'Raw Data - Occupancy'!$AI$7:$AN$7,0)),"")</f>
        <v/>
      </c>
      <c r="T34" s="95" t="str">
        <f>IFERROR(INDEX('Raw Data - Occupancy'!$AI$7:$AN$85,MATCH(OccupancyAssumptions[[#This Row],[ASHRAE 2010 Space Type]],'Raw Data - Occupancy'!$AI$7:$AI$85,0),MATCH("Ra (cfm/ft2)",'Raw Data - Occupancy'!$AI$7:$AN$7,0)),"")</f>
        <v/>
      </c>
      <c r="U34" s="95" t="str">
        <f>IFERROR(INDEX('Raw Data - Occupancy'!$AI$7:$AN$85,MATCH(OccupancyAssumptions[[#This Row],[ASHRAE 2010 Space Type]],'Raw Data - Occupancy'!$AI$7:$AI$85,0),MATCH("#/1000 ft2 (#/100 m2)",'Raw Data - Occupancy'!$AI$7:$AN$7,0)),"")</f>
        <v/>
      </c>
      <c r="V34" s="153" t="str">
        <f>IFERROR(OccupancyAssumptions[[#This Row],[ASHRAE 2010 Occupant Density
'[People/1000SF']]]*OccupancyAssumptions[[#This Row],[Area (sqft)]]/1000,"")</f>
        <v/>
      </c>
      <c r="W34" s="20" t="str">
        <f>IF(OccupancyAssumptions[[#This Row],[ASHRAE 2010 Occupant Density
'[People/1000SF']]]="","",IF(OccupancyAssumptions[[#This Row],[ASHRAE 2010 Occupant Density
'[People/1000SF']]]&gt;=50,"YES","NO"))</f>
        <v/>
      </c>
      <c r="X34" s="152"/>
      <c r="Y34" s="95" t="str">
        <f>IFERROR(INDEX('Raw Data - Occupancy'!$AP$7:$AU$85,MATCH(OccupancyAssumptions[[#This Row],[ASHRAE 2013 Space Type]],'Raw Data - Occupancy'!$AP$7:$AP$85,0),MATCH("Rp (CFM/per)",'Raw Data - Occupancy'!$AP$7:$AU$7,0)),"")</f>
        <v/>
      </c>
      <c r="Z34" s="95" t="str">
        <f>IFERROR(INDEX('Raw Data - Occupancy'!$AP$7:$AU$85,MATCH(OccupancyAssumptions[[#This Row],[ASHRAE 2013 Space Type]],'Raw Data - Occupancy'!$AP$7:$AP$85,0),MATCH("Ra (cfm/ft2)",'Raw Data - Occupancy'!$AP$7:$AU$7,0)),"")</f>
        <v/>
      </c>
      <c r="AA34" s="95" t="str">
        <f>IFERROR(INDEX('Raw Data - Occupancy'!$AP$7:$AU$85,MATCH(OccupancyAssumptions[[#This Row],[ASHRAE 2013 Space Type]],'Raw Data - Occupancy'!$AP$7:$AP$85,0),MATCH("#/1000 ft2 (#/100 m2)",'Raw Data - Occupancy'!$AP$7:$AU$7,0)),"")</f>
        <v/>
      </c>
      <c r="AB34" s="153" t="str">
        <f>IFERROR(OccupancyAssumptions[[#This Row],[ASHRAE 2013 Occupant Density
'[People/1000SF']]]*OccupancyAssumptions[[#This Row],[Area (sqft)]]/1000,"")</f>
        <v/>
      </c>
      <c r="AC34" s="20" t="str">
        <f>IF(OccupancyAssumptions[[#This Row],[ASHRAE 2013 Occupant Density
'[People/1000SF']]]="","",IF(OccupancyAssumptions[[#This Row],[ASHRAE 2013 Occupant Density
'[People/1000SF']]]&gt;=50,"YES","NO"))</f>
        <v/>
      </c>
      <c r="AD34" s="152"/>
      <c r="AE34" s="95" t="str">
        <f>IFERROR(INDEX('Raw Data - Occupancy'!$AW$7:$BB$85,MATCH(OccupancyAssumptions[[#This Row],[ASHRAE 2016 Space Type]],'Raw Data - Occupancy'!$AW$7:$AW$85,0),MATCH("Rp (CFM/per)",'Raw Data - Occupancy'!$AW$7:$BB$7,0)),"")</f>
        <v/>
      </c>
      <c r="AF34" s="95" t="str">
        <f>IFERROR(INDEX('Raw Data - Occupancy'!$AW$7:$BB$85,MATCH(OccupancyAssumptions[[#This Row],[ASHRAE 2016 Space Type]],'Raw Data - Occupancy'!$AW$7:$AW$85,0),MATCH("Ra (cfm/ft2)",'Raw Data - Occupancy'!$AW$7:$BB$7,0)),"")</f>
        <v/>
      </c>
      <c r="AG34" s="95" t="str">
        <f>IFERROR(INDEX('Raw Data - Occupancy'!$AW$7:$BB$85,MATCH(OccupancyAssumptions[[#This Row],[ASHRAE 2016 Space Type]],'Raw Data - Occupancy'!$AW$7:$AW$85,0),MATCH("#/1000 ft2 (#/100 m2)",'Raw Data - Occupancy'!$AW$7:$BB$7,0)),"")</f>
        <v/>
      </c>
      <c r="AH34" s="153" t="str">
        <f>IFERROR(OccupancyAssumptions[[#This Row],[ASHRAE 2016 Occupant Density
'[People/1000SF']]]*OccupancyAssumptions[[#This Row],[Area (sqft)]]/1000,"")</f>
        <v/>
      </c>
      <c r="AI34" s="20" t="str">
        <f>IF(OccupancyAssumptions[[#This Row],[ASHRAE 2016 Occupant Density
'[People/1000SF']]]="","",IF(OccupancyAssumptions[[#This Row],[ASHRAE 2016 Occupant Density
'[People/1000SF']]]&gt;=50,"YES","NO"))</f>
        <v/>
      </c>
      <c r="AJ34" s="152"/>
      <c r="AK34" s="95" t="str">
        <f>IFERROR(INDEX('Raw Data - Occupancy'!$BD$7:$BI$85,MATCH(OccupancyAssumptions[[#This Row],[ASHRAE 2019 Space Type]],'Raw Data - Occupancy'!$BD$7:$BD$85,0),MATCH("Rp (CFM/per)",'Raw Data - Occupancy'!$BD$7:$BI$7,0)),"")</f>
        <v/>
      </c>
      <c r="AL34" s="95" t="str">
        <f>IFERROR(INDEX('Raw Data - Occupancy'!$BD$7:$BI$85,MATCH(OccupancyAssumptions[[#This Row],[ASHRAE 2019 Space Type]],'Raw Data - Occupancy'!$BD$7:$BD$85,0),MATCH("Ra (cfm/ft2)",'Raw Data - Occupancy'!$BD$7:$BI$7,0)),"")</f>
        <v/>
      </c>
      <c r="AM34" s="95" t="str">
        <f>IFERROR(INDEX('Raw Data - Occupancy'!$BD$7:$BI$85,MATCH(OccupancyAssumptions[[#This Row],[ASHRAE 2019 Space Type]],'Raw Data - Occupancy'!$BD$7:$BD$85,0),MATCH("#/1000 ft2 (#/100 m2)",'Raw Data - Occupancy'!$BD$7:$BI$7,0)),"")</f>
        <v/>
      </c>
      <c r="AN34" s="155" t="str">
        <f>IFERROR(OccupancyAssumptions[[#This Row],[ASHRAE 2019 Occupant Density
'[People/1000SF']]]*OccupancyAssumptions[[#This Row],[Area (sqft)]]/1000,"")</f>
        <v/>
      </c>
      <c r="AO34" s="156" t="str">
        <f>IF(OccupancyAssumptions[[#This Row],[ASHRAE 2019 Occupant Density
'[People/1000SF']]]="","",IF(OccupancyAssumptions[[#This Row],[ASHRAE 2019 Occupant Density
'[People/1000SF']]]&gt;=50,"YES","NO"))</f>
        <v/>
      </c>
      <c r="AP34" s="152">
        <v>0.6</v>
      </c>
      <c r="AQ34" s="154" t="s">
        <v>214</v>
      </c>
      <c r="AR34" s="154" t="s">
        <v>214</v>
      </c>
      <c r="AS34" s="471" t="s">
        <v>214</v>
      </c>
      <c r="AT34" s="471" t="str">
        <f>IFERROR(1000/OccupancyAssumptions[[#This Row],[Design Occupant Density '[SF/Person']]],"-")</f>
        <v>-</v>
      </c>
      <c r="AU34" s="156" t="str">
        <f>IF(OccupancyAssumptions[[#This Row],[Design Occupant Density
'[People/1000SF']]]="-","",IF(OccupancyAssumptions[[#This Row],[Design Occupant Density
'[People/1000SF']]]&gt;=50,"YES","NO"))</f>
        <v/>
      </c>
      <c r="AV34" s="26"/>
    </row>
    <row r="35" spans="2:48" x14ac:dyDescent="0.25">
      <c r="B35" s="18">
        <v>18</v>
      </c>
      <c r="C35" s="19" t="str">
        <f>IF('Master Room List'!R33="","",'Master Room List'!R33)</f>
        <v/>
      </c>
      <c r="D35" s="20" t="str">
        <f>IF(OccupancyAssumptions[[#This Row],[Space Type]]="","-",VLOOKUP(OccupancyAssumptions[[#This Row],[Space Type]],MasterRoomList_SpaceTypeSummary[[#All],[SpaceType]:[% of Total Area]],3,FALSE))</f>
        <v>-</v>
      </c>
      <c r="E35" s="152" t="s">
        <v>214</v>
      </c>
      <c r="F35" s="19" t="str">
        <f>IF(OccupancyAssumptions[[#This Row],[Space Type]]="","",INDEX('Raw Data - Occupancy'!$V$6:$Z$92,MATCH(OccupancyAssumptions[[#This Row],[Primary Function Area]],'Raw Data - Occupancy'!$V$6:$V$92,0),MATCH('Raw Data - Occupancy'!$W$6,'Raw Data - Occupancy'!$V$6:$Z$6,0)))</f>
        <v/>
      </c>
      <c r="G35" s="19" t="str">
        <f>IF(OccupancyAssumptions[[#This Row],[Space Type]]="","",INDEX('Raw Data - Occupancy'!$V$6:$Z$92,MATCH(OccupancyAssumptions[[#This Row],[Primary Function Area]],'Raw Data - Occupancy'!$V$6:$V$92,0),MATCH('Raw Data - Occupancy'!$X$6,'Raw Data - Occupancy'!$V$6:$Z$6,0)))</f>
        <v/>
      </c>
      <c r="H35" s="19" t="str">
        <f>IF(OccupancyAssumptions[[#This Row],[Space Type]]="","",15)</f>
        <v/>
      </c>
      <c r="I35" s="19" t="str">
        <f>IFERROR(INDEX('Raw Data - Occupancy'!$AW$7:$BB$85,MATCH(OccupancyAssumptions[[#This Row],[ASHRAE 2019 Space Type]],'Raw Data - Occupancy'!$AW$7:$AW$85,0),MATCH("#/1000 ft2 (#/100 m2)",'Raw Data - Occupancy'!$AW$7:$BB$7,0)),"")</f>
        <v/>
      </c>
      <c r="J35" s="153" t="str">
        <f>IFERROR(OccupancyAssumptions[[#This Row],[Occupant Density
'[People/1000SF']]]*OccupancyAssumptions[[#This Row],[Area (sqft)]]/1000,"")</f>
        <v/>
      </c>
      <c r="K35" s="20" t="str">
        <f>IF(OccupancyAssumptions[[#This Row],[Occupant Density
'[People/1000SF']]]="","",IF(OccupancyAssumptions[[#This Row],[Occupant Density
'[People/1000SF']]]&gt;=50,"YES","NO"))</f>
        <v/>
      </c>
      <c r="L35" s="152"/>
      <c r="M35" s="95" t="str">
        <f>IFERROR(INDEX('Raw Data - Occupancy'!$AB$7:$AG$85,MATCH(OccupancyAssumptions[[#This Row],[ASHRAE 2007 Space Type]],'Raw Data - Occupancy'!$AB$7:$AB$85,0),MATCH("Rp (CFM/per)",'Raw Data - Occupancy'!$AB$7:$AG$7,0)),"")</f>
        <v/>
      </c>
      <c r="N35" s="95" t="str">
        <f>IFERROR(INDEX('Raw Data - Occupancy'!$AB$7:$AG$85,MATCH(OccupancyAssumptions[[#This Row],[ASHRAE 2007 Space Type]],'Raw Data - Occupancy'!$AB$7:$AB$85,0),MATCH("Ra (cfm/ft2)",'Raw Data - Occupancy'!$AB$7:$AG$7,0)),"")</f>
        <v/>
      </c>
      <c r="O35" s="95" t="str">
        <f>IFERROR(INDEX('Raw Data - Occupancy'!$AB$7:$AG$85,MATCH(OccupancyAssumptions[[#This Row],[ASHRAE 2007 Space Type]],'Raw Data - Occupancy'!$AB$7:$AB$85,0),MATCH("#/1000 ft2 (#/100 m2)",'Raw Data - Occupancy'!$AB$7:$AG$7,0)),"")</f>
        <v/>
      </c>
      <c r="P35" s="153" t="str">
        <f>IFERROR(OccupancyAssumptions[[#This Row],[ASHRAE 2007 Occupant Density
'[People/1000SF']]]*OccupancyAssumptions[[#This Row],[Area (sqft)]]/1000,"")</f>
        <v/>
      </c>
      <c r="Q35" s="20" t="str">
        <f>IF(OccupancyAssumptions[[#This Row],[ASHRAE 2007 Occupant Density
'[People/1000SF']]]="","",IF(OccupancyAssumptions[[#This Row],[ASHRAE 2007 Occupant Density
'[People/1000SF']]]&gt;=50,"YES","NO"))</f>
        <v/>
      </c>
      <c r="R35" s="152"/>
      <c r="S35" s="95" t="str">
        <f>IFERROR(INDEX('Raw Data - Occupancy'!$AI$7:$AN$85,MATCH(OccupancyAssumptions[[#This Row],[ASHRAE 2010 Space Type]],'Raw Data - Occupancy'!$AI$7:$AI$85,0),MATCH("Rp (CFM/per)",'Raw Data - Occupancy'!$AI$7:$AN$7,0)),"")</f>
        <v/>
      </c>
      <c r="T35" s="95" t="str">
        <f>IFERROR(INDEX('Raw Data - Occupancy'!$AI$7:$AN$85,MATCH(OccupancyAssumptions[[#This Row],[ASHRAE 2010 Space Type]],'Raw Data - Occupancy'!$AI$7:$AI$85,0),MATCH("Ra (cfm/ft2)",'Raw Data - Occupancy'!$AI$7:$AN$7,0)),"")</f>
        <v/>
      </c>
      <c r="U35" s="95" t="str">
        <f>IFERROR(INDEX('Raw Data - Occupancy'!$AI$7:$AN$85,MATCH(OccupancyAssumptions[[#This Row],[ASHRAE 2010 Space Type]],'Raw Data - Occupancy'!$AI$7:$AI$85,0),MATCH("#/1000 ft2 (#/100 m2)",'Raw Data - Occupancy'!$AI$7:$AN$7,0)),"")</f>
        <v/>
      </c>
      <c r="V35" s="153" t="str">
        <f>IFERROR(OccupancyAssumptions[[#This Row],[ASHRAE 2010 Occupant Density
'[People/1000SF']]]*OccupancyAssumptions[[#This Row],[Area (sqft)]]/1000,"")</f>
        <v/>
      </c>
      <c r="W35" s="20" t="str">
        <f>IF(OccupancyAssumptions[[#This Row],[ASHRAE 2010 Occupant Density
'[People/1000SF']]]="","",IF(OccupancyAssumptions[[#This Row],[ASHRAE 2010 Occupant Density
'[People/1000SF']]]&gt;=50,"YES","NO"))</f>
        <v/>
      </c>
      <c r="X35" s="152"/>
      <c r="Y35" s="95" t="str">
        <f>IFERROR(INDEX('Raw Data - Occupancy'!$AP$7:$AU$85,MATCH(OccupancyAssumptions[[#This Row],[ASHRAE 2013 Space Type]],'Raw Data - Occupancy'!$AP$7:$AP$85,0),MATCH("Rp (CFM/per)",'Raw Data - Occupancy'!$AP$7:$AU$7,0)),"")</f>
        <v/>
      </c>
      <c r="Z35" s="95" t="str">
        <f>IFERROR(INDEX('Raw Data - Occupancy'!$AP$7:$AU$85,MATCH(OccupancyAssumptions[[#This Row],[ASHRAE 2013 Space Type]],'Raw Data - Occupancy'!$AP$7:$AP$85,0),MATCH("Ra (cfm/ft2)",'Raw Data - Occupancy'!$AP$7:$AU$7,0)),"")</f>
        <v/>
      </c>
      <c r="AA35" s="95" t="str">
        <f>IFERROR(INDEX('Raw Data - Occupancy'!$AP$7:$AU$85,MATCH(OccupancyAssumptions[[#This Row],[ASHRAE 2013 Space Type]],'Raw Data - Occupancy'!$AP$7:$AP$85,0),MATCH("#/1000 ft2 (#/100 m2)",'Raw Data - Occupancy'!$AP$7:$AU$7,0)),"")</f>
        <v/>
      </c>
      <c r="AB35" s="153" t="str">
        <f>IFERROR(OccupancyAssumptions[[#This Row],[ASHRAE 2013 Occupant Density
'[People/1000SF']]]*OccupancyAssumptions[[#This Row],[Area (sqft)]]/1000,"")</f>
        <v/>
      </c>
      <c r="AC35" s="20" t="str">
        <f>IF(OccupancyAssumptions[[#This Row],[ASHRAE 2013 Occupant Density
'[People/1000SF']]]="","",IF(OccupancyAssumptions[[#This Row],[ASHRAE 2013 Occupant Density
'[People/1000SF']]]&gt;=50,"YES","NO"))</f>
        <v/>
      </c>
      <c r="AD35" s="152"/>
      <c r="AE35" s="95" t="str">
        <f>IFERROR(INDEX('Raw Data - Occupancy'!$AW$7:$BB$85,MATCH(OccupancyAssumptions[[#This Row],[ASHRAE 2016 Space Type]],'Raw Data - Occupancy'!$AW$7:$AW$85,0),MATCH("Rp (CFM/per)",'Raw Data - Occupancy'!$AW$7:$BB$7,0)),"")</f>
        <v/>
      </c>
      <c r="AF35" s="95" t="str">
        <f>IFERROR(INDEX('Raw Data - Occupancy'!$AW$7:$BB$85,MATCH(OccupancyAssumptions[[#This Row],[ASHRAE 2016 Space Type]],'Raw Data - Occupancy'!$AW$7:$AW$85,0),MATCH("Ra (cfm/ft2)",'Raw Data - Occupancy'!$AW$7:$BB$7,0)),"")</f>
        <v/>
      </c>
      <c r="AG35" s="95" t="str">
        <f>IFERROR(INDEX('Raw Data - Occupancy'!$AW$7:$BB$85,MATCH(OccupancyAssumptions[[#This Row],[ASHRAE 2016 Space Type]],'Raw Data - Occupancy'!$AW$7:$AW$85,0),MATCH("#/1000 ft2 (#/100 m2)",'Raw Data - Occupancy'!$AW$7:$BB$7,0)),"")</f>
        <v/>
      </c>
      <c r="AH35" s="153" t="str">
        <f>IFERROR(OccupancyAssumptions[[#This Row],[ASHRAE 2016 Occupant Density
'[People/1000SF']]]*OccupancyAssumptions[[#This Row],[Area (sqft)]]/1000,"")</f>
        <v/>
      </c>
      <c r="AI35" s="20" t="str">
        <f>IF(OccupancyAssumptions[[#This Row],[ASHRAE 2016 Occupant Density
'[People/1000SF']]]="","",IF(OccupancyAssumptions[[#This Row],[ASHRAE 2016 Occupant Density
'[People/1000SF']]]&gt;=50,"YES","NO"))</f>
        <v/>
      </c>
      <c r="AJ35" s="152"/>
      <c r="AK35" s="95" t="str">
        <f>IFERROR(INDEX('Raw Data - Occupancy'!$BD$7:$BI$85,MATCH(OccupancyAssumptions[[#This Row],[ASHRAE 2019 Space Type]],'Raw Data - Occupancy'!$BD$7:$BD$85,0),MATCH("Rp (CFM/per)",'Raw Data - Occupancy'!$BD$7:$BI$7,0)),"")</f>
        <v/>
      </c>
      <c r="AL35" s="95" t="str">
        <f>IFERROR(INDEX('Raw Data - Occupancy'!$BD$7:$BI$85,MATCH(OccupancyAssumptions[[#This Row],[ASHRAE 2019 Space Type]],'Raw Data - Occupancy'!$BD$7:$BD$85,0),MATCH("Ra (cfm/ft2)",'Raw Data - Occupancy'!$BD$7:$BI$7,0)),"")</f>
        <v/>
      </c>
      <c r="AM35" s="95" t="str">
        <f>IFERROR(INDEX('Raw Data - Occupancy'!$BD$7:$BI$85,MATCH(OccupancyAssumptions[[#This Row],[ASHRAE 2019 Space Type]],'Raw Data - Occupancy'!$BD$7:$BD$85,0),MATCH("#/1000 ft2 (#/100 m2)",'Raw Data - Occupancy'!$BD$7:$BI$7,0)),"")</f>
        <v/>
      </c>
      <c r="AN35" s="155" t="str">
        <f>IFERROR(OccupancyAssumptions[[#This Row],[ASHRAE 2019 Occupant Density
'[People/1000SF']]]*OccupancyAssumptions[[#This Row],[Area (sqft)]]/1000,"")</f>
        <v/>
      </c>
      <c r="AO35" s="156" t="str">
        <f>IF(OccupancyAssumptions[[#This Row],[ASHRAE 2019 Occupant Density
'[People/1000SF']]]="","",IF(OccupancyAssumptions[[#This Row],[ASHRAE 2019 Occupant Density
'[People/1000SF']]]&gt;=50,"YES","NO"))</f>
        <v/>
      </c>
      <c r="AP35" s="152" t="s">
        <v>214</v>
      </c>
      <c r="AQ35" s="154">
        <v>6</v>
      </c>
      <c r="AR35" s="154">
        <v>2</v>
      </c>
      <c r="AS35" s="471" t="s">
        <v>214</v>
      </c>
      <c r="AT35" s="471" t="str">
        <f>IFERROR(1000/OccupancyAssumptions[[#This Row],[Design Occupant Density '[SF/Person']]],"-")</f>
        <v>-</v>
      </c>
      <c r="AU35" s="156" t="str">
        <f>IF(OccupancyAssumptions[[#This Row],[Design Occupant Density
'[People/1000SF']]]="-","",IF(OccupancyAssumptions[[#This Row],[Design Occupant Density
'[People/1000SF']]]&gt;=50,"YES","NO"))</f>
        <v/>
      </c>
      <c r="AV35" s="26"/>
    </row>
    <row r="36" spans="2:48" x14ac:dyDescent="0.25">
      <c r="B36" s="18">
        <v>19</v>
      </c>
      <c r="C36" s="19" t="str">
        <f>IF('Master Room List'!R34="","",'Master Room List'!R34)</f>
        <v/>
      </c>
      <c r="D36" s="20" t="str">
        <f>IF(OccupancyAssumptions[[#This Row],[Space Type]]="","-",VLOOKUP(OccupancyAssumptions[[#This Row],[Space Type]],MasterRoomList_SpaceTypeSummary[[#All],[SpaceType]:[% of Total Area]],3,FALSE))</f>
        <v>-</v>
      </c>
      <c r="E36" s="152" t="s">
        <v>214</v>
      </c>
      <c r="F36" s="19" t="str">
        <f>IF(OccupancyAssumptions[[#This Row],[Space Type]]="","",INDEX('Raw Data - Occupancy'!$V$6:$Z$92,MATCH(OccupancyAssumptions[[#This Row],[Primary Function Area]],'Raw Data - Occupancy'!$V$6:$V$92,0),MATCH('Raw Data - Occupancy'!$W$6,'Raw Data - Occupancy'!$V$6:$Z$6,0)))</f>
        <v/>
      </c>
      <c r="G36" s="19" t="str">
        <f>IF(OccupancyAssumptions[[#This Row],[Space Type]]="","",INDEX('Raw Data - Occupancy'!$V$6:$Z$92,MATCH(OccupancyAssumptions[[#This Row],[Primary Function Area]],'Raw Data - Occupancy'!$V$6:$V$92,0),MATCH('Raw Data - Occupancy'!$X$6,'Raw Data - Occupancy'!$V$6:$Z$6,0)))</f>
        <v/>
      </c>
      <c r="H36" s="19" t="str">
        <f>IF(OccupancyAssumptions[[#This Row],[Space Type]]="","",15)</f>
        <v/>
      </c>
      <c r="I36" s="19" t="str">
        <f>IFERROR(INDEX('Raw Data - Occupancy'!$AW$7:$BB$85,MATCH(OccupancyAssumptions[[#This Row],[ASHRAE 2019 Space Type]],'Raw Data - Occupancy'!$AW$7:$AW$85,0),MATCH("#/1000 ft2 (#/100 m2)",'Raw Data - Occupancy'!$AW$7:$BB$7,0)),"")</f>
        <v/>
      </c>
      <c r="J36" s="153" t="str">
        <f>IFERROR(OccupancyAssumptions[[#This Row],[Occupant Density
'[People/1000SF']]]*OccupancyAssumptions[[#This Row],[Area (sqft)]]/1000,"")</f>
        <v/>
      </c>
      <c r="K36" s="20" t="str">
        <f>IF(OccupancyAssumptions[[#This Row],[Occupant Density
'[People/1000SF']]]="","",IF(OccupancyAssumptions[[#This Row],[Occupant Density
'[People/1000SF']]]&gt;=50,"YES","NO"))</f>
        <v/>
      </c>
      <c r="L36" s="152"/>
      <c r="M36" s="95" t="str">
        <f>IFERROR(INDEX('Raw Data - Occupancy'!$AB$7:$AG$85,MATCH(OccupancyAssumptions[[#This Row],[ASHRAE 2007 Space Type]],'Raw Data - Occupancy'!$AB$7:$AB$85,0),MATCH("Rp (CFM/per)",'Raw Data - Occupancy'!$AB$7:$AG$7,0)),"")</f>
        <v/>
      </c>
      <c r="N36" s="95" t="str">
        <f>IFERROR(INDEX('Raw Data - Occupancy'!$AB$7:$AG$85,MATCH(OccupancyAssumptions[[#This Row],[ASHRAE 2007 Space Type]],'Raw Data - Occupancy'!$AB$7:$AB$85,0),MATCH("Ra (cfm/ft2)",'Raw Data - Occupancy'!$AB$7:$AG$7,0)),"")</f>
        <v/>
      </c>
      <c r="O36" s="95" t="str">
        <f>IFERROR(INDEX('Raw Data - Occupancy'!$AB$7:$AG$85,MATCH(OccupancyAssumptions[[#This Row],[ASHRAE 2007 Space Type]],'Raw Data - Occupancy'!$AB$7:$AB$85,0),MATCH("#/1000 ft2 (#/100 m2)",'Raw Data - Occupancy'!$AB$7:$AG$7,0)),"")</f>
        <v/>
      </c>
      <c r="P36" s="153" t="str">
        <f>IFERROR(OccupancyAssumptions[[#This Row],[ASHRAE 2007 Occupant Density
'[People/1000SF']]]*OccupancyAssumptions[[#This Row],[Area (sqft)]]/1000,"")</f>
        <v/>
      </c>
      <c r="Q36" s="20" t="str">
        <f>IF(OccupancyAssumptions[[#This Row],[ASHRAE 2007 Occupant Density
'[People/1000SF']]]="","",IF(OccupancyAssumptions[[#This Row],[ASHRAE 2007 Occupant Density
'[People/1000SF']]]&gt;=50,"YES","NO"))</f>
        <v/>
      </c>
      <c r="R36" s="152"/>
      <c r="S36" s="95" t="str">
        <f>IFERROR(INDEX('Raw Data - Occupancy'!$AI$7:$AN$85,MATCH(OccupancyAssumptions[[#This Row],[ASHRAE 2010 Space Type]],'Raw Data - Occupancy'!$AI$7:$AI$85,0),MATCH("Rp (CFM/per)",'Raw Data - Occupancy'!$AI$7:$AN$7,0)),"")</f>
        <v/>
      </c>
      <c r="T36" s="95" t="str">
        <f>IFERROR(INDEX('Raw Data - Occupancy'!$AI$7:$AN$85,MATCH(OccupancyAssumptions[[#This Row],[ASHRAE 2010 Space Type]],'Raw Data - Occupancy'!$AI$7:$AI$85,0),MATCH("Ra (cfm/ft2)",'Raw Data - Occupancy'!$AI$7:$AN$7,0)),"")</f>
        <v/>
      </c>
      <c r="U36" s="95" t="str">
        <f>IFERROR(INDEX('Raw Data - Occupancy'!$AI$7:$AN$85,MATCH(OccupancyAssumptions[[#This Row],[ASHRAE 2010 Space Type]],'Raw Data - Occupancy'!$AI$7:$AI$85,0),MATCH("#/1000 ft2 (#/100 m2)",'Raw Data - Occupancy'!$AI$7:$AN$7,0)),"")</f>
        <v/>
      </c>
      <c r="V36" s="153" t="str">
        <f>IFERROR(OccupancyAssumptions[[#This Row],[ASHRAE 2010 Occupant Density
'[People/1000SF']]]*OccupancyAssumptions[[#This Row],[Area (sqft)]]/1000,"")</f>
        <v/>
      </c>
      <c r="W36" s="20" t="str">
        <f>IF(OccupancyAssumptions[[#This Row],[ASHRAE 2010 Occupant Density
'[People/1000SF']]]="","",IF(OccupancyAssumptions[[#This Row],[ASHRAE 2010 Occupant Density
'[People/1000SF']]]&gt;=50,"YES","NO"))</f>
        <v/>
      </c>
      <c r="X36" s="152"/>
      <c r="Y36" s="95" t="str">
        <f>IFERROR(INDEX('Raw Data - Occupancy'!$AP$7:$AU$85,MATCH(OccupancyAssumptions[[#This Row],[ASHRAE 2013 Space Type]],'Raw Data - Occupancy'!$AP$7:$AP$85,0),MATCH("Rp (CFM/per)",'Raw Data - Occupancy'!$AP$7:$AU$7,0)),"")</f>
        <v/>
      </c>
      <c r="Z36" s="95" t="str">
        <f>IFERROR(INDEX('Raw Data - Occupancy'!$AP$7:$AU$85,MATCH(OccupancyAssumptions[[#This Row],[ASHRAE 2013 Space Type]],'Raw Data - Occupancy'!$AP$7:$AP$85,0),MATCH("Ra (cfm/ft2)",'Raw Data - Occupancy'!$AP$7:$AU$7,0)),"")</f>
        <v/>
      </c>
      <c r="AA36" s="95" t="str">
        <f>IFERROR(INDEX('Raw Data - Occupancy'!$AP$7:$AU$85,MATCH(OccupancyAssumptions[[#This Row],[ASHRAE 2013 Space Type]],'Raw Data - Occupancy'!$AP$7:$AP$85,0),MATCH("#/1000 ft2 (#/100 m2)",'Raw Data - Occupancy'!$AP$7:$AU$7,0)),"")</f>
        <v/>
      </c>
      <c r="AB36" s="153" t="str">
        <f>IFERROR(OccupancyAssumptions[[#This Row],[ASHRAE 2013 Occupant Density
'[People/1000SF']]]*OccupancyAssumptions[[#This Row],[Area (sqft)]]/1000,"")</f>
        <v/>
      </c>
      <c r="AC36" s="20" t="str">
        <f>IF(OccupancyAssumptions[[#This Row],[ASHRAE 2013 Occupant Density
'[People/1000SF']]]="","",IF(OccupancyAssumptions[[#This Row],[ASHRAE 2013 Occupant Density
'[People/1000SF']]]&gt;=50,"YES","NO"))</f>
        <v/>
      </c>
      <c r="AD36" s="152"/>
      <c r="AE36" s="95" t="str">
        <f>IFERROR(INDEX('Raw Data - Occupancy'!$AW$7:$BB$85,MATCH(OccupancyAssumptions[[#This Row],[ASHRAE 2016 Space Type]],'Raw Data - Occupancy'!$AW$7:$AW$85,0),MATCH("Rp (CFM/per)",'Raw Data - Occupancy'!$AW$7:$BB$7,0)),"")</f>
        <v/>
      </c>
      <c r="AF36" s="95" t="str">
        <f>IFERROR(INDEX('Raw Data - Occupancy'!$AW$7:$BB$85,MATCH(OccupancyAssumptions[[#This Row],[ASHRAE 2016 Space Type]],'Raw Data - Occupancy'!$AW$7:$AW$85,0),MATCH("Ra (cfm/ft2)",'Raw Data - Occupancy'!$AW$7:$BB$7,0)),"")</f>
        <v/>
      </c>
      <c r="AG36" s="95" t="str">
        <f>IFERROR(INDEX('Raw Data - Occupancy'!$AW$7:$BB$85,MATCH(OccupancyAssumptions[[#This Row],[ASHRAE 2016 Space Type]],'Raw Data - Occupancy'!$AW$7:$AW$85,0),MATCH("#/1000 ft2 (#/100 m2)",'Raw Data - Occupancy'!$AW$7:$BB$7,0)),"")</f>
        <v/>
      </c>
      <c r="AH36" s="153" t="str">
        <f>IFERROR(OccupancyAssumptions[[#This Row],[ASHRAE 2016 Occupant Density
'[People/1000SF']]]*OccupancyAssumptions[[#This Row],[Area (sqft)]]/1000,"")</f>
        <v/>
      </c>
      <c r="AI36" s="20" t="str">
        <f>IF(OccupancyAssumptions[[#This Row],[ASHRAE 2016 Occupant Density
'[People/1000SF']]]="","",IF(OccupancyAssumptions[[#This Row],[ASHRAE 2016 Occupant Density
'[People/1000SF']]]&gt;=50,"YES","NO"))</f>
        <v/>
      </c>
      <c r="AJ36" s="152"/>
      <c r="AK36" s="95" t="str">
        <f>IFERROR(INDEX('Raw Data - Occupancy'!$BD$7:$BI$85,MATCH(OccupancyAssumptions[[#This Row],[ASHRAE 2019 Space Type]],'Raw Data - Occupancy'!$BD$7:$BD$85,0),MATCH("Rp (CFM/per)",'Raw Data - Occupancy'!$BD$7:$BI$7,0)),"")</f>
        <v/>
      </c>
      <c r="AL36" s="95" t="str">
        <f>IFERROR(INDEX('Raw Data - Occupancy'!$BD$7:$BI$85,MATCH(OccupancyAssumptions[[#This Row],[ASHRAE 2019 Space Type]],'Raw Data - Occupancy'!$BD$7:$BD$85,0),MATCH("Ra (cfm/ft2)",'Raw Data - Occupancy'!$BD$7:$BI$7,0)),"")</f>
        <v/>
      </c>
      <c r="AM36" s="95" t="str">
        <f>IFERROR(INDEX('Raw Data - Occupancy'!$BD$7:$BI$85,MATCH(OccupancyAssumptions[[#This Row],[ASHRAE 2019 Space Type]],'Raw Data - Occupancy'!$BD$7:$BD$85,0),MATCH("#/1000 ft2 (#/100 m2)",'Raw Data - Occupancy'!$BD$7:$BI$7,0)),"")</f>
        <v/>
      </c>
      <c r="AN36" s="155" t="str">
        <f>IFERROR(OccupancyAssumptions[[#This Row],[ASHRAE 2019 Occupant Density
'[People/1000SF']]]*OccupancyAssumptions[[#This Row],[Area (sqft)]]/1000,"")</f>
        <v/>
      </c>
      <c r="AO36" s="156" t="str">
        <f>IF(OccupancyAssumptions[[#This Row],[ASHRAE 2019 Occupant Density
'[People/1000SF']]]="","",IF(OccupancyAssumptions[[#This Row],[ASHRAE 2019 Occupant Density
'[People/1000SF']]]&gt;=50,"YES","NO"))</f>
        <v/>
      </c>
      <c r="AP36" s="152" t="s">
        <v>214</v>
      </c>
      <c r="AQ36" s="154">
        <v>6</v>
      </c>
      <c r="AR36" s="154">
        <v>2</v>
      </c>
      <c r="AS36" s="471">
        <v>200</v>
      </c>
      <c r="AT36" s="471">
        <f>IFERROR(1000/OccupancyAssumptions[[#This Row],[Design Occupant Density '[SF/Person']]],"-")</f>
        <v>5</v>
      </c>
      <c r="AU36" s="156" t="str">
        <f>IF(OccupancyAssumptions[[#This Row],[Design Occupant Density
'[People/1000SF']]]="-","",IF(OccupancyAssumptions[[#This Row],[Design Occupant Density
'[People/1000SF']]]&gt;=50,"YES","NO"))</f>
        <v>NO</v>
      </c>
      <c r="AV36" s="26"/>
    </row>
    <row r="37" spans="2:48" x14ac:dyDescent="0.25">
      <c r="B37" s="18">
        <v>20</v>
      </c>
      <c r="C37" s="19" t="str">
        <f>IF('Master Room List'!R35="","",'Master Room List'!R35)</f>
        <v/>
      </c>
      <c r="D37" s="20" t="str">
        <f>IF(OccupancyAssumptions[[#This Row],[Space Type]]="","-",VLOOKUP(OccupancyAssumptions[[#This Row],[Space Type]],MasterRoomList_SpaceTypeSummary[[#All],[SpaceType]:[% of Total Area]],3,FALSE))</f>
        <v>-</v>
      </c>
      <c r="E37" s="152" t="s">
        <v>214</v>
      </c>
      <c r="F37" s="19" t="str">
        <f>IF(OccupancyAssumptions[[#This Row],[Space Type]]="","",INDEX('Raw Data - Occupancy'!$V$6:$Z$92,MATCH(OccupancyAssumptions[[#This Row],[Primary Function Area]],'Raw Data - Occupancy'!$V$6:$V$92,0),MATCH('Raw Data - Occupancy'!$W$6,'Raw Data - Occupancy'!$V$6:$Z$6,0)))</f>
        <v/>
      </c>
      <c r="G37" s="19" t="str">
        <f>IF(OccupancyAssumptions[[#This Row],[Space Type]]="","",INDEX('Raw Data - Occupancy'!$V$6:$Z$92,MATCH(OccupancyAssumptions[[#This Row],[Primary Function Area]],'Raw Data - Occupancy'!$V$6:$V$92,0),MATCH('Raw Data - Occupancy'!$X$6,'Raw Data - Occupancy'!$V$6:$Z$6,0)))</f>
        <v/>
      </c>
      <c r="H37" s="19" t="str">
        <f>IF(OccupancyAssumptions[[#This Row],[Space Type]]="","",15)</f>
        <v/>
      </c>
      <c r="I37" s="19" t="str">
        <f>IFERROR(INDEX('Raw Data - Occupancy'!$AW$7:$BB$85,MATCH(OccupancyAssumptions[[#This Row],[ASHRAE 2019 Space Type]],'Raw Data - Occupancy'!$AW$7:$AW$85,0),MATCH("#/1000 ft2 (#/100 m2)",'Raw Data - Occupancy'!$AW$7:$BB$7,0)),"")</f>
        <v/>
      </c>
      <c r="J37" s="153" t="str">
        <f>IFERROR(OccupancyAssumptions[[#This Row],[Occupant Density
'[People/1000SF']]]*OccupancyAssumptions[[#This Row],[Area (sqft)]]/1000,"")</f>
        <v/>
      </c>
      <c r="K37" s="20" t="str">
        <f>IF(OccupancyAssumptions[[#This Row],[Occupant Density
'[People/1000SF']]]="","",IF(OccupancyAssumptions[[#This Row],[Occupant Density
'[People/1000SF']]]&gt;=50,"YES","NO"))</f>
        <v/>
      </c>
      <c r="L37" s="152"/>
      <c r="M37" s="95" t="str">
        <f>IFERROR(INDEX('Raw Data - Occupancy'!$AB$7:$AG$85,MATCH(OccupancyAssumptions[[#This Row],[ASHRAE 2007 Space Type]],'Raw Data - Occupancy'!$AB$7:$AB$85,0),MATCH("Rp (CFM/per)",'Raw Data - Occupancy'!$AB$7:$AG$7,0)),"")</f>
        <v/>
      </c>
      <c r="N37" s="95" t="str">
        <f>IFERROR(INDEX('Raw Data - Occupancy'!$AB$7:$AG$85,MATCH(OccupancyAssumptions[[#This Row],[ASHRAE 2007 Space Type]],'Raw Data - Occupancy'!$AB$7:$AB$85,0),MATCH("Ra (cfm/ft2)",'Raw Data - Occupancy'!$AB$7:$AG$7,0)),"")</f>
        <v/>
      </c>
      <c r="O37" s="95" t="str">
        <f>IFERROR(INDEX('Raw Data - Occupancy'!$AB$7:$AG$85,MATCH(OccupancyAssumptions[[#This Row],[ASHRAE 2007 Space Type]],'Raw Data - Occupancy'!$AB$7:$AB$85,0),MATCH("#/1000 ft2 (#/100 m2)",'Raw Data - Occupancy'!$AB$7:$AG$7,0)),"")</f>
        <v/>
      </c>
      <c r="P37" s="153" t="str">
        <f>IFERROR(OccupancyAssumptions[[#This Row],[ASHRAE 2007 Occupant Density
'[People/1000SF']]]*OccupancyAssumptions[[#This Row],[Area (sqft)]]/1000,"")</f>
        <v/>
      </c>
      <c r="Q37" s="20" t="str">
        <f>IF(OccupancyAssumptions[[#This Row],[ASHRAE 2007 Occupant Density
'[People/1000SF']]]="","",IF(OccupancyAssumptions[[#This Row],[ASHRAE 2007 Occupant Density
'[People/1000SF']]]&gt;=50,"YES","NO"))</f>
        <v/>
      </c>
      <c r="R37" s="152"/>
      <c r="S37" s="95" t="str">
        <f>IFERROR(INDEX('Raw Data - Occupancy'!$AI$7:$AN$85,MATCH(OccupancyAssumptions[[#This Row],[ASHRAE 2010 Space Type]],'Raw Data - Occupancy'!$AI$7:$AI$85,0),MATCH("Rp (CFM/per)",'Raw Data - Occupancy'!$AI$7:$AN$7,0)),"")</f>
        <v/>
      </c>
      <c r="T37" s="95" t="str">
        <f>IFERROR(INDEX('Raw Data - Occupancy'!$AI$7:$AN$85,MATCH(OccupancyAssumptions[[#This Row],[ASHRAE 2010 Space Type]],'Raw Data - Occupancy'!$AI$7:$AI$85,0),MATCH("Ra (cfm/ft2)",'Raw Data - Occupancy'!$AI$7:$AN$7,0)),"")</f>
        <v/>
      </c>
      <c r="U37" s="95" t="str">
        <f>IFERROR(INDEX('Raw Data - Occupancy'!$AI$7:$AN$85,MATCH(OccupancyAssumptions[[#This Row],[ASHRAE 2010 Space Type]],'Raw Data - Occupancy'!$AI$7:$AI$85,0),MATCH("#/1000 ft2 (#/100 m2)",'Raw Data - Occupancy'!$AI$7:$AN$7,0)),"")</f>
        <v/>
      </c>
      <c r="V37" s="153" t="str">
        <f>IFERROR(OccupancyAssumptions[[#This Row],[ASHRAE 2010 Occupant Density
'[People/1000SF']]]*OccupancyAssumptions[[#This Row],[Area (sqft)]]/1000,"")</f>
        <v/>
      </c>
      <c r="W37" s="20" t="str">
        <f>IF(OccupancyAssumptions[[#This Row],[ASHRAE 2010 Occupant Density
'[People/1000SF']]]="","",IF(OccupancyAssumptions[[#This Row],[ASHRAE 2010 Occupant Density
'[People/1000SF']]]&gt;=50,"YES","NO"))</f>
        <v/>
      </c>
      <c r="X37" s="152"/>
      <c r="Y37" s="95" t="str">
        <f>IFERROR(INDEX('Raw Data - Occupancy'!$AP$7:$AU$85,MATCH(OccupancyAssumptions[[#This Row],[ASHRAE 2013 Space Type]],'Raw Data - Occupancy'!$AP$7:$AP$85,0),MATCH("Rp (CFM/per)",'Raw Data - Occupancy'!$AP$7:$AU$7,0)),"")</f>
        <v/>
      </c>
      <c r="Z37" s="95" t="str">
        <f>IFERROR(INDEX('Raw Data - Occupancy'!$AP$7:$AU$85,MATCH(OccupancyAssumptions[[#This Row],[ASHRAE 2013 Space Type]],'Raw Data - Occupancy'!$AP$7:$AP$85,0),MATCH("Ra (cfm/ft2)",'Raw Data - Occupancy'!$AP$7:$AU$7,0)),"")</f>
        <v/>
      </c>
      <c r="AA37" s="95" t="str">
        <f>IFERROR(INDEX('Raw Data - Occupancy'!$AP$7:$AU$85,MATCH(OccupancyAssumptions[[#This Row],[ASHRAE 2013 Space Type]],'Raw Data - Occupancy'!$AP$7:$AP$85,0),MATCH("#/1000 ft2 (#/100 m2)",'Raw Data - Occupancy'!$AP$7:$AU$7,0)),"")</f>
        <v/>
      </c>
      <c r="AB37" s="153" t="str">
        <f>IFERROR(OccupancyAssumptions[[#This Row],[ASHRAE 2013 Occupant Density
'[People/1000SF']]]*OccupancyAssumptions[[#This Row],[Area (sqft)]]/1000,"")</f>
        <v/>
      </c>
      <c r="AC37" s="20" t="str">
        <f>IF(OccupancyAssumptions[[#This Row],[ASHRAE 2013 Occupant Density
'[People/1000SF']]]="","",IF(OccupancyAssumptions[[#This Row],[ASHRAE 2013 Occupant Density
'[People/1000SF']]]&gt;=50,"YES","NO"))</f>
        <v/>
      </c>
      <c r="AD37" s="152"/>
      <c r="AE37" s="95" t="str">
        <f>IFERROR(INDEX('Raw Data - Occupancy'!$AW$7:$BB$85,MATCH(OccupancyAssumptions[[#This Row],[ASHRAE 2016 Space Type]],'Raw Data - Occupancy'!$AW$7:$AW$85,0),MATCH("Rp (CFM/per)",'Raw Data - Occupancy'!$AW$7:$BB$7,0)),"")</f>
        <v/>
      </c>
      <c r="AF37" s="95" t="str">
        <f>IFERROR(INDEX('Raw Data - Occupancy'!$AW$7:$BB$85,MATCH(OccupancyAssumptions[[#This Row],[ASHRAE 2016 Space Type]],'Raw Data - Occupancy'!$AW$7:$AW$85,0),MATCH("Ra (cfm/ft2)",'Raw Data - Occupancy'!$AW$7:$BB$7,0)),"")</f>
        <v/>
      </c>
      <c r="AG37" s="95" t="str">
        <f>IFERROR(INDEX('Raw Data - Occupancy'!$AW$7:$BB$85,MATCH(OccupancyAssumptions[[#This Row],[ASHRAE 2016 Space Type]],'Raw Data - Occupancy'!$AW$7:$AW$85,0),MATCH("#/1000 ft2 (#/100 m2)",'Raw Data - Occupancy'!$AW$7:$BB$7,0)),"")</f>
        <v/>
      </c>
      <c r="AH37" s="153" t="str">
        <f>IFERROR(OccupancyAssumptions[[#This Row],[ASHRAE 2016 Occupant Density
'[People/1000SF']]]*OccupancyAssumptions[[#This Row],[Area (sqft)]]/1000,"")</f>
        <v/>
      </c>
      <c r="AI37" s="20" t="str">
        <f>IF(OccupancyAssumptions[[#This Row],[ASHRAE 2016 Occupant Density
'[People/1000SF']]]="","",IF(OccupancyAssumptions[[#This Row],[ASHRAE 2016 Occupant Density
'[People/1000SF']]]&gt;=50,"YES","NO"))</f>
        <v/>
      </c>
      <c r="AJ37" s="152"/>
      <c r="AK37" s="95" t="str">
        <f>IFERROR(INDEX('Raw Data - Occupancy'!$BD$7:$BI$85,MATCH(OccupancyAssumptions[[#This Row],[ASHRAE 2019 Space Type]],'Raw Data - Occupancy'!$BD$7:$BD$85,0),MATCH("Rp (CFM/per)",'Raw Data - Occupancy'!$BD$7:$BI$7,0)),"")</f>
        <v/>
      </c>
      <c r="AL37" s="95" t="str">
        <f>IFERROR(INDEX('Raw Data - Occupancy'!$BD$7:$BI$85,MATCH(OccupancyAssumptions[[#This Row],[ASHRAE 2019 Space Type]],'Raw Data - Occupancy'!$BD$7:$BD$85,0),MATCH("Ra (cfm/ft2)",'Raw Data - Occupancy'!$BD$7:$BI$7,0)),"")</f>
        <v/>
      </c>
      <c r="AM37" s="95" t="str">
        <f>IFERROR(INDEX('Raw Data - Occupancy'!$BD$7:$BI$85,MATCH(OccupancyAssumptions[[#This Row],[ASHRAE 2019 Space Type]],'Raw Data - Occupancy'!$BD$7:$BD$85,0),MATCH("#/1000 ft2 (#/100 m2)",'Raw Data - Occupancy'!$BD$7:$BI$7,0)),"")</f>
        <v/>
      </c>
      <c r="AN37" s="155" t="str">
        <f>IFERROR(OccupancyAssumptions[[#This Row],[ASHRAE 2019 Occupant Density
'[People/1000SF']]]*OccupancyAssumptions[[#This Row],[Area (sqft)]]/1000,"")</f>
        <v/>
      </c>
      <c r="AO37" s="156" t="str">
        <f>IF(OccupancyAssumptions[[#This Row],[ASHRAE 2019 Occupant Density
'[People/1000SF']]]="","",IF(OccupancyAssumptions[[#This Row],[ASHRAE 2019 Occupant Density
'[People/1000SF']]]&gt;=50,"YES","NO"))</f>
        <v/>
      </c>
      <c r="AP37" s="152" t="s">
        <v>214</v>
      </c>
      <c r="AQ37" s="154">
        <v>4</v>
      </c>
      <c r="AR37" s="154">
        <v>2</v>
      </c>
      <c r="AS37" s="471">
        <v>35</v>
      </c>
      <c r="AT37" s="471">
        <f>IFERROR(1000/OccupancyAssumptions[[#This Row],[Design Occupant Density '[SF/Person']]],"-")</f>
        <v>28.571428571428573</v>
      </c>
      <c r="AU37" s="156" t="str">
        <f>IF(OccupancyAssumptions[[#This Row],[Design Occupant Density
'[People/1000SF']]]="-","",IF(OccupancyAssumptions[[#This Row],[Design Occupant Density
'[People/1000SF']]]&gt;=50,"YES","NO"))</f>
        <v>NO</v>
      </c>
      <c r="AV37" s="26"/>
    </row>
    <row r="38" spans="2:48" x14ac:dyDescent="0.25">
      <c r="B38" s="18">
        <v>21</v>
      </c>
      <c r="C38" s="19" t="str">
        <f>IF('Master Room List'!R36="","",'Master Room List'!R36)</f>
        <v/>
      </c>
      <c r="D38" s="20" t="str">
        <f>IF(OccupancyAssumptions[[#This Row],[Space Type]]="","-",VLOOKUP(OccupancyAssumptions[[#This Row],[Space Type]],MasterRoomList_SpaceTypeSummary[[#All],[SpaceType]:[% of Total Area]],3,FALSE))</f>
        <v>-</v>
      </c>
      <c r="E38" s="152"/>
      <c r="F38" s="19" t="str">
        <f>IF(OccupancyAssumptions[[#This Row],[Space Type]]="","",INDEX('Raw Data - Occupancy'!$V$6:$Z$92,MATCH(OccupancyAssumptions[[#This Row],[Primary Function Area]],'Raw Data - Occupancy'!$V$6:$V$92,0),MATCH('Raw Data - Occupancy'!$W$6,'Raw Data - Occupancy'!$V$6:$Z$6,0)))</f>
        <v/>
      </c>
      <c r="G38" s="19" t="str">
        <f>IF(OccupancyAssumptions[[#This Row],[Space Type]]="","",INDEX('Raw Data - Occupancy'!$V$6:$Z$92,MATCH(OccupancyAssumptions[[#This Row],[Primary Function Area]],'Raw Data - Occupancy'!$V$6:$V$92,0),MATCH('Raw Data - Occupancy'!$X$6,'Raw Data - Occupancy'!$V$6:$Z$6,0)))</f>
        <v/>
      </c>
      <c r="H38" s="19" t="str">
        <f>IF(OccupancyAssumptions[[#This Row],[Space Type]]="","",15)</f>
        <v/>
      </c>
      <c r="I38" s="19" t="str">
        <f>IFERROR(INDEX('Raw Data - Occupancy'!$AW$7:$BB$85,MATCH(OccupancyAssumptions[[#This Row],[ASHRAE 2019 Space Type]],'Raw Data - Occupancy'!$AW$7:$AW$85,0),MATCH("#/1000 ft2 (#/100 m2)",'Raw Data - Occupancy'!$AW$7:$BB$7,0)),"")</f>
        <v/>
      </c>
      <c r="J38" s="153" t="str">
        <f>IFERROR(OccupancyAssumptions[[#This Row],[Occupant Density
'[People/1000SF']]]*OccupancyAssumptions[[#This Row],[Area (sqft)]]/1000,"")</f>
        <v/>
      </c>
      <c r="K38" s="20" t="str">
        <f>IF(OccupancyAssumptions[[#This Row],[Occupant Density
'[People/1000SF']]]="","",IF(OccupancyAssumptions[[#This Row],[Occupant Density
'[People/1000SF']]]&gt;=50,"YES","NO"))</f>
        <v/>
      </c>
      <c r="L38" s="152"/>
      <c r="M38" s="95" t="str">
        <f>IFERROR(INDEX('Raw Data - Occupancy'!$AB$7:$AG$85,MATCH(OccupancyAssumptions[[#This Row],[ASHRAE 2007 Space Type]],'Raw Data - Occupancy'!$AB$7:$AB$85,0),MATCH("Rp (CFM/per)",'Raw Data - Occupancy'!$AB$7:$AG$7,0)),"")</f>
        <v/>
      </c>
      <c r="N38" s="95" t="str">
        <f>IFERROR(INDEX('Raw Data - Occupancy'!$AB$7:$AG$85,MATCH(OccupancyAssumptions[[#This Row],[ASHRAE 2007 Space Type]],'Raw Data - Occupancy'!$AB$7:$AB$85,0),MATCH("Ra (cfm/ft2)",'Raw Data - Occupancy'!$AB$7:$AG$7,0)),"")</f>
        <v/>
      </c>
      <c r="O38" s="95" t="str">
        <f>IFERROR(INDEX('Raw Data - Occupancy'!$AB$7:$AG$85,MATCH(OccupancyAssumptions[[#This Row],[ASHRAE 2007 Space Type]],'Raw Data - Occupancy'!$AB$7:$AB$85,0),MATCH("#/1000 ft2 (#/100 m2)",'Raw Data - Occupancy'!$AB$7:$AG$7,0)),"")</f>
        <v/>
      </c>
      <c r="P38" s="153" t="str">
        <f>IFERROR(OccupancyAssumptions[[#This Row],[ASHRAE 2007 Occupant Density
'[People/1000SF']]]*OccupancyAssumptions[[#This Row],[Area (sqft)]]/1000,"")</f>
        <v/>
      </c>
      <c r="Q38" s="20" t="str">
        <f>IF(OccupancyAssumptions[[#This Row],[ASHRAE 2007 Occupant Density
'[People/1000SF']]]="","",IF(OccupancyAssumptions[[#This Row],[ASHRAE 2007 Occupant Density
'[People/1000SF']]]&gt;=50,"YES","NO"))</f>
        <v/>
      </c>
      <c r="R38" s="152"/>
      <c r="S38" s="95" t="str">
        <f>IFERROR(INDEX('Raw Data - Occupancy'!$AI$7:$AN$85,MATCH(OccupancyAssumptions[[#This Row],[ASHRAE 2010 Space Type]],'Raw Data - Occupancy'!$AI$7:$AI$85,0),MATCH("Rp (CFM/per)",'Raw Data - Occupancy'!$AI$7:$AN$7,0)),"")</f>
        <v/>
      </c>
      <c r="T38" s="95" t="str">
        <f>IFERROR(INDEX('Raw Data - Occupancy'!$AI$7:$AN$85,MATCH(OccupancyAssumptions[[#This Row],[ASHRAE 2010 Space Type]],'Raw Data - Occupancy'!$AI$7:$AI$85,0),MATCH("Ra (cfm/ft2)",'Raw Data - Occupancy'!$AI$7:$AN$7,0)),"")</f>
        <v/>
      </c>
      <c r="U38" s="95" t="str">
        <f>IFERROR(INDEX('Raw Data - Occupancy'!$AI$7:$AN$85,MATCH(OccupancyAssumptions[[#This Row],[ASHRAE 2010 Space Type]],'Raw Data - Occupancy'!$AI$7:$AI$85,0),MATCH("#/1000 ft2 (#/100 m2)",'Raw Data - Occupancy'!$AI$7:$AN$7,0)),"")</f>
        <v/>
      </c>
      <c r="V38" s="153" t="str">
        <f>IFERROR(OccupancyAssumptions[[#This Row],[ASHRAE 2010 Occupant Density
'[People/1000SF']]]*OccupancyAssumptions[[#This Row],[Area (sqft)]]/1000,"")</f>
        <v/>
      </c>
      <c r="W38" s="20" t="str">
        <f>IF(OccupancyAssumptions[[#This Row],[ASHRAE 2010 Occupant Density
'[People/1000SF']]]="","",IF(OccupancyAssumptions[[#This Row],[ASHRAE 2010 Occupant Density
'[People/1000SF']]]&gt;=50,"YES","NO"))</f>
        <v/>
      </c>
      <c r="X38" s="152"/>
      <c r="Y38" s="95" t="str">
        <f>IFERROR(INDEX('Raw Data - Occupancy'!$AP$7:$AU$85,MATCH(OccupancyAssumptions[[#This Row],[ASHRAE 2013 Space Type]],'Raw Data - Occupancy'!$AP$7:$AP$85,0),MATCH("Rp (CFM/per)",'Raw Data - Occupancy'!$AP$7:$AU$7,0)),"")</f>
        <v/>
      </c>
      <c r="Z38" s="95" t="str">
        <f>IFERROR(INDEX('Raw Data - Occupancy'!$AP$7:$AU$85,MATCH(OccupancyAssumptions[[#This Row],[ASHRAE 2013 Space Type]],'Raw Data - Occupancy'!$AP$7:$AP$85,0),MATCH("Ra (cfm/ft2)",'Raw Data - Occupancy'!$AP$7:$AU$7,0)),"")</f>
        <v/>
      </c>
      <c r="AA38" s="95" t="str">
        <f>IFERROR(INDEX('Raw Data - Occupancy'!$AP$7:$AU$85,MATCH(OccupancyAssumptions[[#This Row],[ASHRAE 2013 Space Type]],'Raw Data - Occupancy'!$AP$7:$AP$85,0),MATCH("#/1000 ft2 (#/100 m2)",'Raw Data - Occupancy'!$AP$7:$AU$7,0)),"")</f>
        <v/>
      </c>
      <c r="AB38" s="153" t="str">
        <f>IFERROR(OccupancyAssumptions[[#This Row],[ASHRAE 2013 Occupant Density
'[People/1000SF']]]*OccupancyAssumptions[[#This Row],[Area (sqft)]]/1000,"")</f>
        <v/>
      </c>
      <c r="AC38" s="20" t="str">
        <f>IF(OccupancyAssumptions[[#This Row],[ASHRAE 2013 Occupant Density
'[People/1000SF']]]="","",IF(OccupancyAssumptions[[#This Row],[ASHRAE 2013 Occupant Density
'[People/1000SF']]]&gt;=50,"YES","NO"))</f>
        <v/>
      </c>
      <c r="AD38" s="152"/>
      <c r="AE38" s="95" t="str">
        <f>IFERROR(INDEX('Raw Data - Occupancy'!$AW$7:$BB$85,MATCH(OccupancyAssumptions[[#This Row],[ASHRAE 2016 Space Type]],'Raw Data - Occupancy'!$AW$7:$AW$85,0),MATCH("Rp (CFM/per)",'Raw Data - Occupancy'!$AW$7:$BB$7,0)),"")</f>
        <v/>
      </c>
      <c r="AF38" s="95" t="str">
        <f>IFERROR(INDEX('Raw Data - Occupancy'!$AW$7:$BB$85,MATCH(OccupancyAssumptions[[#This Row],[ASHRAE 2016 Space Type]],'Raw Data - Occupancy'!$AW$7:$AW$85,0),MATCH("Ra (cfm/ft2)",'Raw Data - Occupancy'!$AW$7:$BB$7,0)),"")</f>
        <v/>
      </c>
      <c r="AG38" s="95" t="str">
        <f>IFERROR(INDEX('Raw Data - Occupancy'!$AW$7:$BB$85,MATCH(OccupancyAssumptions[[#This Row],[ASHRAE 2016 Space Type]],'Raw Data - Occupancy'!$AW$7:$AW$85,0),MATCH("#/1000 ft2 (#/100 m2)",'Raw Data - Occupancy'!$AW$7:$BB$7,0)),"")</f>
        <v/>
      </c>
      <c r="AH38" s="153" t="str">
        <f>IFERROR(OccupancyAssumptions[[#This Row],[ASHRAE 2016 Occupant Density
'[People/1000SF']]]*OccupancyAssumptions[[#This Row],[Area (sqft)]]/1000,"")</f>
        <v/>
      </c>
      <c r="AI38" s="20" t="str">
        <f>IF(OccupancyAssumptions[[#This Row],[ASHRAE 2016 Occupant Density
'[People/1000SF']]]="","",IF(OccupancyAssumptions[[#This Row],[ASHRAE 2016 Occupant Density
'[People/1000SF']]]&gt;=50,"YES","NO"))</f>
        <v/>
      </c>
      <c r="AJ38" s="152"/>
      <c r="AK38" s="95" t="str">
        <f>IFERROR(INDEX('Raw Data - Occupancy'!$BD$7:$BI$85,MATCH(OccupancyAssumptions[[#This Row],[ASHRAE 2019 Space Type]],'Raw Data - Occupancy'!$BD$7:$BD$85,0),MATCH("Rp (CFM/per)",'Raw Data - Occupancy'!$BD$7:$BI$7,0)),"")</f>
        <v/>
      </c>
      <c r="AL38" s="95" t="str">
        <f>IFERROR(INDEX('Raw Data - Occupancy'!$BD$7:$BI$85,MATCH(OccupancyAssumptions[[#This Row],[ASHRAE 2019 Space Type]],'Raw Data - Occupancy'!$BD$7:$BD$85,0),MATCH("Ra (cfm/ft2)",'Raw Data - Occupancy'!$BD$7:$BI$7,0)),"")</f>
        <v/>
      </c>
      <c r="AM38" s="95" t="str">
        <f>IFERROR(INDEX('Raw Data - Occupancy'!$BD$7:$BI$85,MATCH(OccupancyAssumptions[[#This Row],[ASHRAE 2019 Space Type]],'Raw Data - Occupancy'!$BD$7:$BD$85,0),MATCH("#/1000 ft2 (#/100 m2)",'Raw Data - Occupancy'!$BD$7:$BI$7,0)),"")</f>
        <v/>
      </c>
      <c r="AN38" s="155" t="str">
        <f>IFERROR(OccupancyAssumptions[[#This Row],[ASHRAE 2019 Occupant Density
'[People/1000SF']]]*OccupancyAssumptions[[#This Row],[Area (sqft)]]/1000,"")</f>
        <v/>
      </c>
      <c r="AO38" s="156" t="str">
        <f>IF(OccupancyAssumptions[[#This Row],[ASHRAE 2019 Occupant Density
'[People/1000SF']]]="","",IF(OccupancyAssumptions[[#This Row],[ASHRAE 2019 Occupant Density
'[People/1000SF']]]&gt;=50,"YES","NO"))</f>
        <v/>
      </c>
      <c r="AP38" s="152" t="s">
        <v>214</v>
      </c>
      <c r="AQ38" s="154"/>
      <c r="AR38" s="154"/>
      <c r="AS38" s="471"/>
      <c r="AT38" s="471" t="str">
        <f>IFERROR(1000/OccupancyAssumptions[[#This Row],[Design Occupant Density '[SF/Person']]],"-")</f>
        <v>-</v>
      </c>
      <c r="AU38" s="156" t="str">
        <f>IF(OccupancyAssumptions[[#This Row],[Design Occupant Density
'[People/1000SF']]]="-","",IF(OccupancyAssumptions[[#This Row],[Design Occupant Density
'[People/1000SF']]]&gt;=50,"YES","NO"))</f>
        <v/>
      </c>
      <c r="AV38" s="26"/>
    </row>
    <row r="39" spans="2:48" x14ac:dyDescent="0.25">
      <c r="B39" s="18">
        <v>22</v>
      </c>
      <c r="C39" s="19" t="str">
        <f>IF('Master Room List'!R37="","",'Master Room List'!R37)</f>
        <v/>
      </c>
      <c r="D39" s="20" t="str">
        <f>IF(OccupancyAssumptions[[#This Row],[Space Type]]="","-",VLOOKUP(OccupancyAssumptions[[#This Row],[Space Type]],MasterRoomList_SpaceTypeSummary[[#All],[SpaceType]:[% of Total Area]],3,FALSE))</f>
        <v>-</v>
      </c>
      <c r="E39" s="152"/>
      <c r="F39" s="19" t="str">
        <f>IF(OccupancyAssumptions[[#This Row],[Space Type]]="","",INDEX('Raw Data - Occupancy'!$V$6:$Z$92,MATCH(OccupancyAssumptions[[#This Row],[Primary Function Area]],'Raw Data - Occupancy'!$V$6:$V$92,0),MATCH('Raw Data - Occupancy'!$W$6,'Raw Data - Occupancy'!$V$6:$Z$6,0)))</f>
        <v/>
      </c>
      <c r="G39" s="19" t="str">
        <f>IF(OccupancyAssumptions[[#This Row],[Space Type]]="","",INDEX('Raw Data - Occupancy'!$V$6:$Z$92,MATCH(OccupancyAssumptions[[#This Row],[Primary Function Area]],'Raw Data - Occupancy'!$V$6:$V$92,0),MATCH('Raw Data - Occupancy'!$X$6,'Raw Data - Occupancy'!$V$6:$Z$6,0)))</f>
        <v/>
      </c>
      <c r="H39" s="19" t="str">
        <f>IF(OccupancyAssumptions[[#This Row],[Space Type]]="","",15)</f>
        <v/>
      </c>
      <c r="I39" s="19" t="str">
        <f>IFERROR(INDEX('Raw Data - Occupancy'!$AW$7:$BB$85,MATCH(OccupancyAssumptions[[#This Row],[ASHRAE 2019 Space Type]],'Raw Data - Occupancy'!$AW$7:$AW$85,0),MATCH("#/1000 ft2 (#/100 m2)",'Raw Data - Occupancy'!$AW$7:$BB$7,0)),"")</f>
        <v/>
      </c>
      <c r="J39" s="153" t="str">
        <f>IFERROR(OccupancyAssumptions[[#This Row],[Occupant Density
'[People/1000SF']]]*OccupancyAssumptions[[#This Row],[Area (sqft)]]/1000,"")</f>
        <v/>
      </c>
      <c r="K39" s="20" t="str">
        <f>IF(OccupancyAssumptions[[#This Row],[Occupant Density
'[People/1000SF']]]="","",IF(OccupancyAssumptions[[#This Row],[Occupant Density
'[People/1000SF']]]&gt;=50,"YES","NO"))</f>
        <v/>
      </c>
      <c r="L39" s="152"/>
      <c r="M39" s="95" t="str">
        <f>IFERROR(INDEX('Raw Data - Occupancy'!$AB$7:$AG$85,MATCH(OccupancyAssumptions[[#This Row],[ASHRAE 2007 Space Type]],'Raw Data - Occupancy'!$AB$7:$AB$85,0),MATCH("Rp (CFM/per)",'Raw Data - Occupancy'!$AB$7:$AG$7,0)),"")</f>
        <v/>
      </c>
      <c r="N39" s="95" t="str">
        <f>IFERROR(INDEX('Raw Data - Occupancy'!$AB$7:$AG$85,MATCH(OccupancyAssumptions[[#This Row],[ASHRAE 2007 Space Type]],'Raw Data - Occupancy'!$AB$7:$AB$85,0),MATCH("Ra (cfm/ft2)",'Raw Data - Occupancy'!$AB$7:$AG$7,0)),"")</f>
        <v/>
      </c>
      <c r="O39" s="95" t="str">
        <f>IFERROR(INDEX('Raw Data - Occupancy'!$AB$7:$AG$85,MATCH(OccupancyAssumptions[[#This Row],[ASHRAE 2007 Space Type]],'Raw Data - Occupancy'!$AB$7:$AB$85,0),MATCH("#/1000 ft2 (#/100 m2)",'Raw Data - Occupancy'!$AB$7:$AG$7,0)),"")</f>
        <v/>
      </c>
      <c r="P39" s="153" t="str">
        <f>IFERROR(OccupancyAssumptions[[#This Row],[ASHRAE 2007 Occupant Density
'[People/1000SF']]]*OccupancyAssumptions[[#This Row],[Area (sqft)]]/1000,"")</f>
        <v/>
      </c>
      <c r="Q39" s="20" t="str">
        <f>IF(OccupancyAssumptions[[#This Row],[ASHRAE 2007 Occupant Density
'[People/1000SF']]]="","",IF(OccupancyAssumptions[[#This Row],[ASHRAE 2007 Occupant Density
'[People/1000SF']]]&gt;=50,"YES","NO"))</f>
        <v/>
      </c>
      <c r="R39" s="152"/>
      <c r="S39" s="95" t="str">
        <f>IFERROR(INDEX('Raw Data - Occupancy'!$AI$7:$AN$85,MATCH(OccupancyAssumptions[[#This Row],[ASHRAE 2010 Space Type]],'Raw Data - Occupancy'!$AI$7:$AI$85,0),MATCH("Rp (CFM/per)",'Raw Data - Occupancy'!$AI$7:$AN$7,0)),"")</f>
        <v/>
      </c>
      <c r="T39" s="95" t="str">
        <f>IFERROR(INDEX('Raw Data - Occupancy'!$AI$7:$AN$85,MATCH(OccupancyAssumptions[[#This Row],[ASHRAE 2010 Space Type]],'Raw Data - Occupancy'!$AI$7:$AI$85,0),MATCH("Ra (cfm/ft2)",'Raw Data - Occupancy'!$AI$7:$AN$7,0)),"")</f>
        <v/>
      </c>
      <c r="U39" s="95" t="str">
        <f>IFERROR(INDEX('Raw Data - Occupancy'!$AI$7:$AN$85,MATCH(OccupancyAssumptions[[#This Row],[ASHRAE 2010 Space Type]],'Raw Data - Occupancy'!$AI$7:$AI$85,0),MATCH("#/1000 ft2 (#/100 m2)",'Raw Data - Occupancy'!$AI$7:$AN$7,0)),"")</f>
        <v/>
      </c>
      <c r="V39" s="153" t="str">
        <f>IFERROR(OccupancyAssumptions[[#This Row],[ASHRAE 2010 Occupant Density
'[People/1000SF']]]*OccupancyAssumptions[[#This Row],[Area (sqft)]]/1000,"")</f>
        <v/>
      </c>
      <c r="W39" s="20" t="str">
        <f>IF(OccupancyAssumptions[[#This Row],[ASHRAE 2010 Occupant Density
'[People/1000SF']]]="","",IF(OccupancyAssumptions[[#This Row],[ASHRAE 2010 Occupant Density
'[People/1000SF']]]&gt;=50,"YES","NO"))</f>
        <v/>
      </c>
      <c r="X39" s="152"/>
      <c r="Y39" s="95" t="str">
        <f>IFERROR(INDEX('Raw Data - Occupancy'!$AP$7:$AU$85,MATCH(OccupancyAssumptions[[#This Row],[ASHRAE 2013 Space Type]],'Raw Data - Occupancy'!$AP$7:$AP$85,0),MATCH("Rp (CFM/per)",'Raw Data - Occupancy'!$AP$7:$AU$7,0)),"")</f>
        <v/>
      </c>
      <c r="Z39" s="95" t="str">
        <f>IFERROR(INDEX('Raw Data - Occupancy'!$AP$7:$AU$85,MATCH(OccupancyAssumptions[[#This Row],[ASHRAE 2013 Space Type]],'Raw Data - Occupancy'!$AP$7:$AP$85,0),MATCH("Ra (cfm/ft2)",'Raw Data - Occupancy'!$AP$7:$AU$7,0)),"")</f>
        <v/>
      </c>
      <c r="AA39" s="95" t="str">
        <f>IFERROR(INDEX('Raw Data - Occupancy'!$AP$7:$AU$85,MATCH(OccupancyAssumptions[[#This Row],[ASHRAE 2013 Space Type]],'Raw Data - Occupancy'!$AP$7:$AP$85,0),MATCH("#/1000 ft2 (#/100 m2)",'Raw Data - Occupancy'!$AP$7:$AU$7,0)),"")</f>
        <v/>
      </c>
      <c r="AB39" s="153" t="str">
        <f>IFERROR(OccupancyAssumptions[[#This Row],[ASHRAE 2013 Occupant Density
'[People/1000SF']]]*OccupancyAssumptions[[#This Row],[Area (sqft)]]/1000,"")</f>
        <v/>
      </c>
      <c r="AC39" s="20" t="str">
        <f>IF(OccupancyAssumptions[[#This Row],[ASHRAE 2013 Occupant Density
'[People/1000SF']]]="","",IF(OccupancyAssumptions[[#This Row],[ASHRAE 2013 Occupant Density
'[People/1000SF']]]&gt;=50,"YES","NO"))</f>
        <v/>
      </c>
      <c r="AD39" s="152"/>
      <c r="AE39" s="95" t="str">
        <f>IFERROR(INDEX('Raw Data - Occupancy'!$AW$7:$BB$85,MATCH(OccupancyAssumptions[[#This Row],[ASHRAE 2016 Space Type]],'Raw Data - Occupancy'!$AW$7:$AW$85,0),MATCH("Rp (CFM/per)",'Raw Data - Occupancy'!$AW$7:$BB$7,0)),"")</f>
        <v/>
      </c>
      <c r="AF39" s="95" t="str">
        <f>IFERROR(INDEX('Raw Data - Occupancy'!$AW$7:$BB$85,MATCH(OccupancyAssumptions[[#This Row],[ASHRAE 2016 Space Type]],'Raw Data - Occupancy'!$AW$7:$AW$85,0),MATCH("Ra (cfm/ft2)",'Raw Data - Occupancy'!$AW$7:$BB$7,0)),"")</f>
        <v/>
      </c>
      <c r="AG39" s="95" t="str">
        <f>IFERROR(INDEX('Raw Data - Occupancy'!$AW$7:$BB$85,MATCH(OccupancyAssumptions[[#This Row],[ASHRAE 2016 Space Type]],'Raw Data - Occupancy'!$AW$7:$AW$85,0),MATCH("#/1000 ft2 (#/100 m2)",'Raw Data - Occupancy'!$AW$7:$BB$7,0)),"")</f>
        <v/>
      </c>
      <c r="AH39" s="153" t="str">
        <f>IFERROR(OccupancyAssumptions[[#This Row],[ASHRAE 2016 Occupant Density
'[People/1000SF']]]*OccupancyAssumptions[[#This Row],[Area (sqft)]]/1000,"")</f>
        <v/>
      </c>
      <c r="AI39" s="20" t="str">
        <f>IF(OccupancyAssumptions[[#This Row],[ASHRAE 2016 Occupant Density
'[People/1000SF']]]="","",IF(OccupancyAssumptions[[#This Row],[ASHRAE 2016 Occupant Density
'[People/1000SF']]]&gt;=50,"YES","NO"))</f>
        <v/>
      </c>
      <c r="AJ39" s="152"/>
      <c r="AK39" s="95" t="str">
        <f>IFERROR(INDEX('Raw Data - Occupancy'!$BD$7:$BI$85,MATCH(OccupancyAssumptions[[#This Row],[ASHRAE 2019 Space Type]],'Raw Data - Occupancy'!$BD$7:$BD$85,0),MATCH("Rp (CFM/per)",'Raw Data - Occupancy'!$BD$7:$BI$7,0)),"")</f>
        <v/>
      </c>
      <c r="AL39" s="95" t="str">
        <f>IFERROR(INDEX('Raw Data - Occupancy'!$BD$7:$BI$85,MATCH(OccupancyAssumptions[[#This Row],[ASHRAE 2019 Space Type]],'Raw Data - Occupancy'!$BD$7:$BD$85,0),MATCH("Ra (cfm/ft2)",'Raw Data - Occupancy'!$BD$7:$BI$7,0)),"")</f>
        <v/>
      </c>
      <c r="AM39" s="95" t="str">
        <f>IFERROR(INDEX('Raw Data - Occupancy'!$BD$7:$BI$85,MATCH(OccupancyAssumptions[[#This Row],[ASHRAE 2019 Space Type]],'Raw Data - Occupancy'!$BD$7:$BD$85,0),MATCH("#/1000 ft2 (#/100 m2)",'Raw Data - Occupancy'!$BD$7:$BI$7,0)),"")</f>
        <v/>
      </c>
      <c r="AN39" s="155" t="str">
        <f>IFERROR(OccupancyAssumptions[[#This Row],[ASHRAE 2019 Occupant Density
'[People/1000SF']]]*OccupancyAssumptions[[#This Row],[Area (sqft)]]/1000,"")</f>
        <v/>
      </c>
      <c r="AO39" s="156" t="str">
        <f>IF(OccupancyAssumptions[[#This Row],[ASHRAE 2019 Occupant Density
'[People/1000SF']]]="","",IF(OccupancyAssumptions[[#This Row],[ASHRAE 2019 Occupant Density
'[People/1000SF']]]&gt;=50,"YES","NO"))</f>
        <v/>
      </c>
      <c r="AP39" s="152" t="s">
        <v>214</v>
      </c>
      <c r="AQ39" s="154"/>
      <c r="AR39" s="154"/>
      <c r="AS39" s="471"/>
      <c r="AT39" s="471" t="str">
        <f>IFERROR(1000/OccupancyAssumptions[[#This Row],[Design Occupant Density '[SF/Person']]],"-")</f>
        <v>-</v>
      </c>
      <c r="AU39" s="156" t="str">
        <f>IF(OccupancyAssumptions[[#This Row],[Design Occupant Density
'[People/1000SF']]]="-","",IF(OccupancyAssumptions[[#This Row],[Design Occupant Density
'[People/1000SF']]]&gt;=50,"YES","NO"))</f>
        <v/>
      </c>
      <c r="AV39" s="26"/>
    </row>
    <row r="40" spans="2:48" x14ac:dyDescent="0.25">
      <c r="B40" s="18">
        <v>23</v>
      </c>
      <c r="C40" s="19" t="str">
        <f>IF('Master Room List'!R38="","",'Master Room List'!R38)</f>
        <v/>
      </c>
      <c r="D40" s="20" t="str">
        <f>IF(OccupancyAssumptions[[#This Row],[Space Type]]="","-",VLOOKUP(OccupancyAssumptions[[#This Row],[Space Type]],MasterRoomList_SpaceTypeSummary[[#All],[SpaceType]:[% of Total Area]],3,FALSE))</f>
        <v>-</v>
      </c>
      <c r="E40" s="152"/>
      <c r="F40" s="19" t="str">
        <f>IF(OccupancyAssumptions[[#This Row],[Space Type]]="","",INDEX('Raw Data - Occupancy'!$V$6:$Z$92,MATCH(OccupancyAssumptions[[#This Row],[Primary Function Area]],'Raw Data - Occupancy'!$V$6:$V$92,0),MATCH('Raw Data - Occupancy'!$W$6,'Raw Data - Occupancy'!$V$6:$Z$6,0)))</f>
        <v/>
      </c>
      <c r="G40" s="19" t="str">
        <f>IF(OccupancyAssumptions[[#This Row],[Space Type]]="","",INDEX('Raw Data - Occupancy'!$V$6:$Z$92,MATCH(OccupancyAssumptions[[#This Row],[Primary Function Area]],'Raw Data - Occupancy'!$V$6:$V$92,0),MATCH('Raw Data - Occupancy'!$X$6,'Raw Data - Occupancy'!$V$6:$Z$6,0)))</f>
        <v/>
      </c>
      <c r="H40" s="19" t="str">
        <f>IF(OccupancyAssumptions[[#This Row],[Space Type]]="","",15)</f>
        <v/>
      </c>
      <c r="I40" s="19" t="str">
        <f>IFERROR(INDEX('Raw Data - Occupancy'!$AW$7:$BB$85,MATCH(OccupancyAssumptions[[#This Row],[ASHRAE 2019 Space Type]],'Raw Data - Occupancy'!$AW$7:$AW$85,0),MATCH("#/1000 ft2 (#/100 m2)",'Raw Data - Occupancy'!$AW$7:$BB$7,0)),"")</f>
        <v/>
      </c>
      <c r="J40" s="153" t="str">
        <f>IFERROR(OccupancyAssumptions[[#This Row],[Occupant Density
'[People/1000SF']]]*OccupancyAssumptions[[#This Row],[Area (sqft)]]/1000,"")</f>
        <v/>
      </c>
      <c r="K40" s="20" t="str">
        <f>IF(OccupancyAssumptions[[#This Row],[Occupant Density
'[People/1000SF']]]="","",IF(OccupancyAssumptions[[#This Row],[Occupant Density
'[People/1000SF']]]&gt;=50,"YES","NO"))</f>
        <v/>
      </c>
      <c r="L40" s="152"/>
      <c r="M40" s="95" t="str">
        <f>IFERROR(INDEX('Raw Data - Occupancy'!$AB$7:$AG$85,MATCH(OccupancyAssumptions[[#This Row],[ASHRAE 2007 Space Type]],'Raw Data - Occupancy'!$AB$7:$AB$85,0),MATCH("Rp (CFM/per)",'Raw Data - Occupancy'!$AB$7:$AG$7,0)),"")</f>
        <v/>
      </c>
      <c r="N40" s="95" t="str">
        <f>IFERROR(INDEX('Raw Data - Occupancy'!$AB$7:$AG$85,MATCH(OccupancyAssumptions[[#This Row],[ASHRAE 2007 Space Type]],'Raw Data - Occupancy'!$AB$7:$AB$85,0),MATCH("Ra (cfm/ft2)",'Raw Data - Occupancy'!$AB$7:$AG$7,0)),"")</f>
        <v/>
      </c>
      <c r="O40" s="95" t="str">
        <f>IFERROR(INDEX('Raw Data - Occupancy'!$AB$7:$AG$85,MATCH(OccupancyAssumptions[[#This Row],[ASHRAE 2007 Space Type]],'Raw Data - Occupancy'!$AB$7:$AB$85,0),MATCH("#/1000 ft2 (#/100 m2)",'Raw Data - Occupancy'!$AB$7:$AG$7,0)),"")</f>
        <v/>
      </c>
      <c r="P40" s="153" t="str">
        <f>IFERROR(OccupancyAssumptions[[#This Row],[ASHRAE 2007 Occupant Density
'[People/1000SF']]]*OccupancyAssumptions[[#This Row],[Area (sqft)]]/1000,"")</f>
        <v/>
      </c>
      <c r="Q40" s="20" t="str">
        <f>IF(OccupancyAssumptions[[#This Row],[ASHRAE 2007 Occupant Density
'[People/1000SF']]]="","",IF(OccupancyAssumptions[[#This Row],[ASHRAE 2007 Occupant Density
'[People/1000SF']]]&gt;=50,"YES","NO"))</f>
        <v/>
      </c>
      <c r="R40" s="152"/>
      <c r="S40" s="95" t="str">
        <f>IFERROR(INDEX('Raw Data - Occupancy'!$AI$7:$AN$85,MATCH(OccupancyAssumptions[[#This Row],[ASHRAE 2010 Space Type]],'Raw Data - Occupancy'!$AI$7:$AI$85,0),MATCH("Rp (CFM/per)",'Raw Data - Occupancy'!$AI$7:$AN$7,0)),"")</f>
        <v/>
      </c>
      <c r="T40" s="95" t="str">
        <f>IFERROR(INDEX('Raw Data - Occupancy'!$AI$7:$AN$85,MATCH(OccupancyAssumptions[[#This Row],[ASHRAE 2010 Space Type]],'Raw Data - Occupancy'!$AI$7:$AI$85,0),MATCH("Ra (cfm/ft2)",'Raw Data - Occupancy'!$AI$7:$AN$7,0)),"")</f>
        <v/>
      </c>
      <c r="U40" s="95" t="str">
        <f>IFERROR(INDEX('Raw Data - Occupancy'!$AI$7:$AN$85,MATCH(OccupancyAssumptions[[#This Row],[ASHRAE 2010 Space Type]],'Raw Data - Occupancy'!$AI$7:$AI$85,0),MATCH("#/1000 ft2 (#/100 m2)",'Raw Data - Occupancy'!$AI$7:$AN$7,0)),"")</f>
        <v/>
      </c>
      <c r="V40" s="153" t="str">
        <f>IFERROR(OccupancyAssumptions[[#This Row],[ASHRAE 2010 Occupant Density
'[People/1000SF']]]*OccupancyAssumptions[[#This Row],[Area (sqft)]]/1000,"")</f>
        <v/>
      </c>
      <c r="W40" s="20" t="str">
        <f>IF(OccupancyAssumptions[[#This Row],[ASHRAE 2010 Occupant Density
'[People/1000SF']]]="","",IF(OccupancyAssumptions[[#This Row],[ASHRAE 2010 Occupant Density
'[People/1000SF']]]&gt;=50,"YES","NO"))</f>
        <v/>
      </c>
      <c r="X40" s="152"/>
      <c r="Y40" s="95" t="str">
        <f>IFERROR(INDEX('Raw Data - Occupancy'!$AP$7:$AU$85,MATCH(OccupancyAssumptions[[#This Row],[ASHRAE 2013 Space Type]],'Raw Data - Occupancy'!$AP$7:$AP$85,0),MATCH("Rp (CFM/per)",'Raw Data - Occupancy'!$AP$7:$AU$7,0)),"")</f>
        <v/>
      </c>
      <c r="Z40" s="95" t="str">
        <f>IFERROR(INDEX('Raw Data - Occupancy'!$AP$7:$AU$85,MATCH(OccupancyAssumptions[[#This Row],[ASHRAE 2013 Space Type]],'Raw Data - Occupancy'!$AP$7:$AP$85,0),MATCH("Ra (cfm/ft2)",'Raw Data - Occupancy'!$AP$7:$AU$7,0)),"")</f>
        <v/>
      </c>
      <c r="AA40" s="95" t="str">
        <f>IFERROR(INDEX('Raw Data - Occupancy'!$AP$7:$AU$85,MATCH(OccupancyAssumptions[[#This Row],[ASHRAE 2013 Space Type]],'Raw Data - Occupancy'!$AP$7:$AP$85,0),MATCH("#/1000 ft2 (#/100 m2)",'Raw Data - Occupancy'!$AP$7:$AU$7,0)),"")</f>
        <v/>
      </c>
      <c r="AB40" s="153" t="str">
        <f>IFERROR(OccupancyAssumptions[[#This Row],[ASHRAE 2013 Occupant Density
'[People/1000SF']]]*OccupancyAssumptions[[#This Row],[Area (sqft)]]/1000,"")</f>
        <v/>
      </c>
      <c r="AC40" s="20" t="str">
        <f>IF(OccupancyAssumptions[[#This Row],[ASHRAE 2013 Occupant Density
'[People/1000SF']]]="","",IF(OccupancyAssumptions[[#This Row],[ASHRAE 2013 Occupant Density
'[People/1000SF']]]&gt;=50,"YES","NO"))</f>
        <v/>
      </c>
      <c r="AD40" s="152"/>
      <c r="AE40" s="95" t="str">
        <f>IFERROR(INDEX('Raw Data - Occupancy'!$AW$7:$BB$85,MATCH(OccupancyAssumptions[[#This Row],[ASHRAE 2016 Space Type]],'Raw Data - Occupancy'!$AW$7:$AW$85,0),MATCH("Rp (CFM/per)",'Raw Data - Occupancy'!$AW$7:$BB$7,0)),"")</f>
        <v/>
      </c>
      <c r="AF40" s="95" t="str">
        <f>IFERROR(INDEX('Raw Data - Occupancy'!$AW$7:$BB$85,MATCH(OccupancyAssumptions[[#This Row],[ASHRAE 2016 Space Type]],'Raw Data - Occupancy'!$AW$7:$AW$85,0),MATCH("Ra (cfm/ft2)",'Raw Data - Occupancy'!$AW$7:$BB$7,0)),"")</f>
        <v/>
      </c>
      <c r="AG40" s="95" t="str">
        <f>IFERROR(INDEX('Raw Data - Occupancy'!$AW$7:$BB$85,MATCH(OccupancyAssumptions[[#This Row],[ASHRAE 2016 Space Type]],'Raw Data - Occupancy'!$AW$7:$AW$85,0),MATCH("#/1000 ft2 (#/100 m2)",'Raw Data - Occupancy'!$AW$7:$BB$7,0)),"")</f>
        <v/>
      </c>
      <c r="AH40" s="153" t="str">
        <f>IFERROR(OccupancyAssumptions[[#This Row],[ASHRAE 2016 Occupant Density
'[People/1000SF']]]*OccupancyAssumptions[[#This Row],[Area (sqft)]]/1000,"")</f>
        <v/>
      </c>
      <c r="AI40" s="20" t="str">
        <f>IF(OccupancyAssumptions[[#This Row],[ASHRAE 2016 Occupant Density
'[People/1000SF']]]="","",IF(OccupancyAssumptions[[#This Row],[ASHRAE 2016 Occupant Density
'[People/1000SF']]]&gt;=50,"YES","NO"))</f>
        <v/>
      </c>
      <c r="AJ40" s="152"/>
      <c r="AK40" s="95" t="str">
        <f>IFERROR(INDEX('Raw Data - Occupancy'!$BD$7:$BI$85,MATCH(OccupancyAssumptions[[#This Row],[ASHRAE 2019 Space Type]],'Raw Data - Occupancy'!$BD$7:$BD$85,0),MATCH("Rp (CFM/per)",'Raw Data - Occupancy'!$BD$7:$BI$7,0)),"")</f>
        <v/>
      </c>
      <c r="AL40" s="95" t="str">
        <f>IFERROR(INDEX('Raw Data - Occupancy'!$BD$7:$BI$85,MATCH(OccupancyAssumptions[[#This Row],[ASHRAE 2019 Space Type]],'Raw Data - Occupancy'!$BD$7:$BD$85,0),MATCH("Ra (cfm/ft2)",'Raw Data - Occupancy'!$BD$7:$BI$7,0)),"")</f>
        <v/>
      </c>
      <c r="AM40" s="95" t="str">
        <f>IFERROR(INDEX('Raw Data - Occupancy'!$BD$7:$BI$85,MATCH(OccupancyAssumptions[[#This Row],[ASHRAE 2019 Space Type]],'Raw Data - Occupancy'!$BD$7:$BD$85,0),MATCH("#/1000 ft2 (#/100 m2)",'Raw Data - Occupancy'!$BD$7:$BI$7,0)),"")</f>
        <v/>
      </c>
      <c r="AN40" s="155" t="str">
        <f>IFERROR(OccupancyAssumptions[[#This Row],[ASHRAE 2019 Occupant Density
'[People/1000SF']]]*OccupancyAssumptions[[#This Row],[Area (sqft)]]/1000,"")</f>
        <v/>
      </c>
      <c r="AO40" s="156" t="str">
        <f>IF(OccupancyAssumptions[[#This Row],[ASHRAE 2019 Occupant Density
'[People/1000SF']]]="","",IF(OccupancyAssumptions[[#This Row],[ASHRAE 2019 Occupant Density
'[People/1000SF']]]&gt;=50,"YES","NO"))</f>
        <v/>
      </c>
      <c r="AP40" s="152" t="s">
        <v>214</v>
      </c>
      <c r="AQ40" s="154"/>
      <c r="AR40" s="154"/>
      <c r="AS40" s="471"/>
      <c r="AT40" s="471" t="str">
        <f>IFERROR(1000/OccupancyAssumptions[[#This Row],[Design Occupant Density '[SF/Person']]],"-")</f>
        <v>-</v>
      </c>
      <c r="AU40" s="156" t="str">
        <f>IF(OccupancyAssumptions[[#This Row],[Design Occupant Density
'[People/1000SF']]]="-","",IF(OccupancyAssumptions[[#This Row],[Design Occupant Density
'[People/1000SF']]]&gt;=50,"YES","NO"))</f>
        <v/>
      </c>
      <c r="AV40" s="26"/>
    </row>
    <row r="41" spans="2:48" x14ac:dyDescent="0.25">
      <c r="B41" s="18">
        <v>24</v>
      </c>
      <c r="C41" s="19" t="str">
        <f>IF('Master Room List'!R39="","",'Master Room List'!R39)</f>
        <v/>
      </c>
      <c r="D41" s="20" t="str">
        <f>IF(OccupancyAssumptions[[#This Row],[Space Type]]="","-",VLOOKUP(OccupancyAssumptions[[#This Row],[Space Type]],MasterRoomList_SpaceTypeSummary[[#All],[SpaceType]:[% of Total Area]],3,FALSE))</f>
        <v>-</v>
      </c>
      <c r="E41" s="152"/>
      <c r="F41" s="19" t="str">
        <f>IF(OccupancyAssumptions[[#This Row],[Space Type]]="","",INDEX('Raw Data - Occupancy'!$V$6:$Z$92,MATCH(OccupancyAssumptions[[#This Row],[Primary Function Area]],'Raw Data - Occupancy'!$V$6:$V$92,0),MATCH('Raw Data - Occupancy'!$W$6,'Raw Data - Occupancy'!$V$6:$Z$6,0)))</f>
        <v/>
      </c>
      <c r="G41" s="19" t="str">
        <f>IF(OccupancyAssumptions[[#This Row],[Space Type]]="","",INDEX('Raw Data - Occupancy'!$V$6:$Z$92,MATCH(OccupancyAssumptions[[#This Row],[Primary Function Area]],'Raw Data - Occupancy'!$V$6:$V$92,0),MATCH('Raw Data - Occupancy'!$X$6,'Raw Data - Occupancy'!$V$6:$Z$6,0)))</f>
        <v/>
      </c>
      <c r="H41" s="19" t="str">
        <f>IF(OccupancyAssumptions[[#This Row],[Space Type]]="","",15)</f>
        <v/>
      </c>
      <c r="I41" s="19" t="str">
        <f>IFERROR(INDEX('Raw Data - Occupancy'!$AW$7:$BB$85,MATCH(OccupancyAssumptions[[#This Row],[ASHRAE 2019 Space Type]],'Raw Data - Occupancy'!$AW$7:$AW$85,0),MATCH("#/1000 ft2 (#/100 m2)",'Raw Data - Occupancy'!$AW$7:$BB$7,0)),"")</f>
        <v/>
      </c>
      <c r="J41" s="153" t="str">
        <f>IFERROR(OccupancyAssumptions[[#This Row],[Occupant Density
'[People/1000SF']]]*OccupancyAssumptions[[#This Row],[Area (sqft)]]/1000,"")</f>
        <v/>
      </c>
      <c r="K41" s="20" t="str">
        <f>IF(OccupancyAssumptions[[#This Row],[Occupant Density
'[People/1000SF']]]="","",IF(OccupancyAssumptions[[#This Row],[Occupant Density
'[People/1000SF']]]&gt;=50,"YES","NO"))</f>
        <v/>
      </c>
      <c r="L41" s="152"/>
      <c r="M41" s="95" t="str">
        <f>IFERROR(INDEX('Raw Data - Occupancy'!$AB$7:$AG$85,MATCH(OccupancyAssumptions[[#This Row],[ASHRAE 2007 Space Type]],'Raw Data - Occupancy'!$AB$7:$AB$85,0),MATCH("Rp (CFM/per)",'Raw Data - Occupancy'!$AB$7:$AG$7,0)),"")</f>
        <v/>
      </c>
      <c r="N41" s="95" t="str">
        <f>IFERROR(INDEX('Raw Data - Occupancy'!$AB$7:$AG$85,MATCH(OccupancyAssumptions[[#This Row],[ASHRAE 2007 Space Type]],'Raw Data - Occupancy'!$AB$7:$AB$85,0),MATCH("Ra (cfm/ft2)",'Raw Data - Occupancy'!$AB$7:$AG$7,0)),"")</f>
        <v/>
      </c>
      <c r="O41" s="95" t="str">
        <f>IFERROR(INDEX('Raw Data - Occupancy'!$AB$7:$AG$85,MATCH(OccupancyAssumptions[[#This Row],[ASHRAE 2007 Space Type]],'Raw Data - Occupancy'!$AB$7:$AB$85,0),MATCH("#/1000 ft2 (#/100 m2)",'Raw Data - Occupancy'!$AB$7:$AG$7,0)),"")</f>
        <v/>
      </c>
      <c r="P41" s="153" t="str">
        <f>IFERROR(OccupancyAssumptions[[#This Row],[ASHRAE 2007 Occupant Density
'[People/1000SF']]]*OccupancyAssumptions[[#This Row],[Area (sqft)]]/1000,"")</f>
        <v/>
      </c>
      <c r="Q41" s="20" t="str">
        <f>IF(OccupancyAssumptions[[#This Row],[ASHRAE 2007 Occupant Density
'[People/1000SF']]]="","",IF(OccupancyAssumptions[[#This Row],[ASHRAE 2007 Occupant Density
'[People/1000SF']]]&gt;=50,"YES","NO"))</f>
        <v/>
      </c>
      <c r="R41" s="152"/>
      <c r="S41" s="95" t="str">
        <f>IFERROR(INDEX('Raw Data - Occupancy'!$AI$7:$AN$85,MATCH(OccupancyAssumptions[[#This Row],[ASHRAE 2010 Space Type]],'Raw Data - Occupancy'!$AI$7:$AI$85,0),MATCH("Rp (CFM/per)",'Raw Data - Occupancy'!$AI$7:$AN$7,0)),"")</f>
        <v/>
      </c>
      <c r="T41" s="95" t="str">
        <f>IFERROR(INDEX('Raw Data - Occupancy'!$AI$7:$AN$85,MATCH(OccupancyAssumptions[[#This Row],[ASHRAE 2010 Space Type]],'Raw Data - Occupancy'!$AI$7:$AI$85,0),MATCH("Ra (cfm/ft2)",'Raw Data - Occupancy'!$AI$7:$AN$7,0)),"")</f>
        <v/>
      </c>
      <c r="U41" s="95" t="str">
        <f>IFERROR(INDEX('Raw Data - Occupancy'!$AI$7:$AN$85,MATCH(OccupancyAssumptions[[#This Row],[ASHRAE 2010 Space Type]],'Raw Data - Occupancy'!$AI$7:$AI$85,0),MATCH("#/1000 ft2 (#/100 m2)",'Raw Data - Occupancy'!$AI$7:$AN$7,0)),"")</f>
        <v/>
      </c>
      <c r="V41" s="153" t="str">
        <f>IFERROR(OccupancyAssumptions[[#This Row],[ASHRAE 2010 Occupant Density
'[People/1000SF']]]*OccupancyAssumptions[[#This Row],[Area (sqft)]]/1000,"")</f>
        <v/>
      </c>
      <c r="W41" s="20" t="str">
        <f>IF(OccupancyAssumptions[[#This Row],[ASHRAE 2010 Occupant Density
'[People/1000SF']]]="","",IF(OccupancyAssumptions[[#This Row],[ASHRAE 2010 Occupant Density
'[People/1000SF']]]&gt;=50,"YES","NO"))</f>
        <v/>
      </c>
      <c r="X41" s="152"/>
      <c r="Y41" s="95" t="str">
        <f>IFERROR(INDEX('Raw Data - Occupancy'!$AP$7:$AU$85,MATCH(OccupancyAssumptions[[#This Row],[ASHRAE 2013 Space Type]],'Raw Data - Occupancy'!$AP$7:$AP$85,0),MATCH("Rp (CFM/per)",'Raw Data - Occupancy'!$AP$7:$AU$7,0)),"")</f>
        <v/>
      </c>
      <c r="Z41" s="95" t="str">
        <f>IFERROR(INDEX('Raw Data - Occupancy'!$AP$7:$AU$85,MATCH(OccupancyAssumptions[[#This Row],[ASHRAE 2013 Space Type]],'Raw Data - Occupancy'!$AP$7:$AP$85,0),MATCH("Ra (cfm/ft2)",'Raw Data - Occupancy'!$AP$7:$AU$7,0)),"")</f>
        <v/>
      </c>
      <c r="AA41" s="95" t="str">
        <f>IFERROR(INDEX('Raw Data - Occupancy'!$AP$7:$AU$85,MATCH(OccupancyAssumptions[[#This Row],[ASHRAE 2013 Space Type]],'Raw Data - Occupancy'!$AP$7:$AP$85,0),MATCH("#/1000 ft2 (#/100 m2)",'Raw Data - Occupancy'!$AP$7:$AU$7,0)),"")</f>
        <v/>
      </c>
      <c r="AB41" s="153" t="str">
        <f>IFERROR(OccupancyAssumptions[[#This Row],[ASHRAE 2013 Occupant Density
'[People/1000SF']]]*OccupancyAssumptions[[#This Row],[Area (sqft)]]/1000,"")</f>
        <v/>
      </c>
      <c r="AC41" s="20" t="str">
        <f>IF(OccupancyAssumptions[[#This Row],[ASHRAE 2013 Occupant Density
'[People/1000SF']]]="","",IF(OccupancyAssumptions[[#This Row],[ASHRAE 2013 Occupant Density
'[People/1000SF']]]&gt;=50,"YES","NO"))</f>
        <v/>
      </c>
      <c r="AD41" s="152"/>
      <c r="AE41" s="95" t="str">
        <f>IFERROR(INDEX('Raw Data - Occupancy'!$AW$7:$BB$85,MATCH(OccupancyAssumptions[[#This Row],[ASHRAE 2016 Space Type]],'Raw Data - Occupancy'!$AW$7:$AW$85,0),MATCH("Rp (CFM/per)",'Raw Data - Occupancy'!$AW$7:$BB$7,0)),"")</f>
        <v/>
      </c>
      <c r="AF41" s="95" t="str">
        <f>IFERROR(INDEX('Raw Data - Occupancy'!$AW$7:$BB$85,MATCH(OccupancyAssumptions[[#This Row],[ASHRAE 2016 Space Type]],'Raw Data - Occupancy'!$AW$7:$AW$85,0),MATCH("Ra (cfm/ft2)",'Raw Data - Occupancy'!$AW$7:$BB$7,0)),"")</f>
        <v/>
      </c>
      <c r="AG41" s="95" t="str">
        <f>IFERROR(INDEX('Raw Data - Occupancy'!$AW$7:$BB$85,MATCH(OccupancyAssumptions[[#This Row],[ASHRAE 2016 Space Type]],'Raw Data - Occupancy'!$AW$7:$AW$85,0),MATCH("#/1000 ft2 (#/100 m2)",'Raw Data - Occupancy'!$AW$7:$BB$7,0)),"")</f>
        <v/>
      </c>
      <c r="AH41" s="153" t="str">
        <f>IFERROR(OccupancyAssumptions[[#This Row],[ASHRAE 2016 Occupant Density
'[People/1000SF']]]*OccupancyAssumptions[[#This Row],[Area (sqft)]]/1000,"")</f>
        <v/>
      </c>
      <c r="AI41" s="20" t="str">
        <f>IF(OccupancyAssumptions[[#This Row],[ASHRAE 2016 Occupant Density
'[People/1000SF']]]="","",IF(OccupancyAssumptions[[#This Row],[ASHRAE 2016 Occupant Density
'[People/1000SF']]]&gt;=50,"YES","NO"))</f>
        <v/>
      </c>
      <c r="AJ41" s="152"/>
      <c r="AK41" s="95" t="str">
        <f>IFERROR(INDEX('Raw Data - Occupancy'!$BD$7:$BI$85,MATCH(OccupancyAssumptions[[#This Row],[ASHRAE 2019 Space Type]],'Raw Data - Occupancy'!$BD$7:$BD$85,0),MATCH("Rp (CFM/per)",'Raw Data - Occupancy'!$BD$7:$BI$7,0)),"")</f>
        <v/>
      </c>
      <c r="AL41" s="95" t="str">
        <f>IFERROR(INDEX('Raw Data - Occupancy'!$BD$7:$BI$85,MATCH(OccupancyAssumptions[[#This Row],[ASHRAE 2019 Space Type]],'Raw Data - Occupancy'!$BD$7:$BD$85,0),MATCH("Ra (cfm/ft2)",'Raw Data - Occupancy'!$BD$7:$BI$7,0)),"")</f>
        <v/>
      </c>
      <c r="AM41" s="95" t="str">
        <f>IFERROR(INDEX('Raw Data - Occupancy'!$BD$7:$BI$85,MATCH(OccupancyAssumptions[[#This Row],[ASHRAE 2019 Space Type]],'Raw Data - Occupancy'!$BD$7:$BD$85,0),MATCH("#/1000 ft2 (#/100 m2)",'Raw Data - Occupancy'!$BD$7:$BI$7,0)),"")</f>
        <v/>
      </c>
      <c r="AN41" s="155" t="str">
        <f>IFERROR(OccupancyAssumptions[[#This Row],[ASHRAE 2019 Occupant Density
'[People/1000SF']]]*OccupancyAssumptions[[#This Row],[Area (sqft)]]/1000,"")</f>
        <v/>
      </c>
      <c r="AO41" s="156" t="str">
        <f>IF(OccupancyAssumptions[[#This Row],[ASHRAE 2019 Occupant Density
'[People/1000SF']]]="","",IF(OccupancyAssumptions[[#This Row],[ASHRAE 2019 Occupant Density
'[People/1000SF']]]&gt;=50,"YES","NO"))</f>
        <v/>
      </c>
      <c r="AP41" s="152" t="s">
        <v>214</v>
      </c>
      <c r="AQ41" s="154"/>
      <c r="AR41" s="154"/>
      <c r="AS41" s="471"/>
      <c r="AT41" s="471" t="str">
        <f>IFERROR(1000/OccupancyAssumptions[[#This Row],[Design Occupant Density '[SF/Person']]],"-")</f>
        <v>-</v>
      </c>
      <c r="AU41" s="156" t="str">
        <f>IF(OccupancyAssumptions[[#This Row],[Design Occupant Density
'[People/1000SF']]]="-","",IF(OccupancyAssumptions[[#This Row],[Design Occupant Density
'[People/1000SF']]]&gt;=50,"YES","NO"))</f>
        <v/>
      </c>
      <c r="AV41" s="26"/>
    </row>
    <row r="42" spans="2:48" x14ac:dyDescent="0.25">
      <c r="B42" s="18">
        <v>25</v>
      </c>
      <c r="C42" s="19" t="str">
        <f>IF('Master Room List'!R40="","",'Master Room List'!R40)</f>
        <v/>
      </c>
      <c r="D42" s="20" t="str">
        <f>IF(OccupancyAssumptions[[#This Row],[Space Type]]="","-",VLOOKUP(OccupancyAssumptions[[#This Row],[Space Type]],MasterRoomList_SpaceTypeSummary[[#All],[SpaceType]:[% of Total Area]],3,FALSE))</f>
        <v>-</v>
      </c>
      <c r="E42" s="152"/>
      <c r="F42" s="19" t="str">
        <f>IF(OccupancyAssumptions[[#This Row],[Space Type]]="","",INDEX('Raw Data - Occupancy'!$V$6:$Z$92,MATCH(OccupancyAssumptions[[#This Row],[Primary Function Area]],'Raw Data - Occupancy'!$V$6:$V$92,0),MATCH('Raw Data - Occupancy'!$W$6,'Raw Data - Occupancy'!$V$6:$Z$6,0)))</f>
        <v/>
      </c>
      <c r="G42" s="19" t="str">
        <f>IF(OccupancyAssumptions[[#This Row],[Space Type]]="","",INDEX('Raw Data - Occupancy'!$V$6:$Z$92,MATCH(OccupancyAssumptions[[#This Row],[Primary Function Area]],'Raw Data - Occupancy'!$V$6:$V$92,0),MATCH('Raw Data - Occupancy'!$X$6,'Raw Data - Occupancy'!$V$6:$Z$6,0)))</f>
        <v/>
      </c>
      <c r="H42" s="19" t="str">
        <f>IF(OccupancyAssumptions[[#This Row],[Space Type]]="","",15)</f>
        <v/>
      </c>
      <c r="I42" s="19" t="str">
        <f>IFERROR(INDEX('Raw Data - Occupancy'!$AW$7:$BB$85,MATCH(OccupancyAssumptions[[#This Row],[ASHRAE 2019 Space Type]],'Raw Data - Occupancy'!$AW$7:$AW$85,0),MATCH("#/1000 ft2 (#/100 m2)",'Raw Data - Occupancy'!$AW$7:$BB$7,0)),"")</f>
        <v/>
      </c>
      <c r="J42" s="153" t="str">
        <f>IFERROR(OccupancyAssumptions[[#This Row],[Occupant Density
'[People/1000SF']]]*OccupancyAssumptions[[#This Row],[Area (sqft)]]/1000,"")</f>
        <v/>
      </c>
      <c r="K42" s="20" t="str">
        <f>IF(OccupancyAssumptions[[#This Row],[Occupant Density
'[People/1000SF']]]="","",IF(OccupancyAssumptions[[#This Row],[Occupant Density
'[People/1000SF']]]&gt;=50,"YES","NO"))</f>
        <v/>
      </c>
      <c r="L42" s="152"/>
      <c r="M42" s="95" t="str">
        <f>IFERROR(INDEX('Raw Data - Occupancy'!$AB$7:$AG$85,MATCH(OccupancyAssumptions[[#This Row],[ASHRAE 2007 Space Type]],'Raw Data - Occupancy'!$AB$7:$AB$85,0),MATCH("Rp (CFM/per)",'Raw Data - Occupancy'!$AB$7:$AG$7,0)),"")</f>
        <v/>
      </c>
      <c r="N42" s="95" t="str">
        <f>IFERROR(INDEX('Raw Data - Occupancy'!$AB$7:$AG$85,MATCH(OccupancyAssumptions[[#This Row],[ASHRAE 2007 Space Type]],'Raw Data - Occupancy'!$AB$7:$AB$85,0),MATCH("Ra (cfm/ft2)",'Raw Data - Occupancy'!$AB$7:$AG$7,0)),"")</f>
        <v/>
      </c>
      <c r="O42" s="95" t="str">
        <f>IFERROR(INDEX('Raw Data - Occupancy'!$AB$7:$AG$85,MATCH(OccupancyAssumptions[[#This Row],[ASHRAE 2007 Space Type]],'Raw Data - Occupancy'!$AB$7:$AB$85,0),MATCH("#/1000 ft2 (#/100 m2)",'Raw Data - Occupancy'!$AB$7:$AG$7,0)),"")</f>
        <v/>
      </c>
      <c r="P42" s="153" t="str">
        <f>IFERROR(OccupancyAssumptions[[#This Row],[ASHRAE 2007 Occupant Density
'[People/1000SF']]]*OccupancyAssumptions[[#This Row],[Area (sqft)]]/1000,"")</f>
        <v/>
      </c>
      <c r="Q42" s="20" t="str">
        <f>IF(OccupancyAssumptions[[#This Row],[ASHRAE 2007 Occupant Density
'[People/1000SF']]]="","",IF(OccupancyAssumptions[[#This Row],[ASHRAE 2007 Occupant Density
'[People/1000SF']]]&gt;=50,"YES","NO"))</f>
        <v/>
      </c>
      <c r="R42" s="152"/>
      <c r="S42" s="95" t="str">
        <f>IFERROR(INDEX('Raw Data - Occupancy'!$AI$7:$AN$85,MATCH(OccupancyAssumptions[[#This Row],[ASHRAE 2010 Space Type]],'Raw Data - Occupancy'!$AI$7:$AI$85,0),MATCH("Rp (CFM/per)",'Raw Data - Occupancy'!$AI$7:$AN$7,0)),"")</f>
        <v/>
      </c>
      <c r="T42" s="95" t="str">
        <f>IFERROR(INDEX('Raw Data - Occupancy'!$AI$7:$AN$85,MATCH(OccupancyAssumptions[[#This Row],[ASHRAE 2010 Space Type]],'Raw Data - Occupancy'!$AI$7:$AI$85,0),MATCH("Ra (cfm/ft2)",'Raw Data - Occupancy'!$AI$7:$AN$7,0)),"")</f>
        <v/>
      </c>
      <c r="U42" s="95" t="str">
        <f>IFERROR(INDEX('Raw Data - Occupancy'!$AI$7:$AN$85,MATCH(OccupancyAssumptions[[#This Row],[ASHRAE 2010 Space Type]],'Raw Data - Occupancy'!$AI$7:$AI$85,0),MATCH("#/1000 ft2 (#/100 m2)",'Raw Data - Occupancy'!$AI$7:$AN$7,0)),"")</f>
        <v/>
      </c>
      <c r="V42" s="153" t="str">
        <f>IFERROR(OccupancyAssumptions[[#This Row],[ASHRAE 2010 Occupant Density
'[People/1000SF']]]*OccupancyAssumptions[[#This Row],[Area (sqft)]]/1000,"")</f>
        <v/>
      </c>
      <c r="W42" s="20" t="str">
        <f>IF(OccupancyAssumptions[[#This Row],[ASHRAE 2010 Occupant Density
'[People/1000SF']]]="","",IF(OccupancyAssumptions[[#This Row],[ASHRAE 2010 Occupant Density
'[People/1000SF']]]&gt;=50,"YES","NO"))</f>
        <v/>
      </c>
      <c r="X42" s="152"/>
      <c r="Y42" s="95" t="str">
        <f>IFERROR(INDEX('Raw Data - Occupancy'!$AP$7:$AU$85,MATCH(OccupancyAssumptions[[#This Row],[ASHRAE 2013 Space Type]],'Raw Data - Occupancy'!$AP$7:$AP$85,0),MATCH("Rp (CFM/per)",'Raw Data - Occupancy'!$AP$7:$AU$7,0)),"")</f>
        <v/>
      </c>
      <c r="Z42" s="95" t="str">
        <f>IFERROR(INDEX('Raw Data - Occupancy'!$AP$7:$AU$85,MATCH(OccupancyAssumptions[[#This Row],[ASHRAE 2013 Space Type]],'Raw Data - Occupancy'!$AP$7:$AP$85,0),MATCH("Ra (cfm/ft2)",'Raw Data - Occupancy'!$AP$7:$AU$7,0)),"")</f>
        <v/>
      </c>
      <c r="AA42" s="95" t="str">
        <f>IFERROR(INDEX('Raw Data - Occupancy'!$AP$7:$AU$85,MATCH(OccupancyAssumptions[[#This Row],[ASHRAE 2013 Space Type]],'Raw Data - Occupancy'!$AP$7:$AP$85,0),MATCH("#/1000 ft2 (#/100 m2)",'Raw Data - Occupancy'!$AP$7:$AU$7,0)),"")</f>
        <v/>
      </c>
      <c r="AB42" s="153" t="str">
        <f>IFERROR(OccupancyAssumptions[[#This Row],[ASHRAE 2013 Occupant Density
'[People/1000SF']]]*OccupancyAssumptions[[#This Row],[Area (sqft)]]/1000,"")</f>
        <v/>
      </c>
      <c r="AC42" s="20" t="str">
        <f>IF(OccupancyAssumptions[[#This Row],[ASHRAE 2013 Occupant Density
'[People/1000SF']]]="","",IF(OccupancyAssumptions[[#This Row],[ASHRAE 2013 Occupant Density
'[People/1000SF']]]&gt;=50,"YES","NO"))</f>
        <v/>
      </c>
      <c r="AD42" s="152"/>
      <c r="AE42" s="95" t="str">
        <f>IFERROR(INDEX('Raw Data - Occupancy'!$AW$7:$BB$85,MATCH(OccupancyAssumptions[[#This Row],[ASHRAE 2016 Space Type]],'Raw Data - Occupancy'!$AW$7:$AW$85,0),MATCH("Rp (CFM/per)",'Raw Data - Occupancy'!$AW$7:$BB$7,0)),"")</f>
        <v/>
      </c>
      <c r="AF42" s="95" t="str">
        <f>IFERROR(INDEX('Raw Data - Occupancy'!$AW$7:$BB$85,MATCH(OccupancyAssumptions[[#This Row],[ASHRAE 2016 Space Type]],'Raw Data - Occupancy'!$AW$7:$AW$85,0),MATCH("Ra (cfm/ft2)",'Raw Data - Occupancy'!$AW$7:$BB$7,0)),"")</f>
        <v/>
      </c>
      <c r="AG42" s="95" t="str">
        <f>IFERROR(INDEX('Raw Data - Occupancy'!$AW$7:$BB$85,MATCH(OccupancyAssumptions[[#This Row],[ASHRAE 2016 Space Type]],'Raw Data - Occupancy'!$AW$7:$AW$85,0),MATCH("#/1000 ft2 (#/100 m2)",'Raw Data - Occupancy'!$AW$7:$BB$7,0)),"")</f>
        <v/>
      </c>
      <c r="AH42" s="153" t="str">
        <f>IFERROR(OccupancyAssumptions[[#This Row],[ASHRAE 2016 Occupant Density
'[People/1000SF']]]*OccupancyAssumptions[[#This Row],[Area (sqft)]]/1000,"")</f>
        <v/>
      </c>
      <c r="AI42" s="20" t="str">
        <f>IF(OccupancyAssumptions[[#This Row],[ASHRAE 2016 Occupant Density
'[People/1000SF']]]="","",IF(OccupancyAssumptions[[#This Row],[ASHRAE 2016 Occupant Density
'[People/1000SF']]]&gt;=50,"YES","NO"))</f>
        <v/>
      </c>
      <c r="AJ42" s="152"/>
      <c r="AK42" s="95" t="str">
        <f>IFERROR(INDEX('Raw Data - Occupancy'!$BD$7:$BI$85,MATCH(OccupancyAssumptions[[#This Row],[ASHRAE 2019 Space Type]],'Raw Data - Occupancy'!$BD$7:$BD$85,0),MATCH("Rp (CFM/per)",'Raw Data - Occupancy'!$BD$7:$BI$7,0)),"")</f>
        <v/>
      </c>
      <c r="AL42" s="95" t="str">
        <f>IFERROR(INDEX('Raw Data - Occupancy'!$BD$7:$BI$85,MATCH(OccupancyAssumptions[[#This Row],[ASHRAE 2019 Space Type]],'Raw Data - Occupancy'!$BD$7:$BD$85,0),MATCH("Ra (cfm/ft2)",'Raw Data - Occupancy'!$BD$7:$BI$7,0)),"")</f>
        <v/>
      </c>
      <c r="AM42" s="95" t="str">
        <f>IFERROR(INDEX('Raw Data - Occupancy'!$BD$7:$BI$85,MATCH(OccupancyAssumptions[[#This Row],[ASHRAE 2019 Space Type]],'Raw Data - Occupancy'!$BD$7:$BD$85,0),MATCH("#/1000 ft2 (#/100 m2)",'Raw Data - Occupancy'!$BD$7:$BI$7,0)),"")</f>
        <v/>
      </c>
      <c r="AN42" s="155" t="str">
        <f>IFERROR(OccupancyAssumptions[[#This Row],[ASHRAE 2019 Occupant Density
'[People/1000SF']]]*OccupancyAssumptions[[#This Row],[Area (sqft)]]/1000,"")</f>
        <v/>
      </c>
      <c r="AO42" s="156" t="str">
        <f>IF(OccupancyAssumptions[[#This Row],[ASHRAE 2019 Occupant Density
'[People/1000SF']]]="","",IF(OccupancyAssumptions[[#This Row],[ASHRAE 2019 Occupant Density
'[People/1000SF']]]&gt;=50,"YES","NO"))</f>
        <v/>
      </c>
      <c r="AP42" s="152" t="s">
        <v>214</v>
      </c>
      <c r="AQ42" s="154"/>
      <c r="AR42" s="154"/>
      <c r="AS42" s="471"/>
      <c r="AT42" s="471" t="str">
        <f>IFERROR(1000/OccupancyAssumptions[[#This Row],[Design Occupant Density '[SF/Person']]],"-")</f>
        <v>-</v>
      </c>
      <c r="AU42" s="156" t="str">
        <f>IF(OccupancyAssumptions[[#This Row],[Design Occupant Density
'[People/1000SF']]]="-","",IF(OccupancyAssumptions[[#This Row],[Design Occupant Density
'[People/1000SF']]]&gt;=50,"YES","NO"))</f>
        <v/>
      </c>
      <c r="AV42" s="26"/>
    </row>
    <row r="43" spans="2:48" x14ac:dyDescent="0.25">
      <c r="B43" s="18">
        <v>26</v>
      </c>
      <c r="C43" s="19" t="str">
        <f>IF('Master Room List'!R41="","",'Master Room List'!R41)</f>
        <v/>
      </c>
      <c r="D43" s="20" t="str">
        <f>IF(OccupancyAssumptions[[#This Row],[Space Type]]="","-",VLOOKUP(OccupancyAssumptions[[#This Row],[Space Type]],MasterRoomList_SpaceTypeSummary[[#All],[SpaceType]:[% of Total Area]],3,FALSE))</f>
        <v>-</v>
      </c>
      <c r="E43" s="152"/>
      <c r="F43" s="19" t="str">
        <f>IF(OccupancyAssumptions[[#This Row],[Space Type]]="","",INDEX('Raw Data - Occupancy'!$V$6:$Z$92,MATCH(OccupancyAssumptions[[#This Row],[Primary Function Area]],'Raw Data - Occupancy'!$V$6:$V$92,0),MATCH('Raw Data - Occupancy'!$W$6,'Raw Data - Occupancy'!$V$6:$Z$6,0)))</f>
        <v/>
      </c>
      <c r="G43" s="19" t="str">
        <f>IF(OccupancyAssumptions[[#This Row],[Space Type]]="","",INDEX('Raw Data - Occupancy'!$V$6:$Z$92,MATCH(OccupancyAssumptions[[#This Row],[Primary Function Area]],'Raw Data - Occupancy'!$V$6:$V$92,0),MATCH('Raw Data - Occupancy'!$X$6,'Raw Data - Occupancy'!$V$6:$Z$6,0)))</f>
        <v/>
      </c>
      <c r="H43" s="19" t="str">
        <f>IF(OccupancyAssumptions[[#This Row],[Space Type]]="","",15)</f>
        <v/>
      </c>
      <c r="I43" s="19" t="str">
        <f>IFERROR(INDEX('Raw Data - Occupancy'!$AW$7:$BB$85,MATCH(OccupancyAssumptions[[#This Row],[ASHRAE 2019 Space Type]],'Raw Data - Occupancy'!$AW$7:$AW$85,0),MATCH("#/1000 ft2 (#/100 m2)",'Raw Data - Occupancy'!$AW$7:$BB$7,0)),"")</f>
        <v/>
      </c>
      <c r="J43" s="153" t="str">
        <f>IFERROR(OccupancyAssumptions[[#This Row],[Occupant Density
'[People/1000SF']]]*OccupancyAssumptions[[#This Row],[Area (sqft)]]/1000,"")</f>
        <v/>
      </c>
      <c r="K43" s="20" t="str">
        <f>IF(OccupancyAssumptions[[#This Row],[Occupant Density
'[People/1000SF']]]="","",IF(OccupancyAssumptions[[#This Row],[Occupant Density
'[People/1000SF']]]&gt;=50,"YES","NO"))</f>
        <v/>
      </c>
      <c r="L43" s="152"/>
      <c r="M43" s="95" t="str">
        <f>IFERROR(INDEX('Raw Data - Occupancy'!$AB$7:$AG$85,MATCH(OccupancyAssumptions[[#This Row],[ASHRAE 2007 Space Type]],'Raw Data - Occupancy'!$AB$7:$AB$85,0),MATCH("Rp (CFM/per)",'Raw Data - Occupancy'!$AB$7:$AG$7,0)),"")</f>
        <v/>
      </c>
      <c r="N43" s="95" t="str">
        <f>IFERROR(INDEX('Raw Data - Occupancy'!$AB$7:$AG$85,MATCH(OccupancyAssumptions[[#This Row],[ASHRAE 2007 Space Type]],'Raw Data - Occupancy'!$AB$7:$AB$85,0),MATCH("Ra (cfm/ft2)",'Raw Data - Occupancy'!$AB$7:$AG$7,0)),"")</f>
        <v/>
      </c>
      <c r="O43" s="95" t="str">
        <f>IFERROR(INDEX('Raw Data - Occupancy'!$AB$7:$AG$85,MATCH(OccupancyAssumptions[[#This Row],[ASHRAE 2007 Space Type]],'Raw Data - Occupancy'!$AB$7:$AB$85,0),MATCH("#/1000 ft2 (#/100 m2)",'Raw Data - Occupancy'!$AB$7:$AG$7,0)),"")</f>
        <v/>
      </c>
      <c r="P43" s="153" t="str">
        <f>IFERROR(OccupancyAssumptions[[#This Row],[ASHRAE 2007 Occupant Density
'[People/1000SF']]]*OccupancyAssumptions[[#This Row],[Area (sqft)]]/1000,"")</f>
        <v/>
      </c>
      <c r="Q43" s="20" t="str">
        <f>IF(OccupancyAssumptions[[#This Row],[ASHRAE 2007 Occupant Density
'[People/1000SF']]]="","",IF(OccupancyAssumptions[[#This Row],[ASHRAE 2007 Occupant Density
'[People/1000SF']]]&gt;=50,"YES","NO"))</f>
        <v/>
      </c>
      <c r="R43" s="152"/>
      <c r="S43" s="95" t="str">
        <f>IFERROR(INDEX('Raw Data - Occupancy'!$AI$7:$AN$85,MATCH(OccupancyAssumptions[[#This Row],[ASHRAE 2010 Space Type]],'Raw Data - Occupancy'!$AI$7:$AI$85,0),MATCH("Rp (CFM/per)",'Raw Data - Occupancy'!$AI$7:$AN$7,0)),"")</f>
        <v/>
      </c>
      <c r="T43" s="95" t="str">
        <f>IFERROR(INDEX('Raw Data - Occupancy'!$AI$7:$AN$85,MATCH(OccupancyAssumptions[[#This Row],[ASHRAE 2010 Space Type]],'Raw Data - Occupancy'!$AI$7:$AI$85,0),MATCH("Ra (cfm/ft2)",'Raw Data - Occupancy'!$AI$7:$AN$7,0)),"")</f>
        <v/>
      </c>
      <c r="U43" s="95" t="str">
        <f>IFERROR(INDEX('Raw Data - Occupancy'!$AI$7:$AN$85,MATCH(OccupancyAssumptions[[#This Row],[ASHRAE 2010 Space Type]],'Raw Data - Occupancy'!$AI$7:$AI$85,0),MATCH("#/1000 ft2 (#/100 m2)",'Raw Data - Occupancy'!$AI$7:$AN$7,0)),"")</f>
        <v/>
      </c>
      <c r="V43" s="153" t="str">
        <f>IFERROR(OccupancyAssumptions[[#This Row],[ASHRAE 2010 Occupant Density
'[People/1000SF']]]*OccupancyAssumptions[[#This Row],[Area (sqft)]]/1000,"")</f>
        <v/>
      </c>
      <c r="W43" s="20" t="str">
        <f>IF(OccupancyAssumptions[[#This Row],[ASHRAE 2010 Occupant Density
'[People/1000SF']]]="","",IF(OccupancyAssumptions[[#This Row],[ASHRAE 2010 Occupant Density
'[People/1000SF']]]&gt;=50,"YES","NO"))</f>
        <v/>
      </c>
      <c r="X43" s="152"/>
      <c r="Y43" s="95" t="str">
        <f>IFERROR(INDEX('Raw Data - Occupancy'!$AP$7:$AU$85,MATCH(OccupancyAssumptions[[#This Row],[ASHRAE 2013 Space Type]],'Raw Data - Occupancy'!$AP$7:$AP$85,0),MATCH("Rp (CFM/per)",'Raw Data - Occupancy'!$AP$7:$AU$7,0)),"")</f>
        <v/>
      </c>
      <c r="Z43" s="95" t="str">
        <f>IFERROR(INDEX('Raw Data - Occupancy'!$AP$7:$AU$85,MATCH(OccupancyAssumptions[[#This Row],[ASHRAE 2013 Space Type]],'Raw Data - Occupancy'!$AP$7:$AP$85,0),MATCH("Ra (cfm/ft2)",'Raw Data - Occupancy'!$AP$7:$AU$7,0)),"")</f>
        <v/>
      </c>
      <c r="AA43" s="95" t="str">
        <f>IFERROR(INDEX('Raw Data - Occupancy'!$AP$7:$AU$85,MATCH(OccupancyAssumptions[[#This Row],[ASHRAE 2013 Space Type]],'Raw Data - Occupancy'!$AP$7:$AP$85,0),MATCH("#/1000 ft2 (#/100 m2)",'Raw Data - Occupancy'!$AP$7:$AU$7,0)),"")</f>
        <v/>
      </c>
      <c r="AB43" s="153" t="str">
        <f>IFERROR(OccupancyAssumptions[[#This Row],[ASHRAE 2013 Occupant Density
'[People/1000SF']]]*OccupancyAssumptions[[#This Row],[Area (sqft)]]/1000,"")</f>
        <v/>
      </c>
      <c r="AC43" s="20" t="str">
        <f>IF(OccupancyAssumptions[[#This Row],[ASHRAE 2013 Occupant Density
'[People/1000SF']]]="","",IF(OccupancyAssumptions[[#This Row],[ASHRAE 2013 Occupant Density
'[People/1000SF']]]&gt;=50,"YES","NO"))</f>
        <v/>
      </c>
      <c r="AD43" s="152"/>
      <c r="AE43" s="95" t="str">
        <f>IFERROR(INDEX('Raw Data - Occupancy'!$AW$7:$BB$85,MATCH(OccupancyAssumptions[[#This Row],[ASHRAE 2016 Space Type]],'Raw Data - Occupancy'!$AW$7:$AW$85,0),MATCH("Rp (CFM/per)",'Raw Data - Occupancy'!$AW$7:$BB$7,0)),"")</f>
        <v/>
      </c>
      <c r="AF43" s="95" t="str">
        <f>IFERROR(INDEX('Raw Data - Occupancy'!$AW$7:$BB$85,MATCH(OccupancyAssumptions[[#This Row],[ASHRAE 2016 Space Type]],'Raw Data - Occupancy'!$AW$7:$AW$85,0),MATCH("Ra (cfm/ft2)",'Raw Data - Occupancy'!$AW$7:$BB$7,0)),"")</f>
        <v/>
      </c>
      <c r="AG43" s="95" t="str">
        <f>IFERROR(INDEX('Raw Data - Occupancy'!$AW$7:$BB$85,MATCH(OccupancyAssumptions[[#This Row],[ASHRAE 2016 Space Type]],'Raw Data - Occupancy'!$AW$7:$AW$85,0),MATCH("#/1000 ft2 (#/100 m2)",'Raw Data - Occupancy'!$AW$7:$BB$7,0)),"")</f>
        <v/>
      </c>
      <c r="AH43" s="153" t="str">
        <f>IFERROR(OccupancyAssumptions[[#This Row],[ASHRAE 2016 Occupant Density
'[People/1000SF']]]*OccupancyAssumptions[[#This Row],[Area (sqft)]]/1000,"")</f>
        <v/>
      </c>
      <c r="AI43" s="20" t="str">
        <f>IF(OccupancyAssumptions[[#This Row],[ASHRAE 2016 Occupant Density
'[People/1000SF']]]="","",IF(OccupancyAssumptions[[#This Row],[ASHRAE 2016 Occupant Density
'[People/1000SF']]]&gt;=50,"YES","NO"))</f>
        <v/>
      </c>
      <c r="AJ43" s="152"/>
      <c r="AK43" s="95" t="str">
        <f>IFERROR(INDEX('Raw Data - Occupancy'!$BD$7:$BI$85,MATCH(OccupancyAssumptions[[#This Row],[ASHRAE 2019 Space Type]],'Raw Data - Occupancy'!$BD$7:$BD$85,0),MATCH("Rp (CFM/per)",'Raw Data - Occupancy'!$BD$7:$BI$7,0)),"")</f>
        <v/>
      </c>
      <c r="AL43" s="95" t="str">
        <f>IFERROR(INDEX('Raw Data - Occupancy'!$BD$7:$BI$85,MATCH(OccupancyAssumptions[[#This Row],[ASHRAE 2019 Space Type]],'Raw Data - Occupancy'!$BD$7:$BD$85,0),MATCH("Ra (cfm/ft2)",'Raw Data - Occupancy'!$BD$7:$BI$7,0)),"")</f>
        <v/>
      </c>
      <c r="AM43" s="95" t="str">
        <f>IFERROR(INDEX('Raw Data - Occupancy'!$BD$7:$BI$85,MATCH(OccupancyAssumptions[[#This Row],[ASHRAE 2019 Space Type]],'Raw Data - Occupancy'!$BD$7:$BD$85,0),MATCH("#/1000 ft2 (#/100 m2)",'Raw Data - Occupancy'!$BD$7:$BI$7,0)),"")</f>
        <v/>
      </c>
      <c r="AN43" s="155" t="str">
        <f>IFERROR(OccupancyAssumptions[[#This Row],[ASHRAE 2019 Occupant Density
'[People/1000SF']]]*OccupancyAssumptions[[#This Row],[Area (sqft)]]/1000,"")</f>
        <v/>
      </c>
      <c r="AO43" s="156" t="str">
        <f>IF(OccupancyAssumptions[[#This Row],[ASHRAE 2019 Occupant Density
'[People/1000SF']]]="","",IF(OccupancyAssumptions[[#This Row],[ASHRAE 2019 Occupant Density
'[People/1000SF']]]&gt;=50,"YES","NO"))</f>
        <v/>
      </c>
      <c r="AP43" s="152" t="s">
        <v>214</v>
      </c>
      <c r="AQ43" s="154"/>
      <c r="AR43" s="154"/>
      <c r="AS43" s="471"/>
      <c r="AT43" s="471" t="str">
        <f>IFERROR(1000/OccupancyAssumptions[[#This Row],[Design Occupant Density '[SF/Person']]],"-")</f>
        <v>-</v>
      </c>
      <c r="AU43" s="156" t="str">
        <f>IF(OccupancyAssumptions[[#This Row],[Design Occupant Density
'[People/1000SF']]]="-","",IF(OccupancyAssumptions[[#This Row],[Design Occupant Density
'[People/1000SF']]]&gt;=50,"YES","NO"))</f>
        <v/>
      </c>
      <c r="AV43" s="26"/>
    </row>
    <row r="44" spans="2:48" x14ac:dyDescent="0.25">
      <c r="B44" s="18">
        <v>27</v>
      </c>
      <c r="C44" s="19" t="str">
        <f>IF('Master Room List'!R42="","",'Master Room List'!R42)</f>
        <v/>
      </c>
      <c r="D44" s="20" t="str">
        <f>IF(OccupancyAssumptions[[#This Row],[Space Type]]="","-",VLOOKUP(OccupancyAssumptions[[#This Row],[Space Type]],MasterRoomList_SpaceTypeSummary[[#All],[SpaceType]:[% of Total Area]],3,FALSE))</f>
        <v>-</v>
      </c>
      <c r="E44" s="152"/>
      <c r="F44" s="19" t="str">
        <f>IF(OccupancyAssumptions[[#This Row],[Space Type]]="","",INDEX('Raw Data - Occupancy'!$V$6:$Z$92,MATCH(OccupancyAssumptions[[#This Row],[Primary Function Area]],'Raw Data - Occupancy'!$V$6:$V$92,0),MATCH('Raw Data - Occupancy'!$W$6,'Raw Data - Occupancy'!$V$6:$Z$6,0)))</f>
        <v/>
      </c>
      <c r="G44" s="19" t="str">
        <f>IF(OccupancyAssumptions[[#This Row],[Space Type]]="","",INDEX('Raw Data - Occupancy'!$V$6:$Z$92,MATCH(OccupancyAssumptions[[#This Row],[Primary Function Area]],'Raw Data - Occupancy'!$V$6:$V$92,0),MATCH('Raw Data - Occupancy'!$X$6,'Raw Data - Occupancy'!$V$6:$Z$6,0)))</f>
        <v/>
      </c>
      <c r="H44" s="19" t="str">
        <f>IF(OccupancyAssumptions[[#This Row],[Space Type]]="","",15)</f>
        <v/>
      </c>
      <c r="I44" s="19" t="str">
        <f>IFERROR(INDEX('Raw Data - Occupancy'!$AW$7:$BB$85,MATCH(OccupancyAssumptions[[#This Row],[ASHRAE 2019 Space Type]],'Raw Data - Occupancy'!$AW$7:$AW$85,0),MATCH("#/1000 ft2 (#/100 m2)",'Raw Data - Occupancy'!$AW$7:$BB$7,0)),"")</f>
        <v/>
      </c>
      <c r="J44" s="153" t="str">
        <f>IFERROR(OccupancyAssumptions[[#This Row],[Occupant Density
'[People/1000SF']]]*OccupancyAssumptions[[#This Row],[Area (sqft)]]/1000,"")</f>
        <v/>
      </c>
      <c r="K44" s="20" t="str">
        <f>IF(OccupancyAssumptions[[#This Row],[Occupant Density
'[People/1000SF']]]="","",IF(OccupancyAssumptions[[#This Row],[Occupant Density
'[People/1000SF']]]&gt;=50,"YES","NO"))</f>
        <v/>
      </c>
      <c r="L44" s="152"/>
      <c r="M44" s="95" t="str">
        <f>IFERROR(INDEX('Raw Data - Occupancy'!$AB$7:$AG$85,MATCH(OccupancyAssumptions[[#This Row],[ASHRAE 2007 Space Type]],'Raw Data - Occupancy'!$AB$7:$AB$85,0),MATCH("Rp (CFM/per)",'Raw Data - Occupancy'!$AB$7:$AG$7,0)),"")</f>
        <v/>
      </c>
      <c r="N44" s="95" t="str">
        <f>IFERROR(INDEX('Raw Data - Occupancy'!$AB$7:$AG$85,MATCH(OccupancyAssumptions[[#This Row],[ASHRAE 2007 Space Type]],'Raw Data - Occupancy'!$AB$7:$AB$85,0),MATCH("Ra (cfm/ft2)",'Raw Data - Occupancy'!$AB$7:$AG$7,0)),"")</f>
        <v/>
      </c>
      <c r="O44" s="95" t="str">
        <f>IFERROR(INDEX('Raw Data - Occupancy'!$AB$7:$AG$85,MATCH(OccupancyAssumptions[[#This Row],[ASHRAE 2007 Space Type]],'Raw Data - Occupancy'!$AB$7:$AB$85,0),MATCH("#/1000 ft2 (#/100 m2)",'Raw Data - Occupancy'!$AB$7:$AG$7,0)),"")</f>
        <v/>
      </c>
      <c r="P44" s="153" t="str">
        <f>IFERROR(OccupancyAssumptions[[#This Row],[ASHRAE 2007 Occupant Density
'[People/1000SF']]]*OccupancyAssumptions[[#This Row],[Area (sqft)]]/1000,"")</f>
        <v/>
      </c>
      <c r="Q44" s="20" t="str">
        <f>IF(OccupancyAssumptions[[#This Row],[ASHRAE 2007 Occupant Density
'[People/1000SF']]]="","",IF(OccupancyAssumptions[[#This Row],[ASHRAE 2007 Occupant Density
'[People/1000SF']]]&gt;=50,"YES","NO"))</f>
        <v/>
      </c>
      <c r="R44" s="152"/>
      <c r="S44" s="95" t="str">
        <f>IFERROR(INDEX('Raw Data - Occupancy'!$AI$7:$AN$85,MATCH(OccupancyAssumptions[[#This Row],[ASHRAE 2010 Space Type]],'Raw Data - Occupancy'!$AI$7:$AI$85,0),MATCH("Rp (CFM/per)",'Raw Data - Occupancy'!$AI$7:$AN$7,0)),"")</f>
        <v/>
      </c>
      <c r="T44" s="95" t="str">
        <f>IFERROR(INDEX('Raw Data - Occupancy'!$AI$7:$AN$85,MATCH(OccupancyAssumptions[[#This Row],[ASHRAE 2010 Space Type]],'Raw Data - Occupancy'!$AI$7:$AI$85,0),MATCH("Ra (cfm/ft2)",'Raw Data - Occupancy'!$AI$7:$AN$7,0)),"")</f>
        <v/>
      </c>
      <c r="U44" s="95" t="str">
        <f>IFERROR(INDEX('Raw Data - Occupancy'!$AI$7:$AN$85,MATCH(OccupancyAssumptions[[#This Row],[ASHRAE 2010 Space Type]],'Raw Data - Occupancy'!$AI$7:$AI$85,0),MATCH("#/1000 ft2 (#/100 m2)",'Raw Data - Occupancy'!$AI$7:$AN$7,0)),"")</f>
        <v/>
      </c>
      <c r="V44" s="153" t="str">
        <f>IFERROR(OccupancyAssumptions[[#This Row],[ASHRAE 2010 Occupant Density
'[People/1000SF']]]*OccupancyAssumptions[[#This Row],[Area (sqft)]]/1000,"")</f>
        <v/>
      </c>
      <c r="W44" s="20" t="str">
        <f>IF(OccupancyAssumptions[[#This Row],[ASHRAE 2010 Occupant Density
'[People/1000SF']]]="","",IF(OccupancyAssumptions[[#This Row],[ASHRAE 2010 Occupant Density
'[People/1000SF']]]&gt;=50,"YES","NO"))</f>
        <v/>
      </c>
      <c r="X44" s="152"/>
      <c r="Y44" s="95" t="str">
        <f>IFERROR(INDEX('Raw Data - Occupancy'!$AP$7:$AU$85,MATCH(OccupancyAssumptions[[#This Row],[ASHRAE 2013 Space Type]],'Raw Data - Occupancy'!$AP$7:$AP$85,0),MATCH("Rp (CFM/per)",'Raw Data - Occupancy'!$AP$7:$AU$7,0)),"")</f>
        <v/>
      </c>
      <c r="Z44" s="95" t="str">
        <f>IFERROR(INDEX('Raw Data - Occupancy'!$AP$7:$AU$85,MATCH(OccupancyAssumptions[[#This Row],[ASHRAE 2013 Space Type]],'Raw Data - Occupancy'!$AP$7:$AP$85,0),MATCH("Ra (cfm/ft2)",'Raw Data - Occupancy'!$AP$7:$AU$7,0)),"")</f>
        <v/>
      </c>
      <c r="AA44" s="95" t="str">
        <f>IFERROR(INDEX('Raw Data - Occupancy'!$AP$7:$AU$85,MATCH(OccupancyAssumptions[[#This Row],[ASHRAE 2013 Space Type]],'Raw Data - Occupancy'!$AP$7:$AP$85,0),MATCH("#/1000 ft2 (#/100 m2)",'Raw Data - Occupancy'!$AP$7:$AU$7,0)),"")</f>
        <v/>
      </c>
      <c r="AB44" s="153" t="str">
        <f>IFERROR(OccupancyAssumptions[[#This Row],[ASHRAE 2013 Occupant Density
'[People/1000SF']]]*OccupancyAssumptions[[#This Row],[Area (sqft)]]/1000,"")</f>
        <v/>
      </c>
      <c r="AC44" s="20" t="str">
        <f>IF(OccupancyAssumptions[[#This Row],[ASHRAE 2013 Occupant Density
'[People/1000SF']]]="","",IF(OccupancyAssumptions[[#This Row],[ASHRAE 2013 Occupant Density
'[People/1000SF']]]&gt;=50,"YES","NO"))</f>
        <v/>
      </c>
      <c r="AD44" s="152"/>
      <c r="AE44" s="95" t="str">
        <f>IFERROR(INDEX('Raw Data - Occupancy'!$AW$7:$BB$85,MATCH(OccupancyAssumptions[[#This Row],[ASHRAE 2016 Space Type]],'Raw Data - Occupancy'!$AW$7:$AW$85,0),MATCH("Rp (CFM/per)",'Raw Data - Occupancy'!$AW$7:$BB$7,0)),"")</f>
        <v/>
      </c>
      <c r="AF44" s="95" t="str">
        <f>IFERROR(INDEX('Raw Data - Occupancy'!$AW$7:$BB$85,MATCH(OccupancyAssumptions[[#This Row],[ASHRAE 2016 Space Type]],'Raw Data - Occupancy'!$AW$7:$AW$85,0),MATCH("Ra (cfm/ft2)",'Raw Data - Occupancy'!$AW$7:$BB$7,0)),"")</f>
        <v/>
      </c>
      <c r="AG44" s="95" t="str">
        <f>IFERROR(INDEX('Raw Data - Occupancy'!$AW$7:$BB$85,MATCH(OccupancyAssumptions[[#This Row],[ASHRAE 2016 Space Type]],'Raw Data - Occupancy'!$AW$7:$AW$85,0),MATCH("#/1000 ft2 (#/100 m2)",'Raw Data - Occupancy'!$AW$7:$BB$7,0)),"")</f>
        <v/>
      </c>
      <c r="AH44" s="153" t="str">
        <f>IFERROR(OccupancyAssumptions[[#This Row],[ASHRAE 2016 Occupant Density
'[People/1000SF']]]*OccupancyAssumptions[[#This Row],[Area (sqft)]]/1000,"")</f>
        <v/>
      </c>
      <c r="AI44" s="20" t="str">
        <f>IF(OccupancyAssumptions[[#This Row],[ASHRAE 2016 Occupant Density
'[People/1000SF']]]="","",IF(OccupancyAssumptions[[#This Row],[ASHRAE 2016 Occupant Density
'[People/1000SF']]]&gt;=50,"YES","NO"))</f>
        <v/>
      </c>
      <c r="AJ44" s="152"/>
      <c r="AK44" s="95" t="str">
        <f>IFERROR(INDEX('Raw Data - Occupancy'!$BD$7:$BI$85,MATCH(OccupancyAssumptions[[#This Row],[ASHRAE 2019 Space Type]],'Raw Data - Occupancy'!$BD$7:$BD$85,0),MATCH("Rp (CFM/per)",'Raw Data - Occupancy'!$BD$7:$BI$7,0)),"")</f>
        <v/>
      </c>
      <c r="AL44" s="95" t="str">
        <f>IFERROR(INDEX('Raw Data - Occupancy'!$BD$7:$BI$85,MATCH(OccupancyAssumptions[[#This Row],[ASHRAE 2019 Space Type]],'Raw Data - Occupancy'!$BD$7:$BD$85,0),MATCH("Ra (cfm/ft2)",'Raw Data - Occupancy'!$BD$7:$BI$7,0)),"")</f>
        <v/>
      </c>
      <c r="AM44" s="95" t="str">
        <f>IFERROR(INDEX('Raw Data - Occupancy'!$BD$7:$BI$85,MATCH(OccupancyAssumptions[[#This Row],[ASHRAE 2019 Space Type]],'Raw Data - Occupancy'!$BD$7:$BD$85,0),MATCH("#/1000 ft2 (#/100 m2)",'Raw Data - Occupancy'!$BD$7:$BI$7,0)),"")</f>
        <v/>
      </c>
      <c r="AN44" s="155" t="str">
        <f>IFERROR(OccupancyAssumptions[[#This Row],[ASHRAE 2019 Occupant Density
'[People/1000SF']]]*OccupancyAssumptions[[#This Row],[Area (sqft)]]/1000,"")</f>
        <v/>
      </c>
      <c r="AO44" s="156" t="str">
        <f>IF(OccupancyAssumptions[[#This Row],[ASHRAE 2019 Occupant Density
'[People/1000SF']]]="","",IF(OccupancyAssumptions[[#This Row],[ASHRAE 2019 Occupant Density
'[People/1000SF']]]&gt;=50,"YES","NO"))</f>
        <v/>
      </c>
      <c r="AP44" s="152" t="s">
        <v>214</v>
      </c>
      <c r="AQ44" s="154"/>
      <c r="AR44" s="154"/>
      <c r="AS44" s="471"/>
      <c r="AT44" s="471" t="str">
        <f>IFERROR(1000/OccupancyAssumptions[[#This Row],[Design Occupant Density '[SF/Person']]],"-")</f>
        <v>-</v>
      </c>
      <c r="AU44" s="156" t="str">
        <f>IF(OccupancyAssumptions[[#This Row],[Design Occupant Density
'[People/1000SF']]]="-","",IF(OccupancyAssumptions[[#This Row],[Design Occupant Density
'[People/1000SF']]]&gt;=50,"YES","NO"))</f>
        <v/>
      </c>
      <c r="AV44" s="26"/>
    </row>
    <row r="45" spans="2:48" x14ac:dyDescent="0.25">
      <c r="B45" s="18">
        <v>28</v>
      </c>
      <c r="C45" s="19" t="str">
        <f>IF('Master Room List'!R43="","",'Master Room List'!R43)</f>
        <v/>
      </c>
      <c r="D45" s="20" t="str">
        <f>IF(OccupancyAssumptions[[#This Row],[Space Type]]="","-",VLOOKUP(OccupancyAssumptions[[#This Row],[Space Type]],MasterRoomList_SpaceTypeSummary[[#All],[SpaceType]:[% of Total Area]],3,FALSE))</f>
        <v>-</v>
      </c>
      <c r="E45" s="152"/>
      <c r="F45" s="19" t="str">
        <f>IF(OccupancyAssumptions[[#This Row],[Space Type]]="","",INDEX('Raw Data - Occupancy'!$V$6:$Z$92,MATCH(OccupancyAssumptions[[#This Row],[Primary Function Area]],'Raw Data - Occupancy'!$V$6:$V$92,0),MATCH('Raw Data - Occupancy'!$W$6,'Raw Data - Occupancy'!$V$6:$Z$6,0)))</f>
        <v/>
      </c>
      <c r="G45" s="19" t="str">
        <f>IF(OccupancyAssumptions[[#This Row],[Space Type]]="","",INDEX('Raw Data - Occupancy'!$V$6:$Z$92,MATCH(OccupancyAssumptions[[#This Row],[Primary Function Area]],'Raw Data - Occupancy'!$V$6:$V$92,0),MATCH('Raw Data - Occupancy'!$X$6,'Raw Data - Occupancy'!$V$6:$Z$6,0)))</f>
        <v/>
      </c>
      <c r="H45" s="19" t="str">
        <f>IF(OccupancyAssumptions[[#This Row],[Space Type]]="","",15)</f>
        <v/>
      </c>
      <c r="I45" s="19" t="str">
        <f>IFERROR(INDEX('Raw Data - Occupancy'!$AW$7:$BB$85,MATCH(OccupancyAssumptions[[#This Row],[ASHRAE 2019 Space Type]],'Raw Data - Occupancy'!$AW$7:$AW$85,0),MATCH("#/1000 ft2 (#/100 m2)",'Raw Data - Occupancy'!$AW$7:$BB$7,0)),"")</f>
        <v/>
      </c>
      <c r="J45" s="153" t="str">
        <f>IFERROR(OccupancyAssumptions[[#This Row],[Occupant Density
'[People/1000SF']]]*OccupancyAssumptions[[#This Row],[Area (sqft)]]/1000,"")</f>
        <v/>
      </c>
      <c r="K45" s="20" t="str">
        <f>IF(OccupancyAssumptions[[#This Row],[Occupant Density
'[People/1000SF']]]="","",IF(OccupancyAssumptions[[#This Row],[Occupant Density
'[People/1000SF']]]&gt;=50,"YES","NO"))</f>
        <v/>
      </c>
      <c r="L45" s="152"/>
      <c r="M45" s="95" t="str">
        <f>IFERROR(INDEX('Raw Data - Occupancy'!$AB$7:$AG$85,MATCH(OccupancyAssumptions[[#This Row],[ASHRAE 2007 Space Type]],'Raw Data - Occupancy'!$AB$7:$AB$85,0),MATCH("Rp (CFM/per)",'Raw Data - Occupancy'!$AB$7:$AG$7,0)),"")</f>
        <v/>
      </c>
      <c r="N45" s="95" t="str">
        <f>IFERROR(INDEX('Raw Data - Occupancy'!$AB$7:$AG$85,MATCH(OccupancyAssumptions[[#This Row],[ASHRAE 2007 Space Type]],'Raw Data - Occupancy'!$AB$7:$AB$85,0),MATCH("Ra (cfm/ft2)",'Raw Data - Occupancy'!$AB$7:$AG$7,0)),"")</f>
        <v/>
      </c>
      <c r="O45" s="95" t="str">
        <f>IFERROR(INDEX('Raw Data - Occupancy'!$AB$7:$AG$85,MATCH(OccupancyAssumptions[[#This Row],[ASHRAE 2007 Space Type]],'Raw Data - Occupancy'!$AB$7:$AB$85,0),MATCH("#/1000 ft2 (#/100 m2)",'Raw Data - Occupancy'!$AB$7:$AG$7,0)),"")</f>
        <v/>
      </c>
      <c r="P45" s="153" t="str">
        <f>IFERROR(OccupancyAssumptions[[#This Row],[ASHRAE 2007 Occupant Density
'[People/1000SF']]]*OccupancyAssumptions[[#This Row],[Area (sqft)]]/1000,"")</f>
        <v/>
      </c>
      <c r="Q45" s="20" t="str">
        <f>IF(OccupancyAssumptions[[#This Row],[ASHRAE 2007 Occupant Density
'[People/1000SF']]]="","",IF(OccupancyAssumptions[[#This Row],[ASHRAE 2007 Occupant Density
'[People/1000SF']]]&gt;=50,"YES","NO"))</f>
        <v/>
      </c>
      <c r="R45" s="152"/>
      <c r="S45" s="95" t="str">
        <f>IFERROR(INDEX('Raw Data - Occupancy'!$AI$7:$AN$85,MATCH(OccupancyAssumptions[[#This Row],[ASHRAE 2010 Space Type]],'Raw Data - Occupancy'!$AI$7:$AI$85,0),MATCH("Rp (CFM/per)",'Raw Data - Occupancy'!$AI$7:$AN$7,0)),"")</f>
        <v/>
      </c>
      <c r="T45" s="95" t="str">
        <f>IFERROR(INDEX('Raw Data - Occupancy'!$AI$7:$AN$85,MATCH(OccupancyAssumptions[[#This Row],[ASHRAE 2010 Space Type]],'Raw Data - Occupancy'!$AI$7:$AI$85,0),MATCH("Ra (cfm/ft2)",'Raw Data - Occupancy'!$AI$7:$AN$7,0)),"")</f>
        <v/>
      </c>
      <c r="U45" s="95" t="str">
        <f>IFERROR(INDEX('Raw Data - Occupancy'!$AI$7:$AN$85,MATCH(OccupancyAssumptions[[#This Row],[ASHRAE 2010 Space Type]],'Raw Data - Occupancy'!$AI$7:$AI$85,0),MATCH("#/1000 ft2 (#/100 m2)",'Raw Data - Occupancy'!$AI$7:$AN$7,0)),"")</f>
        <v/>
      </c>
      <c r="V45" s="153" t="str">
        <f>IFERROR(OccupancyAssumptions[[#This Row],[ASHRAE 2010 Occupant Density
'[People/1000SF']]]*OccupancyAssumptions[[#This Row],[Area (sqft)]]/1000,"")</f>
        <v/>
      </c>
      <c r="W45" s="20" t="str">
        <f>IF(OccupancyAssumptions[[#This Row],[ASHRAE 2010 Occupant Density
'[People/1000SF']]]="","",IF(OccupancyAssumptions[[#This Row],[ASHRAE 2010 Occupant Density
'[People/1000SF']]]&gt;=50,"YES","NO"))</f>
        <v/>
      </c>
      <c r="X45" s="152"/>
      <c r="Y45" s="95" t="str">
        <f>IFERROR(INDEX('Raw Data - Occupancy'!$AP$7:$AU$85,MATCH(OccupancyAssumptions[[#This Row],[ASHRAE 2013 Space Type]],'Raw Data - Occupancy'!$AP$7:$AP$85,0),MATCH("Rp (CFM/per)",'Raw Data - Occupancy'!$AP$7:$AU$7,0)),"")</f>
        <v/>
      </c>
      <c r="Z45" s="95" t="str">
        <f>IFERROR(INDEX('Raw Data - Occupancy'!$AP$7:$AU$85,MATCH(OccupancyAssumptions[[#This Row],[ASHRAE 2013 Space Type]],'Raw Data - Occupancy'!$AP$7:$AP$85,0),MATCH("Ra (cfm/ft2)",'Raw Data - Occupancy'!$AP$7:$AU$7,0)),"")</f>
        <v/>
      </c>
      <c r="AA45" s="95" t="str">
        <f>IFERROR(INDEX('Raw Data - Occupancy'!$AP$7:$AU$85,MATCH(OccupancyAssumptions[[#This Row],[ASHRAE 2013 Space Type]],'Raw Data - Occupancy'!$AP$7:$AP$85,0),MATCH("#/1000 ft2 (#/100 m2)",'Raw Data - Occupancy'!$AP$7:$AU$7,0)),"")</f>
        <v/>
      </c>
      <c r="AB45" s="153" t="str">
        <f>IFERROR(OccupancyAssumptions[[#This Row],[ASHRAE 2013 Occupant Density
'[People/1000SF']]]*OccupancyAssumptions[[#This Row],[Area (sqft)]]/1000,"")</f>
        <v/>
      </c>
      <c r="AC45" s="20" t="str">
        <f>IF(OccupancyAssumptions[[#This Row],[ASHRAE 2013 Occupant Density
'[People/1000SF']]]="","",IF(OccupancyAssumptions[[#This Row],[ASHRAE 2013 Occupant Density
'[People/1000SF']]]&gt;=50,"YES","NO"))</f>
        <v/>
      </c>
      <c r="AD45" s="152"/>
      <c r="AE45" s="95" t="str">
        <f>IFERROR(INDEX('Raw Data - Occupancy'!$AW$7:$BB$85,MATCH(OccupancyAssumptions[[#This Row],[ASHRAE 2016 Space Type]],'Raw Data - Occupancy'!$AW$7:$AW$85,0),MATCH("Rp (CFM/per)",'Raw Data - Occupancy'!$AW$7:$BB$7,0)),"")</f>
        <v/>
      </c>
      <c r="AF45" s="95" t="str">
        <f>IFERROR(INDEX('Raw Data - Occupancy'!$AW$7:$BB$85,MATCH(OccupancyAssumptions[[#This Row],[ASHRAE 2016 Space Type]],'Raw Data - Occupancy'!$AW$7:$AW$85,0),MATCH("Ra (cfm/ft2)",'Raw Data - Occupancy'!$AW$7:$BB$7,0)),"")</f>
        <v/>
      </c>
      <c r="AG45" s="95" t="str">
        <f>IFERROR(INDEX('Raw Data - Occupancy'!$AW$7:$BB$85,MATCH(OccupancyAssumptions[[#This Row],[ASHRAE 2016 Space Type]],'Raw Data - Occupancy'!$AW$7:$AW$85,0),MATCH("#/1000 ft2 (#/100 m2)",'Raw Data - Occupancy'!$AW$7:$BB$7,0)),"")</f>
        <v/>
      </c>
      <c r="AH45" s="153" t="str">
        <f>IFERROR(OccupancyAssumptions[[#This Row],[ASHRAE 2016 Occupant Density
'[People/1000SF']]]*OccupancyAssumptions[[#This Row],[Area (sqft)]]/1000,"")</f>
        <v/>
      </c>
      <c r="AI45" s="20" t="str">
        <f>IF(OccupancyAssumptions[[#This Row],[ASHRAE 2016 Occupant Density
'[People/1000SF']]]="","",IF(OccupancyAssumptions[[#This Row],[ASHRAE 2016 Occupant Density
'[People/1000SF']]]&gt;=50,"YES","NO"))</f>
        <v/>
      </c>
      <c r="AJ45" s="152"/>
      <c r="AK45" s="95" t="str">
        <f>IFERROR(INDEX('Raw Data - Occupancy'!$BD$7:$BI$85,MATCH(OccupancyAssumptions[[#This Row],[ASHRAE 2019 Space Type]],'Raw Data - Occupancy'!$BD$7:$BD$85,0),MATCH("Rp (CFM/per)",'Raw Data - Occupancy'!$BD$7:$BI$7,0)),"")</f>
        <v/>
      </c>
      <c r="AL45" s="95" t="str">
        <f>IFERROR(INDEX('Raw Data - Occupancy'!$BD$7:$BI$85,MATCH(OccupancyAssumptions[[#This Row],[ASHRAE 2019 Space Type]],'Raw Data - Occupancy'!$BD$7:$BD$85,0),MATCH("Ra (cfm/ft2)",'Raw Data - Occupancy'!$BD$7:$BI$7,0)),"")</f>
        <v/>
      </c>
      <c r="AM45" s="95" t="str">
        <f>IFERROR(INDEX('Raw Data - Occupancy'!$BD$7:$BI$85,MATCH(OccupancyAssumptions[[#This Row],[ASHRAE 2019 Space Type]],'Raw Data - Occupancy'!$BD$7:$BD$85,0),MATCH("#/1000 ft2 (#/100 m2)",'Raw Data - Occupancy'!$BD$7:$BI$7,0)),"")</f>
        <v/>
      </c>
      <c r="AN45" s="155" t="str">
        <f>IFERROR(OccupancyAssumptions[[#This Row],[ASHRAE 2019 Occupant Density
'[People/1000SF']]]*OccupancyAssumptions[[#This Row],[Area (sqft)]]/1000,"")</f>
        <v/>
      </c>
      <c r="AO45" s="156" t="str">
        <f>IF(OccupancyAssumptions[[#This Row],[ASHRAE 2019 Occupant Density
'[People/1000SF']]]="","",IF(OccupancyAssumptions[[#This Row],[ASHRAE 2019 Occupant Density
'[People/1000SF']]]&gt;=50,"YES","NO"))</f>
        <v/>
      </c>
      <c r="AP45" s="152" t="s">
        <v>214</v>
      </c>
      <c r="AQ45" s="154"/>
      <c r="AR45" s="154"/>
      <c r="AS45" s="471"/>
      <c r="AT45" s="471" t="str">
        <f>IFERROR(1000/OccupancyAssumptions[[#This Row],[Design Occupant Density '[SF/Person']]],"-")</f>
        <v>-</v>
      </c>
      <c r="AU45" s="156" t="str">
        <f>IF(OccupancyAssumptions[[#This Row],[Design Occupant Density
'[People/1000SF']]]="-","",IF(OccupancyAssumptions[[#This Row],[Design Occupant Density
'[People/1000SF']]]&gt;=50,"YES","NO"))</f>
        <v/>
      </c>
      <c r="AV45" s="26"/>
    </row>
    <row r="46" spans="2:48" x14ac:dyDescent="0.25">
      <c r="B46" s="18">
        <v>29</v>
      </c>
      <c r="C46" s="19" t="str">
        <f>IF('Master Room List'!R44="","",'Master Room List'!R44)</f>
        <v/>
      </c>
      <c r="D46" s="20" t="str">
        <f>IF(OccupancyAssumptions[[#This Row],[Space Type]]="","-",VLOOKUP(OccupancyAssumptions[[#This Row],[Space Type]],MasterRoomList_SpaceTypeSummary[[#All],[SpaceType]:[% of Total Area]],3,FALSE))</f>
        <v>-</v>
      </c>
      <c r="E46" s="152"/>
      <c r="F46" s="19" t="str">
        <f>IF(OccupancyAssumptions[[#This Row],[Space Type]]="","",INDEX('Raw Data - Occupancy'!$V$6:$Z$92,MATCH(OccupancyAssumptions[[#This Row],[Primary Function Area]],'Raw Data - Occupancy'!$V$6:$V$92,0),MATCH('Raw Data - Occupancy'!$W$6,'Raw Data - Occupancy'!$V$6:$Z$6,0)))</f>
        <v/>
      </c>
      <c r="G46" s="19" t="str">
        <f>IF(OccupancyAssumptions[[#This Row],[Space Type]]="","",INDEX('Raw Data - Occupancy'!$V$6:$Z$92,MATCH(OccupancyAssumptions[[#This Row],[Primary Function Area]],'Raw Data - Occupancy'!$V$6:$V$92,0),MATCH('Raw Data - Occupancy'!$X$6,'Raw Data - Occupancy'!$V$6:$Z$6,0)))</f>
        <v/>
      </c>
      <c r="H46" s="19" t="str">
        <f>IF(OccupancyAssumptions[[#This Row],[Space Type]]="","",15)</f>
        <v/>
      </c>
      <c r="I46" s="19" t="str">
        <f>IFERROR(INDEX('Raw Data - Occupancy'!$AW$7:$BB$85,MATCH(OccupancyAssumptions[[#This Row],[ASHRAE 2019 Space Type]],'Raw Data - Occupancy'!$AW$7:$AW$85,0),MATCH("#/1000 ft2 (#/100 m2)",'Raw Data - Occupancy'!$AW$7:$BB$7,0)),"")</f>
        <v/>
      </c>
      <c r="J46" s="153" t="str">
        <f>IFERROR(OccupancyAssumptions[[#This Row],[Occupant Density
'[People/1000SF']]]*OccupancyAssumptions[[#This Row],[Area (sqft)]]/1000,"")</f>
        <v/>
      </c>
      <c r="K46" s="20" t="str">
        <f>IF(OccupancyAssumptions[[#This Row],[Occupant Density
'[People/1000SF']]]="","",IF(OccupancyAssumptions[[#This Row],[Occupant Density
'[People/1000SF']]]&gt;=50,"YES","NO"))</f>
        <v/>
      </c>
      <c r="L46" s="152"/>
      <c r="M46" s="95" t="str">
        <f>IFERROR(INDEX('Raw Data - Occupancy'!$AB$7:$AG$85,MATCH(OccupancyAssumptions[[#This Row],[ASHRAE 2007 Space Type]],'Raw Data - Occupancy'!$AB$7:$AB$85,0),MATCH("Rp (CFM/per)",'Raw Data - Occupancy'!$AB$7:$AG$7,0)),"")</f>
        <v/>
      </c>
      <c r="N46" s="95" t="str">
        <f>IFERROR(INDEX('Raw Data - Occupancy'!$AB$7:$AG$85,MATCH(OccupancyAssumptions[[#This Row],[ASHRAE 2007 Space Type]],'Raw Data - Occupancy'!$AB$7:$AB$85,0),MATCH("Ra (cfm/ft2)",'Raw Data - Occupancy'!$AB$7:$AG$7,0)),"")</f>
        <v/>
      </c>
      <c r="O46" s="95" t="str">
        <f>IFERROR(INDEX('Raw Data - Occupancy'!$AB$7:$AG$85,MATCH(OccupancyAssumptions[[#This Row],[ASHRAE 2007 Space Type]],'Raw Data - Occupancy'!$AB$7:$AB$85,0),MATCH("#/1000 ft2 (#/100 m2)",'Raw Data - Occupancy'!$AB$7:$AG$7,0)),"")</f>
        <v/>
      </c>
      <c r="P46" s="153" t="str">
        <f>IFERROR(OccupancyAssumptions[[#This Row],[ASHRAE 2007 Occupant Density
'[People/1000SF']]]*OccupancyAssumptions[[#This Row],[Area (sqft)]]/1000,"")</f>
        <v/>
      </c>
      <c r="Q46" s="20" t="str">
        <f>IF(OccupancyAssumptions[[#This Row],[ASHRAE 2007 Occupant Density
'[People/1000SF']]]="","",IF(OccupancyAssumptions[[#This Row],[ASHRAE 2007 Occupant Density
'[People/1000SF']]]&gt;=50,"YES","NO"))</f>
        <v/>
      </c>
      <c r="R46" s="152"/>
      <c r="S46" s="95" t="str">
        <f>IFERROR(INDEX('Raw Data - Occupancy'!$AI$7:$AN$85,MATCH(OccupancyAssumptions[[#This Row],[ASHRAE 2010 Space Type]],'Raw Data - Occupancy'!$AI$7:$AI$85,0),MATCH("Rp (CFM/per)",'Raw Data - Occupancy'!$AI$7:$AN$7,0)),"")</f>
        <v/>
      </c>
      <c r="T46" s="95" t="str">
        <f>IFERROR(INDEX('Raw Data - Occupancy'!$AI$7:$AN$85,MATCH(OccupancyAssumptions[[#This Row],[ASHRAE 2010 Space Type]],'Raw Data - Occupancy'!$AI$7:$AI$85,0),MATCH("Ra (cfm/ft2)",'Raw Data - Occupancy'!$AI$7:$AN$7,0)),"")</f>
        <v/>
      </c>
      <c r="U46" s="95" t="str">
        <f>IFERROR(INDEX('Raw Data - Occupancy'!$AI$7:$AN$85,MATCH(OccupancyAssumptions[[#This Row],[ASHRAE 2010 Space Type]],'Raw Data - Occupancy'!$AI$7:$AI$85,0),MATCH("#/1000 ft2 (#/100 m2)",'Raw Data - Occupancy'!$AI$7:$AN$7,0)),"")</f>
        <v/>
      </c>
      <c r="V46" s="153" t="str">
        <f>IFERROR(OccupancyAssumptions[[#This Row],[ASHRAE 2010 Occupant Density
'[People/1000SF']]]*OccupancyAssumptions[[#This Row],[Area (sqft)]]/1000,"")</f>
        <v/>
      </c>
      <c r="W46" s="20" t="str">
        <f>IF(OccupancyAssumptions[[#This Row],[ASHRAE 2010 Occupant Density
'[People/1000SF']]]="","",IF(OccupancyAssumptions[[#This Row],[ASHRAE 2010 Occupant Density
'[People/1000SF']]]&gt;=50,"YES","NO"))</f>
        <v/>
      </c>
      <c r="X46" s="152"/>
      <c r="Y46" s="95" t="str">
        <f>IFERROR(INDEX('Raw Data - Occupancy'!$AP$7:$AU$85,MATCH(OccupancyAssumptions[[#This Row],[ASHRAE 2013 Space Type]],'Raw Data - Occupancy'!$AP$7:$AP$85,0),MATCH("Rp (CFM/per)",'Raw Data - Occupancy'!$AP$7:$AU$7,0)),"")</f>
        <v/>
      </c>
      <c r="Z46" s="95" t="str">
        <f>IFERROR(INDEX('Raw Data - Occupancy'!$AP$7:$AU$85,MATCH(OccupancyAssumptions[[#This Row],[ASHRAE 2013 Space Type]],'Raw Data - Occupancy'!$AP$7:$AP$85,0),MATCH("Ra (cfm/ft2)",'Raw Data - Occupancy'!$AP$7:$AU$7,0)),"")</f>
        <v/>
      </c>
      <c r="AA46" s="95" t="str">
        <f>IFERROR(INDEX('Raw Data - Occupancy'!$AP$7:$AU$85,MATCH(OccupancyAssumptions[[#This Row],[ASHRAE 2013 Space Type]],'Raw Data - Occupancy'!$AP$7:$AP$85,0),MATCH("#/1000 ft2 (#/100 m2)",'Raw Data - Occupancy'!$AP$7:$AU$7,0)),"")</f>
        <v/>
      </c>
      <c r="AB46" s="153" t="str">
        <f>IFERROR(OccupancyAssumptions[[#This Row],[ASHRAE 2013 Occupant Density
'[People/1000SF']]]*OccupancyAssumptions[[#This Row],[Area (sqft)]]/1000,"")</f>
        <v/>
      </c>
      <c r="AC46" s="20" t="str">
        <f>IF(OccupancyAssumptions[[#This Row],[ASHRAE 2013 Occupant Density
'[People/1000SF']]]="","",IF(OccupancyAssumptions[[#This Row],[ASHRAE 2013 Occupant Density
'[People/1000SF']]]&gt;=50,"YES","NO"))</f>
        <v/>
      </c>
      <c r="AD46" s="152"/>
      <c r="AE46" s="95" t="str">
        <f>IFERROR(INDEX('Raw Data - Occupancy'!$AW$7:$BB$85,MATCH(OccupancyAssumptions[[#This Row],[ASHRAE 2016 Space Type]],'Raw Data - Occupancy'!$AW$7:$AW$85,0),MATCH("Rp (CFM/per)",'Raw Data - Occupancy'!$AW$7:$BB$7,0)),"")</f>
        <v/>
      </c>
      <c r="AF46" s="95" t="str">
        <f>IFERROR(INDEX('Raw Data - Occupancy'!$AW$7:$BB$85,MATCH(OccupancyAssumptions[[#This Row],[ASHRAE 2016 Space Type]],'Raw Data - Occupancy'!$AW$7:$AW$85,0),MATCH("Ra (cfm/ft2)",'Raw Data - Occupancy'!$AW$7:$BB$7,0)),"")</f>
        <v/>
      </c>
      <c r="AG46" s="95" t="str">
        <f>IFERROR(INDEX('Raw Data - Occupancy'!$AW$7:$BB$85,MATCH(OccupancyAssumptions[[#This Row],[ASHRAE 2016 Space Type]],'Raw Data - Occupancy'!$AW$7:$AW$85,0),MATCH("#/1000 ft2 (#/100 m2)",'Raw Data - Occupancy'!$AW$7:$BB$7,0)),"")</f>
        <v/>
      </c>
      <c r="AH46" s="153" t="str">
        <f>IFERROR(OccupancyAssumptions[[#This Row],[ASHRAE 2016 Occupant Density
'[People/1000SF']]]*OccupancyAssumptions[[#This Row],[Area (sqft)]]/1000,"")</f>
        <v/>
      </c>
      <c r="AI46" s="20" t="str">
        <f>IF(OccupancyAssumptions[[#This Row],[ASHRAE 2016 Occupant Density
'[People/1000SF']]]="","",IF(OccupancyAssumptions[[#This Row],[ASHRAE 2016 Occupant Density
'[People/1000SF']]]&gt;=50,"YES","NO"))</f>
        <v/>
      </c>
      <c r="AJ46" s="152"/>
      <c r="AK46" s="95" t="str">
        <f>IFERROR(INDEX('Raw Data - Occupancy'!$BD$7:$BI$85,MATCH(OccupancyAssumptions[[#This Row],[ASHRAE 2019 Space Type]],'Raw Data - Occupancy'!$BD$7:$BD$85,0),MATCH("Rp (CFM/per)",'Raw Data - Occupancy'!$BD$7:$BI$7,0)),"")</f>
        <v/>
      </c>
      <c r="AL46" s="95" t="str">
        <f>IFERROR(INDEX('Raw Data - Occupancy'!$BD$7:$BI$85,MATCH(OccupancyAssumptions[[#This Row],[ASHRAE 2019 Space Type]],'Raw Data - Occupancy'!$BD$7:$BD$85,0),MATCH("Ra (cfm/ft2)",'Raw Data - Occupancy'!$BD$7:$BI$7,0)),"")</f>
        <v/>
      </c>
      <c r="AM46" s="95" t="str">
        <f>IFERROR(INDEX('Raw Data - Occupancy'!$BD$7:$BI$85,MATCH(OccupancyAssumptions[[#This Row],[ASHRAE 2019 Space Type]],'Raw Data - Occupancy'!$BD$7:$BD$85,0),MATCH("#/1000 ft2 (#/100 m2)",'Raw Data - Occupancy'!$BD$7:$BI$7,0)),"")</f>
        <v/>
      </c>
      <c r="AN46" s="155" t="str">
        <f>IFERROR(OccupancyAssumptions[[#This Row],[ASHRAE 2019 Occupant Density
'[People/1000SF']]]*OccupancyAssumptions[[#This Row],[Area (sqft)]]/1000,"")</f>
        <v/>
      </c>
      <c r="AO46" s="156" t="str">
        <f>IF(OccupancyAssumptions[[#This Row],[ASHRAE 2019 Occupant Density
'[People/1000SF']]]="","",IF(OccupancyAssumptions[[#This Row],[ASHRAE 2019 Occupant Density
'[People/1000SF']]]&gt;=50,"YES","NO"))</f>
        <v/>
      </c>
      <c r="AP46" s="152" t="s">
        <v>214</v>
      </c>
      <c r="AQ46" s="154"/>
      <c r="AR46" s="154"/>
      <c r="AS46" s="471"/>
      <c r="AT46" s="471" t="str">
        <f>IFERROR(1000/OccupancyAssumptions[[#This Row],[Design Occupant Density '[SF/Person']]],"-")</f>
        <v>-</v>
      </c>
      <c r="AU46" s="156" t="str">
        <f>IF(OccupancyAssumptions[[#This Row],[Design Occupant Density
'[People/1000SF']]]="-","",IF(OccupancyAssumptions[[#This Row],[Design Occupant Density
'[People/1000SF']]]&gt;=50,"YES","NO"))</f>
        <v/>
      </c>
      <c r="AV46" s="26"/>
    </row>
    <row r="47" spans="2:48" x14ac:dyDescent="0.25">
      <c r="B47" s="18">
        <v>30</v>
      </c>
      <c r="C47" s="19" t="str">
        <f>IF('Master Room List'!R45="","",'Master Room List'!R45)</f>
        <v/>
      </c>
      <c r="D47" s="20" t="str">
        <f>IF(OccupancyAssumptions[[#This Row],[Space Type]]="","-",VLOOKUP(OccupancyAssumptions[[#This Row],[Space Type]],MasterRoomList_SpaceTypeSummary[[#All],[SpaceType]:[% of Total Area]],3,FALSE))</f>
        <v>-</v>
      </c>
      <c r="E47" s="152"/>
      <c r="F47" s="19" t="str">
        <f>IF(OccupancyAssumptions[[#This Row],[Space Type]]="","",INDEX('Raw Data - Occupancy'!$V$6:$Z$92,MATCH(OccupancyAssumptions[[#This Row],[Primary Function Area]],'Raw Data - Occupancy'!$V$6:$V$92,0),MATCH('Raw Data - Occupancy'!$W$6,'Raw Data - Occupancy'!$V$6:$Z$6,0)))</f>
        <v/>
      </c>
      <c r="G47" s="19" t="str">
        <f>IF(OccupancyAssumptions[[#This Row],[Space Type]]="","",INDEX('Raw Data - Occupancy'!$V$6:$Z$92,MATCH(OccupancyAssumptions[[#This Row],[Primary Function Area]],'Raw Data - Occupancy'!$V$6:$V$92,0),MATCH('Raw Data - Occupancy'!$X$6,'Raw Data - Occupancy'!$V$6:$Z$6,0)))</f>
        <v/>
      </c>
      <c r="H47" s="19" t="str">
        <f>IF(OccupancyAssumptions[[#This Row],[Space Type]]="","",15)</f>
        <v/>
      </c>
      <c r="I47" s="19" t="str">
        <f>IFERROR(INDEX('Raw Data - Occupancy'!$AW$7:$BB$85,MATCH(OccupancyAssumptions[[#This Row],[ASHRAE 2019 Space Type]],'Raw Data - Occupancy'!$AW$7:$AW$85,0),MATCH("#/1000 ft2 (#/100 m2)",'Raw Data - Occupancy'!$AW$7:$BB$7,0)),"")</f>
        <v/>
      </c>
      <c r="J47" s="153" t="str">
        <f>IFERROR(OccupancyAssumptions[[#This Row],[Occupant Density
'[People/1000SF']]]*OccupancyAssumptions[[#This Row],[Area (sqft)]]/1000,"")</f>
        <v/>
      </c>
      <c r="K47" s="20" t="str">
        <f>IF(OccupancyAssumptions[[#This Row],[Occupant Density
'[People/1000SF']]]="","",IF(OccupancyAssumptions[[#This Row],[Occupant Density
'[People/1000SF']]]&gt;=50,"YES","NO"))</f>
        <v/>
      </c>
      <c r="L47" s="152"/>
      <c r="M47" s="95" t="str">
        <f>IFERROR(INDEX('Raw Data - Occupancy'!$AB$7:$AG$85,MATCH(OccupancyAssumptions[[#This Row],[ASHRAE 2007 Space Type]],'Raw Data - Occupancy'!$AB$7:$AB$85,0),MATCH("Rp (CFM/per)",'Raw Data - Occupancy'!$AB$7:$AG$7,0)),"")</f>
        <v/>
      </c>
      <c r="N47" s="95" t="str">
        <f>IFERROR(INDEX('Raw Data - Occupancy'!$AB$7:$AG$85,MATCH(OccupancyAssumptions[[#This Row],[ASHRAE 2007 Space Type]],'Raw Data - Occupancy'!$AB$7:$AB$85,0),MATCH("Ra (cfm/ft2)",'Raw Data - Occupancy'!$AB$7:$AG$7,0)),"")</f>
        <v/>
      </c>
      <c r="O47" s="95" t="str">
        <f>IFERROR(INDEX('Raw Data - Occupancy'!$AB$7:$AG$85,MATCH(OccupancyAssumptions[[#This Row],[ASHRAE 2007 Space Type]],'Raw Data - Occupancy'!$AB$7:$AB$85,0),MATCH("#/1000 ft2 (#/100 m2)",'Raw Data - Occupancy'!$AB$7:$AG$7,0)),"")</f>
        <v/>
      </c>
      <c r="P47" s="153" t="str">
        <f>IFERROR(OccupancyAssumptions[[#This Row],[ASHRAE 2007 Occupant Density
'[People/1000SF']]]*OccupancyAssumptions[[#This Row],[Area (sqft)]]/1000,"")</f>
        <v/>
      </c>
      <c r="Q47" s="20" t="str">
        <f>IF(OccupancyAssumptions[[#This Row],[ASHRAE 2007 Occupant Density
'[People/1000SF']]]="","",IF(OccupancyAssumptions[[#This Row],[ASHRAE 2007 Occupant Density
'[People/1000SF']]]&gt;=50,"YES","NO"))</f>
        <v/>
      </c>
      <c r="R47" s="152"/>
      <c r="S47" s="95" t="str">
        <f>IFERROR(INDEX('Raw Data - Occupancy'!$AI$7:$AN$85,MATCH(OccupancyAssumptions[[#This Row],[ASHRAE 2010 Space Type]],'Raw Data - Occupancy'!$AI$7:$AI$85,0),MATCH("Rp (CFM/per)",'Raw Data - Occupancy'!$AI$7:$AN$7,0)),"")</f>
        <v/>
      </c>
      <c r="T47" s="95" t="str">
        <f>IFERROR(INDEX('Raw Data - Occupancy'!$AI$7:$AN$85,MATCH(OccupancyAssumptions[[#This Row],[ASHRAE 2010 Space Type]],'Raw Data - Occupancy'!$AI$7:$AI$85,0),MATCH("Ra (cfm/ft2)",'Raw Data - Occupancy'!$AI$7:$AN$7,0)),"")</f>
        <v/>
      </c>
      <c r="U47" s="95" t="str">
        <f>IFERROR(INDEX('Raw Data - Occupancy'!$AI$7:$AN$85,MATCH(OccupancyAssumptions[[#This Row],[ASHRAE 2010 Space Type]],'Raw Data - Occupancy'!$AI$7:$AI$85,0),MATCH("#/1000 ft2 (#/100 m2)",'Raw Data - Occupancy'!$AI$7:$AN$7,0)),"")</f>
        <v/>
      </c>
      <c r="V47" s="153" t="str">
        <f>IFERROR(OccupancyAssumptions[[#This Row],[ASHRAE 2010 Occupant Density
'[People/1000SF']]]*OccupancyAssumptions[[#This Row],[Area (sqft)]]/1000,"")</f>
        <v/>
      </c>
      <c r="W47" s="20" t="str">
        <f>IF(OccupancyAssumptions[[#This Row],[ASHRAE 2010 Occupant Density
'[People/1000SF']]]="","",IF(OccupancyAssumptions[[#This Row],[ASHRAE 2010 Occupant Density
'[People/1000SF']]]&gt;=50,"YES","NO"))</f>
        <v/>
      </c>
      <c r="X47" s="152"/>
      <c r="Y47" s="95" t="str">
        <f>IFERROR(INDEX('Raw Data - Occupancy'!$AP$7:$AU$85,MATCH(OccupancyAssumptions[[#This Row],[ASHRAE 2013 Space Type]],'Raw Data - Occupancy'!$AP$7:$AP$85,0),MATCH("Rp (CFM/per)",'Raw Data - Occupancy'!$AP$7:$AU$7,0)),"")</f>
        <v/>
      </c>
      <c r="Z47" s="95" t="str">
        <f>IFERROR(INDEX('Raw Data - Occupancy'!$AP$7:$AU$85,MATCH(OccupancyAssumptions[[#This Row],[ASHRAE 2013 Space Type]],'Raw Data - Occupancy'!$AP$7:$AP$85,0),MATCH("Ra (cfm/ft2)",'Raw Data - Occupancy'!$AP$7:$AU$7,0)),"")</f>
        <v/>
      </c>
      <c r="AA47" s="95" t="str">
        <f>IFERROR(INDEX('Raw Data - Occupancy'!$AP$7:$AU$85,MATCH(OccupancyAssumptions[[#This Row],[ASHRAE 2013 Space Type]],'Raw Data - Occupancy'!$AP$7:$AP$85,0),MATCH("#/1000 ft2 (#/100 m2)",'Raw Data - Occupancy'!$AP$7:$AU$7,0)),"")</f>
        <v/>
      </c>
      <c r="AB47" s="153" t="str">
        <f>IFERROR(OccupancyAssumptions[[#This Row],[ASHRAE 2013 Occupant Density
'[People/1000SF']]]*OccupancyAssumptions[[#This Row],[Area (sqft)]]/1000,"")</f>
        <v/>
      </c>
      <c r="AC47" s="20" t="str">
        <f>IF(OccupancyAssumptions[[#This Row],[ASHRAE 2013 Occupant Density
'[People/1000SF']]]="","",IF(OccupancyAssumptions[[#This Row],[ASHRAE 2013 Occupant Density
'[People/1000SF']]]&gt;=50,"YES","NO"))</f>
        <v/>
      </c>
      <c r="AD47" s="152"/>
      <c r="AE47" s="95" t="str">
        <f>IFERROR(INDEX('Raw Data - Occupancy'!$AW$7:$BB$85,MATCH(OccupancyAssumptions[[#This Row],[ASHRAE 2016 Space Type]],'Raw Data - Occupancy'!$AW$7:$AW$85,0),MATCH("Rp (CFM/per)",'Raw Data - Occupancy'!$AW$7:$BB$7,0)),"")</f>
        <v/>
      </c>
      <c r="AF47" s="95" t="str">
        <f>IFERROR(INDEX('Raw Data - Occupancy'!$AW$7:$BB$85,MATCH(OccupancyAssumptions[[#This Row],[ASHRAE 2016 Space Type]],'Raw Data - Occupancy'!$AW$7:$AW$85,0),MATCH("Ra (cfm/ft2)",'Raw Data - Occupancy'!$AW$7:$BB$7,0)),"")</f>
        <v/>
      </c>
      <c r="AG47" s="95" t="str">
        <f>IFERROR(INDEX('Raw Data - Occupancy'!$AW$7:$BB$85,MATCH(OccupancyAssumptions[[#This Row],[ASHRAE 2016 Space Type]],'Raw Data - Occupancy'!$AW$7:$AW$85,0),MATCH("#/1000 ft2 (#/100 m2)",'Raw Data - Occupancy'!$AW$7:$BB$7,0)),"")</f>
        <v/>
      </c>
      <c r="AH47" s="153" t="str">
        <f>IFERROR(OccupancyAssumptions[[#This Row],[ASHRAE 2016 Occupant Density
'[People/1000SF']]]*OccupancyAssumptions[[#This Row],[Area (sqft)]]/1000,"")</f>
        <v/>
      </c>
      <c r="AI47" s="20" t="str">
        <f>IF(OccupancyAssumptions[[#This Row],[ASHRAE 2016 Occupant Density
'[People/1000SF']]]="","",IF(OccupancyAssumptions[[#This Row],[ASHRAE 2016 Occupant Density
'[People/1000SF']]]&gt;=50,"YES","NO"))</f>
        <v/>
      </c>
      <c r="AJ47" s="152"/>
      <c r="AK47" s="95" t="str">
        <f>IFERROR(INDEX('Raw Data - Occupancy'!$BD$7:$BI$85,MATCH(OccupancyAssumptions[[#This Row],[ASHRAE 2019 Space Type]],'Raw Data - Occupancy'!$BD$7:$BD$85,0),MATCH("Rp (CFM/per)",'Raw Data - Occupancy'!$BD$7:$BI$7,0)),"")</f>
        <v/>
      </c>
      <c r="AL47" s="95" t="str">
        <f>IFERROR(INDEX('Raw Data - Occupancy'!$BD$7:$BI$85,MATCH(OccupancyAssumptions[[#This Row],[ASHRAE 2019 Space Type]],'Raw Data - Occupancy'!$BD$7:$BD$85,0),MATCH("Ra (cfm/ft2)",'Raw Data - Occupancy'!$BD$7:$BI$7,0)),"")</f>
        <v/>
      </c>
      <c r="AM47" s="95" t="str">
        <f>IFERROR(INDEX('Raw Data - Occupancy'!$BD$7:$BI$85,MATCH(OccupancyAssumptions[[#This Row],[ASHRAE 2019 Space Type]],'Raw Data - Occupancy'!$BD$7:$BD$85,0),MATCH("#/1000 ft2 (#/100 m2)",'Raw Data - Occupancy'!$BD$7:$BI$7,0)),"")</f>
        <v/>
      </c>
      <c r="AN47" s="155" t="str">
        <f>IFERROR(OccupancyAssumptions[[#This Row],[ASHRAE 2019 Occupant Density
'[People/1000SF']]]*OccupancyAssumptions[[#This Row],[Area (sqft)]]/1000,"")</f>
        <v/>
      </c>
      <c r="AO47" s="156" t="str">
        <f>IF(OccupancyAssumptions[[#This Row],[ASHRAE 2019 Occupant Density
'[People/1000SF']]]="","",IF(OccupancyAssumptions[[#This Row],[ASHRAE 2019 Occupant Density
'[People/1000SF']]]&gt;=50,"YES","NO"))</f>
        <v/>
      </c>
      <c r="AP47" s="152" t="s">
        <v>214</v>
      </c>
      <c r="AQ47" s="154"/>
      <c r="AR47" s="154"/>
      <c r="AS47" s="471"/>
      <c r="AT47" s="471" t="str">
        <f>IFERROR(1000/OccupancyAssumptions[[#This Row],[Design Occupant Density '[SF/Person']]],"-")</f>
        <v>-</v>
      </c>
      <c r="AU47" s="156" t="str">
        <f>IF(OccupancyAssumptions[[#This Row],[Design Occupant Density
'[People/1000SF']]]="-","",IF(OccupancyAssumptions[[#This Row],[Design Occupant Density
'[People/1000SF']]]&gt;=50,"YES","NO"))</f>
        <v/>
      </c>
      <c r="AV47" s="26"/>
    </row>
    <row r="48" spans="2:48" x14ac:dyDescent="0.25">
      <c r="B48" s="18">
        <v>31</v>
      </c>
      <c r="C48" s="19" t="str">
        <f>IF('Master Room List'!R46="","",'Master Room List'!R46)</f>
        <v/>
      </c>
      <c r="D48" s="20" t="str">
        <f>IF(OccupancyAssumptions[[#This Row],[Space Type]]="","-",VLOOKUP(OccupancyAssumptions[[#This Row],[Space Type]],MasterRoomList_SpaceTypeSummary[[#All],[SpaceType]:[% of Total Area]],3,FALSE))</f>
        <v>-</v>
      </c>
      <c r="E48" s="152"/>
      <c r="F48" s="19" t="str">
        <f>IF(OccupancyAssumptions[[#This Row],[Space Type]]="","",INDEX('Raw Data - Occupancy'!$V$6:$Z$92,MATCH(OccupancyAssumptions[[#This Row],[Primary Function Area]],'Raw Data - Occupancy'!$V$6:$V$92,0),MATCH('Raw Data - Occupancy'!$W$6,'Raw Data - Occupancy'!$V$6:$Z$6,0)))</f>
        <v/>
      </c>
      <c r="G48" s="19" t="str">
        <f>IF(OccupancyAssumptions[[#This Row],[Space Type]]="","",INDEX('Raw Data - Occupancy'!$V$6:$Z$92,MATCH(OccupancyAssumptions[[#This Row],[Primary Function Area]],'Raw Data - Occupancy'!$V$6:$V$92,0),MATCH('Raw Data - Occupancy'!$X$6,'Raw Data - Occupancy'!$V$6:$Z$6,0)))</f>
        <v/>
      </c>
      <c r="H48" s="19" t="str">
        <f>IF(OccupancyAssumptions[[#This Row],[Space Type]]="","",15)</f>
        <v/>
      </c>
      <c r="I48" s="19" t="str">
        <f>IFERROR(INDEX('Raw Data - Occupancy'!$AW$7:$BB$85,MATCH(OccupancyAssumptions[[#This Row],[ASHRAE 2019 Space Type]],'Raw Data - Occupancy'!$AW$7:$AW$85,0),MATCH("#/1000 ft2 (#/100 m2)",'Raw Data - Occupancy'!$AW$7:$BB$7,0)),"")</f>
        <v/>
      </c>
      <c r="J48" s="153" t="str">
        <f>IFERROR(OccupancyAssumptions[[#This Row],[Occupant Density
'[People/1000SF']]]*OccupancyAssumptions[[#This Row],[Area (sqft)]]/1000,"")</f>
        <v/>
      </c>
      <c r="K48" s="20" t="str">
        <f>IF(OccupancyAssumptions[[#This Row],[Occupant Density
'[People/1000SF']]]="","",IF(OccupancyAssumptions[[#This Row],[Occupant Density
'[People/1000SF']]]&gt;=50,"YES","NO"))</f>
        <v/>
      </c>
      <c r="L48" s="152"/>
      <c r="M48" s="95" t="str">
        <f>IFERROR(INDEX('Raw Data - Occupancy'!$AB$7:$AG$85,MATCH(OccupancyAssumptions[[#This Row],[ASHRAE 2007 Space Type]],'Raw Data - Occupancy'!$AB$7:$AB$85,0),MATCH("Rp (CFM/per)",'Raw Data - Occupancy'!$AB$7:$AG$7,0)),"")</f>
        <v/>
      </c>
      <c r="N48" s="95" t="str">
        <f>IFERROR(INDEX('Raw Data - Occupancy'!$AB$7:$AG$85,MATCH(OccupancyAssumptions[[#This Row],[ASHRAE 2007 Space Type]],'Raw Data - Occupancy'!$AB$7:$AB$85,0),MATCH("Ra (cfm/ft2)",'Raw Data - Occupancy'!$AB$7:$AG$7,0)),"")</f>
        <v/>
      </c>
      <c r="O48" s="95" t="str">
        <f>IFERROR(INDEX('Raw Data - Occupancy'!$AB$7:$AG$85,MATCH(OccupancyAssumptions[[#This Row],[ASHRAE 2007 Space Type]],'Raw Data - Occupancy'!$AB$7:$AB$85,0),MATCH("#/1000 ft2 (#/100 m2)",'Raw Data - Occupancy'!$AB$7:$AG$7,0)),"")</f>
        <v/>
      </c>
      <c r="P48" s="153" t="str">
        <f>IFERROR(OccupancyAssumptions[[#This Row],[ASHRAE 2007 Occupant Density
'[People/1000SF']]]*OccupancyAssumptions[[#This Row],[Area (sqft)]]/1000,"")</f>
        <v/>
      </c>
      <c r="Q48" s="20" t="str">
        <f>IF(OccupancyAssumptions[[#This Row],[ASHRAE 2007 Occupant Density
'[People/1000SF']]]="","",IF(OccupancyAssumptions[[#This Row],[ASHRAE 2007 Occupant Density
'[People/1000SF']]]&gt;=50,"YES","NO"))</f>
        <v/>
      </c>
      <c r="R48" s="152"/>
      <c r="S48" s="95" t="str">
        <f>IFERROR(INDEX('Raw Data - Occupancy'!$AI$7:$AN$85,MATCH(OccupancyAssumptions[[#This Row],[ASHRAE 2010 Space Type]],'Raw Data - Occupancy'!$AI$7:$AI$85,0),MATCH("Rp (CFM/per)",'Raw Data - Occupancy'!$AI$7:$AN$7,0)),"")</f>
        <v/>
      </c>
      <c r="T48" s="95" t="str">
        <f>IFERROR(INDEX('Raw Data - Occupancy'!$AI$7:$AN$85,MATCH(OccupancyAssumptions[[#This Row],[ASHRAE 2010 Space Type]],'Raw Data - Occupancy'!$AI$7:$AI$85,0),MATCH("Ra (cfm/ft2)",'Raw Data - Occupancy'!$AI$7:$AN$7,0)),"")</f>
        <v/>
      </c>
      <c r="U48" s="95" t="str">
        <f>IFERROR(INDEX('Raw Data - Occupancy'!$AI$7:$AN$85,MATCH(OccupancyAssumptions[[#This Row],[ASHRAE 2010 Space Type]],'Raw Data - Occupancy'!$AI$7:$AI$85,0),MATCH("#/1000 ft2 (#/100 m2)",'Raw Data - Occupancy'!$AI$7:$AN$7,0)),"")</f>
        <v/>
      </c>
      <c r="V48" s="153" t="str">
        <f>IFERROR(OccupancyAssumptions[[#This Row],[ASHRAE 2010 Occupant Density
'[People/1000SF']]]*OccupancyAssumptions[[#This Row],[Area (sqft)]]/1000,"")</f>
        <v/>
      </c>
      <c r="W48" s="20" t="str">
        <f>IF(OccupancyAssumptions[[#This Row],[ASHRAE 2010 Occupant Density
'[People/1000SF']]]="","",IF(OccupancyAssumptions[[#This Row],[ASHRAE 2010 Occupant Density
'[People/1000SF']]]&gt;=50,"YES","NO"))</f>
        <v/>
      </c>
      <c r="X48" s="152"/>
      <c r="Y48" s="95" t="str">
        <f>IFERROR(INDEX('Raw Data - Occupancy'!$AP$7:$AU$85,MATCH(OccupancyAssumptions[[#This Row],[ASHRAE 2013 Space Type]],'Raw Data - Occupancy'!$AP$7:$AP$85,0),MATCH("Rp (CFM/per)",'Raw Data - Occupancy'!$AP$7:$AU$7,0)),"")</f>
        <v/>
      </c>
      <c r="Z48" s="95" t="str">
        <f>IFERROR(INDEX('Raw Data - Occupancy'!$AP$7:$AU$85,MATCH(OccupancyAssumptions[[#This Row],[ASHRAE 2013 Space Type]],'Raw Data - Occupancy'!$AP$7:$AP$85,0),MATCH("Ra (cfm/ft2)",'Raw Data - Occupancy'!$AP$7:$AU$7,0)),"")</f>
        <v/>
      </c>
      <c r="AA48" s="95" t="str">
        <f>IFERROR(INDEX('Raw Data - Occupancy'!$AP$7:$AU$85,MATCH(OccupancyAssumptions[[#This Row],[ASHRAE 2013 Space Type]],'Raw Data - Occupancy'!$AP$7:$AP$85,0),MATCH("#/1000 ft2 (#/100 m2)",'Raw Data - Occupancy'!$AP$7:$AU$7,0)),"")</f>
        <v/>
      </c>
      <c r="AB48" s="153" t="str">
        <f>IFERROR(OccupancyAssumptions[[#This Row],[ASHRAE 2013 Occupant Density
'[People/1000SF']]]*OccupancyAssumptions[[#This Row],[Area (sqft)]]/1000,"")</f>
        <v/>
      </c>
      <c r="AC48" s="20" t="str">
        <f>IF(OccupancyAssumptions[[#This Row],[ASHRAE 2013 Occupant Density
'[People/1000SF']]]="","",IF(OccupancyAssumptions[[#This Row],[ASHRAE 2013 Occupant Density
'[People/1000SF']]]&gt;=50,"YES","NO"))</f>
        <v/>
      </c>
      <c r="AD48" s="152"/>
      <c r="AE48" s="95" t="str">
        <f>IFERROR(INDEX('Raw Data - Occupancy'!$AW$7:$BB$85,MATCH(OccupancyAssumptions[[#This Row],[ASHRAE 2016 Space Type]],'Raw Data - Occupancy'!$AW$7:$AW$85,0),MATCH("Rp (CFM/per)",'Raw Data - Occupancy'!$AW$7:$BB$7,0)),"")</f>
        <v/>
      </c>
      <c r="AF48" s="95" t="str">
        <f>IFERROR(INDEX('Raw Data - Occupancy'!$AW$7:$BB$85,MATCH(OccupancyAssumptions[[#This Row],[ASHRAE 2016 Space Type]],'Raw Data - Occupancy'!$AW$7:$AW$85,0),MATCH("Ra (cfm/ft2)",'Raw Data - Occupancy'!$AW$7:$BB$7,0)),"")</f>
        <v/>
      </c>
      <c r="AG48" s="95" t="str">
        <f>IFERROR(INDEX('Raw Data - Occupancy'!$AW$7:$BB$85,MATCH(OccupancyAssumptions[[#This Row],[ASHRAE 2016 Space Type]],'Raw Data - Occupancy'!$AW$7:$AW$85,0),MATCH("#/1000 ft2 (#/100 m2)",'Raw Data - Occupancy'!$AW$7:$BB$7,0)),"")</f>
        <v/>
      </c>
      <c r="AH48" s="153" t="str">
        <f>IFERROR(OccupancyAssumptions[[#This Row],[ASHRAE 2016 Occupant Density
'[People/1000SF']]]*OccupancyAssumptions[[#This Row],[Area (sqft)]]/1000,"")</f>
        <v/>
      </c>
      <c r="AI48" s="20" t="str">
        <f>IF(OccupancyAssumptions[[#This Row],[ASHRAE 2016 Occupant Density
'[People/1000SF']]]="","",IF(OccupancyAssumptions[[#This Row],[ASHRAE 2016 Occupant Density
'[People/1000SF']]]&gt;=50,"YES","NO"))</f>
        <v/>
      </c>
      <c r="AJ48" s="152"/>
      <c r="AK48" s="95" t="str">
        <f>IFERROR(INDEX('Raw Data - Occupancy'!$BD$7:$BI$85,MATCH(OccupancyAssumptions[[#This Row],[ASHRAE 2019 Space Type]],'Raw Data - Occupancy'!$BD$7:$BD$85,0),MATCH("Rp (CFM/per)",'Raw Data - Occupancy'!$BD$7:$BI$7,0)),"")</f>
        <v/>
      </c>
      <c r="AL48" s="95" t="str">
        <f>IFERROR(INDEX('Raw Data - Occupancy'!$BD$7:$BI$85,MATCH(OccupancyAssumptions[[#This Row],[ASHRAE 2019 Space Type]],'Raw Data - Occupancy'!$BD$7:$BD$85,0),MATCH("Ra (cfm/ft2)",'Raw Data - Occupancy'!$BD$7:$BI$7,0)),"")</f>
        <v/>
      </c>
      <c r="AM48" s="95" t="str">
        <f>IFERROR(INDEX('Raw Data - Occupancy'!$BD$7:$BI$85,MATCH(OccupancyAssumptions[[#This Row],[ASHRAE 2019 Space Type]],'Raw Data - Occupancy'!$BD$7:$BD$85,0),MATCH("#/1000 ft2 (#/100 m2)",'Raw Data - Occupancy'!$BD$7:$BI$7,0)),"")</f>
        <v/>
      </c>
      <c r="AN48" s="155" t="str">
        <f>IFERROR(OccupancyAssumptions[[#This Row],[ASHRAE 2019 Occupant Density
'[People/1000SF']]]*OccupancyAssumptions[[#This Row],[Area (sqft)]]/1000,"")</f>
        <v/>
      </c>
      <c r="AO48" s="156" t="str">
        <f>IF(OccupancyAssumptions[[#This Row],[ASHRAE 2019 Occupant Density
'[People/1000SF']]]="","",IF(OccupancyAssumptions[[#This Row],[ASHRAE 2019 Occupant Density
'[People/1000SF']]]&gt;=50,"YES","NO"))</f>
        <v/>
      </c>
      <c r="AP48" s="152" t="s">
        <v>214</v>
      </c>
      <c r="AQ48" s="154"/>
      <c r="AR48" s="154"/>
      <c r="AS48" s="471"/>
      <c r="AT48" s="471" t="str">
        <f>IFERROR(1000/OccupancyAssumptions[[#This Row],[Design Occupant Density '[SF/Person']]],"-")</f>
        <v>-</v>
      </c>
      <c r="AU48" s="156" t="str">
        <f>IF(OccupancyAssumptions[[#This Row],[Design Occupant Density
'[People/1000SF']]]="-","",IF(OccupancyAssumptions[[#This Row],[Design Occupant Density
'[People/1000SF']]]&gt;=50,"YES","NO"))</f>
        <v/>
      </c>
      <c r="AV48" s="26"/>
    </row>
    <row r="49" spans="2:48" x14ac:dyDescent="0.25">
      <c r="B49" s="18">
        <v>32</v>
      </c>
      <c r="C49" s="19" t="str">
        <f>IF('Master Room List'!R47="","",'Master Room List'!R47)</f>
        <v/>
      </c>
      <c r="D49" s="20" t="str">
        <f>IF(OccupancyAssumptions[[#This Row],[Space Type]]="","-",VLOOKUP(OccupancyAssumptions[[#This Row],[Space Type]],MasterRoomList_SpaceTypeSummary[[#All],[SpaceType]:[% of Total Area]],3,FALSE))</f>
        <v>-</v>
      </c>
      <c r="E49" s="152"/>
      <c r="F49" s="19" t="str">
        <f>IF(OccupancyAssumptions[[#This Row],[Space Type]]="","",INDEX('Raw Data - Occupancy'!$V$6:$Z$92,MATCH(OccupancyAssumptions[[#This Row],[Primary Function Area]],'Raw Data - Occupancy'!$V$6:$V$92,0),MATCH('Raw Data - Occupancy'!$W$6,'Raw Data - Occupancy'!$V$6:$Z$6,0)))</f>
        <v/>
      </c>
      <c r="G49" s="19" t="str">
        <f>IF(OccupancyAssumptions[[#This Row],[Space Type]]="","",INDEX('Raw Data - Occupancy'!$V$6:$Z$92,MATCH(OccupancyAssumptions[[#This Row],[Primary Function Area]],'Raw Data - Occupancy'!$V$6:$V$92,0),MATCH('Raw Data - Occupancy'!$X$6,'Raw Data - Occupancy'!$V$6:$Z$6,0)))</f>
        <v/>
      </c>
      <c r="H49" s="19" t="str">
        <f>IF(OccupancyAssumptions[[#This Row],[Space Type]]="","",15)</f>
        <v/>
      </c>
      <c r="I49" s="19" t="str">
        <f>IFERROR(INDEX('Raw Data - Occupancy'!$AW$7:$BB$85,MATCH(OccupancyAssumptions[[#This Row],[ASHRAE 2019 Space Type]],'Raw Data - Occupancy'!$AW$7:$AW$85,0),MATCH("#/1000 ft2 (#/100 m2)",'Raw Data - Occupancy'!$AW$7:$BB$7,0)),"")</f>
        <v/>
      </c>
      <c r="J49" s="153" t="str">
        <f>IFERROR(OccupancyAssumptions[[#This Row],[Occupant Density
'[People/1000SF']]]*OccupancyAssumptions[[#This Row],[Area (sqft)]]/1000,"")</f>
        <v/>
      </c>
      <c r="K49" s="20" t="str">
        <f>IF(OccupancyAssumptions[[#This Row],[Occupant Density
'[People/1000SF']]]="","",IF(OccupancyAssumptions[[#This Row],[Occupant Density
'[People/1000SF']]]&gt;=50,"YES","NO"))</f>
        <v/>
      </c>
      <c r="L49" s="152"/>
      <c r="M49" s="95" t="str">
        <f>IFERROR(INDEX('Raw Data - Occupancy'!$AB$7:$AG$85,MATCH(OccupancyAssumptions[[#This Row],[ASHRAE 2007 Space Type]],'Raw Data - Occupancy'!$AB$7:$AB$85,0),MATCH("Rp (CFM/per)",'Raw Data - Occupancy'!$AB$7:$AG$7,0)),"")</f>
        <v/>
      </c>
      <c r="N49" s="95" t="str">
        <f>IFERROR(INDEX('Raw Data - Occupancy'!$AB$7:$AG$85,MATCH(OccupancyAssumptions[[#This Row],[ASHRAE 2007 Space Type]],'Raw Data - Occupancy'!$AB$7:$AB$85,0),MATCH("Ra (cfm/ft2)",'Raw Data - Occupancy'!$AB$7:$AG$7,0)),"")</f>
        <v/>
      </c>
      <c r="O49" s="95" t="str">
        <f>IFERROR(INDEX('Raw Data - Occupancy'!$AB$7:$AG$85,MATCH(OccupancyAssumptions[[#This Row],[ASHRAE 2007 Space Type]],'Raw Data - Occupancy'!$AB$7:$AB$85,0),MATCH("#/1000 ft2 (#/100 m2)",'Raw Data - Occupancy'!$AB$7:$AG$7,0)),"")</f>
        <v/>
      </c>
      <c r="P49" s="153" t="str">
        <f>IFERROR(OccupancyAssumptions[[#This Row],[ASHRAE 2007 Occupant Density
'[People/1000SF']]]*OccupancyAssumptions[[#This Row],[Area (sqft)]]/1000,"")</f>
        <v/>
      </c>
      <c r="Q49" s="20" t="str">
        <f>IF(OccupancyAssumptions[[#This Row],[ASHRAE 2007 Occupant Density
'[People/1000SF']]]="","",IF(OccupancyAssumptions[[#This Row],[ASHRAE 2007 Occupant Density
'[People/1000SF']]]&gt;=50,"YES","NO"))</f>
        <v/>
      </c>
      <c r="R49" s="152"/>
      <c r="S49" s="95" t="str">
        <f>IFERROR(INDEX('Raw Data - Occupancy'!$AI$7:$AN$85,MATCH(OccupancyAssumptions[[#This Row],[ASHRAE 2010 Space Type]],'Raw Data - Occupancy'!$AI$7:$AI$85,0),MATCH("Rp (CFM/per)",'Raw Data - Occupancy'!$AI$7:$AN$7,0)),"")</f>
        <v/>
      </c>
      <c r="T49" s="95" t="str">
        <f>IFERROR(INDEX('Raw Data - Occupancy'!$AI$7:$AN$85,MATCH(OccupancyAssumptions[[#This Row],[ASHRAE 2010 Space Type]],'Raw Data - Occupancy'!$AI$7:$AI$85,0),MATCH("Ra (cfm/ft2)",'Raw Data - Occupancy'!$AI$7:$AN$7,0)),"")</f>
        <v/>
      </c>
      <c r="U49" s="95" t="str">
        <f>IFERROR(INDEX('Raw Data - Occupancy'!$AI$7:$AN$85,MATCH(OccupancyAssumptions[[#This Row],[ASHRAE 2010 Space Type]],'Raw Data - Occupancy'!$AI$7:$AI$85,0),MATCH("#/1000 ft2 (#/100 m2)",'Raw Data - Occupancy'!$AI$7:$AN$7,0)),"")</f>
        <v/>
      </c>
      <c r="V49" s="153" t="str">
        <f>IFERROR(OccupancyAssumptions[[#This Row],[ASHRAE 2010 Occupant Density
'[People/1000SF']]]*OccupancyAssumptions[[#This Row],[Area (sqft)]]/1000,"")</f>
        <v/>
      </c>
      <c r="W49" s="20" t="str">
        <f>IF(OccupancyAssumptions[[#This Row],[ASHRAE 2010 Occupant Density
'[People/1000SF']]]="","",IF(OccupancyAssumptions[[#This Row],[ASHRAE 2010 Occupant Density
'[People/1000SF']]]&gt;=50,"YES","NO"))</f>
        <v/>
      </c>
      <c r="X49" s="152"/>
      <c r="Y49" s="95" t="str">
        <f>IFERROR(INDEX('Raw Data - Occupancy'!$AP$7:$AU$85,MATCH(OccupancyAssumptions[[#This Row],[ASHRAE 2013 Space Type]],'Raw Data - Occupancy'!$AP$7:$AP$85,0),MATCH("Rp (CFM/per)",'Raw Data - Occupancy'!$AP$7:$AU$7,0)),"")</f>
        <v/>
      </c>
      <c r="Z49" s="95" t="str">
        <f>IFERROR(INDEX('Raw Data - Occupancy'!$AP$7:$AU$85,MATCH(OccupancyAssumptions[[#This Row],[ASHRAE 2013 Space Type]],'Raw Data - Occupancy'!$AP$7:$AP$85,0),MATCH("Ra (cfm/ft2)",'Raw Data - Occupancy'!$AP$7:$AU$7,0)),"")</f>
        <v/>
      </c>
      <c r="AA49" s="95" t="str">
        <f>IFERROR(INDEX('Raw Data - Occupancy'!$AP$7:$AU$85,MATCH(OccupancyAssumptions[[#This Row],[ASHRAE 2013 Space Type]],'Raw Data - Occupancy'!$AP$7:$AP$85,0),MATCH("#/1000 ft2 (#/100 m2)",'Raw Data - Occupancy'!$AP$7:$AU$7,0)),"")</f>
        <v/>
      </c>
      <c r="AB49" s="153" t="str">
        <f>IFERROR(OccupancyAssumptions[[#This Row],[ASHRAE 2013 Occupant Density
'[People/1000SF']]]*OccupancyAssumptions[[#This Row],[Area (sqft)]]/1000,"")</f>
        <v/>
      </c>
      <c r="AC49" s="20" t="str">
        <f>IF(OccupancyAssumptions[[#This Row],[ASHRAE 2013 Occupant Density
'[People/1000SF']]]="","",IF(OccupancyAssumptions[[#This Row],[ASHRAE 2013 Occupant Density
'[People/1000SF']]]&gt;=50,"YES","NO"))</f>
        <v/>
      </c>
      <c r="AD49" s="152"/>
      <c r="AE49" s="95" t="str">
        <f>IFERROR(INDEX('Raw Data - Occupancy'!$AW$7:$BB$85,MATCH(OccupancyAssumptions[[#This Row],[ASHRAE 2016 Space Type]],'Raw Data - Occupancy'!$AW$7:$AW$85,0),MATCH("Rp (CFM/per)",'Raw Data - Occupancy'!$AW$7:$BB$7,0)),"")</f>
        <v/>
      </c>
      <c r="AF49" s="95" t="str">
        <f>IFERROR(INDEX('Raw Data - Occupancy'!$AW$7:$BB$85,MATCH(OccupancyAssumptions[[#This Row],[ASHRAE 2016 Space Type]],'Raw Data - Occupancy'!$AW$7:$AW$85,0),MATCH("Ra (cfm/ft2)",'Raw Data - Occupancy'!$AW$7:$BB$7,0)),"")</f>
        <v/>
      </c>
      <c r="AG49" s="95" t="str">
        <f>IFERROR(INDEX('Raw Data - Occupancy'!$AW$7:$BB$85,MATCH(OccupancyAssumptions[[#This Row],[ASHRAE 2016 Space Type]],'Raw Data - Occupancy'!$AW$7:$AW$85,0),MATCH("#/1000 ft2 (#/100 m2)",'Raw Data - Occupancy'!$AW$7:$BB$7,0)),"")</f>
        <v/>
      </c>
      <c r="AH49" s="153" t="str">
        <f>IFERROR(OccupancyAssumptions[[#This Row],[ASHRAE 2016 Occupant Density
'[People/1000SF']]]*OccupancyAssumptions[[#This Row],[Area (sqft)]]/1000,"")</f>
        <v/>
      </c>
      <c r="AI49" s="20" t="str">
        <f>IF(OccupancyAssumptions[[#This Row],[ASHRAE 2016 Occupant Density
'[People/1000SF']]]="","",IF(OccupancyAssumptions[[#This Row],[ASHRAE 2016 Occupant Density
'[People/1000SF']]]&gt;=50,"YES","NO"))</f>
        <v/>
      </c>
      <c r="AJ49" s="152"/>
      <c r="AK49" s="95" t="str">
        <f>IFERROR(INDEX('Raw Data - Occupancy'!$BD$7:$BI$85,MATCH(OccupancyAssumptions[[#This Row],[ASHRAE 2019 Space Type]],'Raw Data - Occupancy'!$BD$7:$BD$85,0),MATCH("Rp (CFM/per)",'Raw Data - Occupancy'!$BD$7:$BI$7,0)),"")</f>
        <v/>
      </c>
      <c r="AL49" s="95" t="str">
        <f>IFERROR(INDEX('Raw Data - Occupancy'!$BD$7:$BI$85,MATCH(OccupancyAssumptions[[#This Row],[ASHRAE 2019 Space Type]],'Raw Data - Occupancy'!$BD$7:$BD$85,0),MATCH("Ra (cfm/ft2)",'Raw Data - Occupancy'!$BD$7:$BI$7,0)),"")</f>
        <v/>
      </c>
      <c r="AM49" s="95" t="str">
        <f>IFERROR(INDEX('Raw Data - Occupancy'!$BD$7:$BI$85,MATCH(OccupancyAssumptions[[#This Row],[ASHRAE 2019 Space Type]],'Raw Data - Occupancy'!$BD$7:$BD$85,0),MATCH("#/1000 ft2 (#/100 m2)",'Raw Data - Occupancy'!$BD$7:$BI$7,0)),"")</f>
        <v/>
      </c>
      <c r="AN49" s="155" t="str">
        <f>IFERROR(OccupancyAssumptions[[#This Row],[ASHRAE 2019 Occupant Density
'[People/1000SF']]]*OccupancyAssumptions[[#This Row],[Area (sqft)]]/1000,"")</f>
        <v/>
      </c>
      <c r="AO49" s="156" t="str">
        <f>IF(OccupancyAssumptions[[#This Row],[ASHRAE 2019 Occupant Density
'[People/1000SF']]]="","",IF(OccupancyAssumptions[[#This Row],[ASHRAE 2019 Occupant Density
'[People/1000SF']]]&gt;=50,"YES","NO"))</f>
        <v/>
      </c>
      <c r="AP49" s="152" t="s">
        <v>214</v>
      </c>
      <c r="AQ49" s="154"/>
      <c r="AR49" s="154"/>
      <c r="AS49" s="471"/>
      <c r="AT49" s="471" t="str">
        <f>IFERROR(1000/OccupancyAssumptions[[#This Row],[Design Occupant Density '[SF/Person']]],"-")</f>
        <v>-</v>
      </c>
      <c r="AU49" s="156" t="str">
        <f>IF(OccupancyAssumptions[[#This Row],[Design Occupant Density
'[People/1000SF']]]="-","",IF(OccupancyAssumptions[[#This Row],[Design Occupant Density
'[People/1000SF']]]&gt;=50,"YES","NO"))</f>
        <v/>
      </c>
      <c r="AV49" s="26"/>
    </row>
    <row r="50" spans="2:48" x14ac:dyDescent="0.25">
      <c r="B50" s="18">
        <v>33</v>
      </c>
      <c r="C50" s="19" t="str">
        <f>IF('Master Room List'!R48="","",'Master Room List'!R48)</f>
        <v/>
      </c>
      <c r="D50" s="20" t="str">
        <f>IF(OccupancyAssumptions[[#This Row],[Space Type]]="","-",VLOOKUP(OccupancyAssumptions[[#This Row],[Space Type]],MasterRoomList_SpaceTypeSummary[[#All],[SpaceType]:[% of Total Area]],3,FALSE))</f>
        <v>-</v>
      </c>
      <c r="E50" s="152"/>
      <c r="F50" s="19" t="str">
        <f>IF(OccupancyAssumptions[[#This Row],[Space Type]]="","",INDEX('Raw Data - Occupancy'!$V$6:$Z$92,MATCH(OccupancyAssumptions[[#This Row],[Primary Function Area]],'Raw Data - Occupancy'!$V$6:$V$92,0),MATCH('Raw Data - Occupancy'!$W$6,'Raw Data - Occupancy'!$V$6:$Z$6,0)))</f>
        <v/>
      </c>
      <c r="G50" s="19" t="str">
        <f>IF(OccupancyAssumptions[[#This Row],[Space Type]]="","",INDEX('Raw Data - Occupancy'!$V$6:$Z$92,MATCH(OccupancyAssumptions[[#This Row],[Primary Function Area]],'Raw Data - Occupancy'!$V$6:$V$92,0),MATCH('Raw Data - Occupancy'!$X$6,'Raw Data - Occupancy'!$V$6:$Z$6,0)))</f>
        <v/>
      </c>
      <c r="H50" s="19" t="str">
        <f>IF(OccupancyAssumptions[[#This Row],[Space Type]]="","",15)</f>
        <v/>
      </c>
      <c r="I50" s="19" t="str">
        <f>IFERROR(INDEX('Raw Data - Occupancy'!$AW$7:$BB$85,MATCH(OccupancyAssumptions[[#This Row],[ASHRAE 2019 Space Type]],'Raw Data - Occupancy'!$AW$7:$AW$85,0),MATCH("#/1000 ft2 (#/100 m2)",'Raw Data - Occupancy'!$AW$7:$BB$7,0)),"")</f>
        <v/>
      </c>
      <c r="J50" s="153" t="str">
        <f>IFERROR(OccupancyAssumptions[[#This Row],[Occupant Density
'[People/1000SF']]]*OccupancyAssumptions[[#This Row],[Area (sqft)]]/1000,"")</f>
        <v/>
      </c>
      <c r="K50" s="20" t="str">
        <f>IF(OccupancyAssumptions[[#This Row],[Occupant Density
'[People/1000SF']]]="","",IF(OccupancyAssumptions[[#This Row],[Occupant Density
'[People/1000SF']]]&gt;=50,"YES","NO"))</f>
        <v/>
      </c>
      <c r="L50" s="152"/>
      <c r="M50" s="95" t="str">
        <f>IFERROR(INDEX('Raw Data - Occupancy'!$AB$7:$AG$85,MATCH(OccupancyAssumptions[[#This Row],[ASHRAE 2007 Space Type]],'Raw Data - Occupancy'!$AB$7:$AB$85,0),MATCH("Rp (CFM/per)",'Raw Data - Occupancy'!$AB$7:$AG$7,0)),"")</f>
        <v/>
      </c>
      <c r="N50" s="95" t="str">
        <f>IFERROR(INDEX('Raw Data - Occupancy'!$AB$7:$AG$85,MATCH(OccupancyAssumptions[[#This Row],[ASHRAE 2007 Space Type]],'Raw Data - Occupancy'!$AB$7:$AB$85,0),MATCH("Ra (cfm/ft2)",'Raw Data - Occupancy'!$AB$7:$AG$7,0)),"")</f>
        <v/>
      </c>
      <c r="O50" s="95" t="str">
        <f>IFERROR(INDEX('Raw Data - Occupancy'!$AB$7:$AG$85,MATCH(OccupancyAssumptions[[#This Row],[ASHRAE 2007 Space Type]],'Raw Data - Occupancy'!$AB$7:$AB$85,0),MATCH("#/1000 ft2 (#/100 m2)",'Raw Data - Occupancy'!$AB$7:$AG$7,0)),"")</f>
        <v/>
      </c>
      <c r="P50" s="153" t="str">
        <f>IFERROR(OccupancyAssumptions[[#This Row],[ASHRAE 2007 Occupant Density
'[People/1000SF']]]*OccupancyAssumptions[[#This Row],[Area (sqft)]]/1000,"")</f>
        <v/>
      </c>
      <c r="Q50" s="20" t="str">
        <f>IF(OccupancyAssumptions[[#This Row],[ASHRAE 2007 Occupant Density
'[People/1000SF']]]="","",IF(OccupancyAssumptions[[#This Row],[ASHRAE 2007 Occupant Density
'[People/1000SF']]]&gt;=50,"YES","NO"))</f>
        <v/>
      </c>
      <c r="R50" s="152"/>
      <c r="S50" s="95" t="str">
        <f>IFERROR(INDEX('Raw Data - Occupancy'!$AI$7:$AN$85,MATCH(OccupancyAssumptions[[#This Row],[ASHRAE 2010 Space Type]],'Raw Data - Occupancy'!$AI$7:$AI$85,0),MATCH("Rp (CFM/per)",'Raw Data - Occupancy'!$AI$7:$AN$7,0)),"")</f>
        <v/>
      </c>
      <c r="T50" s="95" t="str">
        <f>IFERROR(INDEX('Raw Data - Occupancy'!$AI$7:$AN$85,MATCH(OccupancyAssumptions[[#This Row],[ASHRAE 2010 Space Type]],'Raw Data - Occupancy'!$AI$7:$AI$85,0),MATCH("Ra (cfm/ft2)",'Raw Data - Occupancy'!$AI$7:$AN$7,0)),"")</f>
        <v/>
      </c>
      <c r="U50" s="95" t="str">
        <f>IFERROR(INDEX('Raw Data - Occupancy'!$AI$7:$AN$85,MATCH(OccupancyAssumptions[[#This Row],[ASHRAE 2010 Space Type]],'Raw Data - Occupancy'!$AI$7:$AI$85,0),MATCH("#/1000 ft2 (#/100 m2)",'Raw Data - Occupancy'!$AI$7:$AN$7,0)),"")</f>
        <v/>
      </c>
      <c r="V50" s="153" t="str">
        <f>IFERROR(OccupancyAssumptions[[#This Row],[ASHRAE 2010 Occupant Density
'[People/1000SF']]]*OccupancyAssumptions[[#This Row],[Area (sqft)]]/1000,"")</f>
        <v/>
      </c>
      <c r="W50" s="20" t="str">
        <f>IF(OccupancyAssumptions[[#This Row],[ASHRAE 2010 Occupant Density
'[People/1000SF']]]="","",IF(OccupancyAssumptions[[#This Row],[ASHRAE 2010 Occupant Density
'[People/1000SF']]]&gt;=50,"YES","NO"))</f>
        <v/>
      </c>
      <c r="X50" s="152"/>
      <c r="Y50" s="95" t="str">
        <f>IFERROR(INDEX('Raw Data - Occupancy'!$AP$7:$AU$85,MATCH(OccupancyAssumptions[[#This Row],[ASHRAE 2013 Space Type]],'Raw Data - Occupancy'!$AP$7:$AP$85,0),MATCH("Rp (CFM/per)",'Raw Data - Occupancy'!$AP$7:$AU$7,0)),"")</f>
        <v/>
      </c>
      <c r="Z50" s="95" t="str">
        <f>IFERROR(INDEX('Raw Data - Occupancy'!$AP$7:$AU$85,MATCH(OccupancyAssumptions[[#This Row],[ASHRAE 2013 Space Type]],'Raw Data - Occupancy'!$AP$7:$AP$85,0),MATCH("Ra (cfm/ft2)",'Raw Data - Occupancy'!$AP$7:$AU$7,0)),"")</f>
        <v/>
      </c>
      <c r="AA50" s="95" t="str">
        <f>IFERROR(INDEX('Raw Data - Occupancy'!$AP$7:$AU$85,MATCH(OccupancyAssumptions[[#This Row],[ASHRAE 2013 Space Type]],'Raw Data - Occupancy'!$AP$7:$AP$85,0),MATCH("#/1000 ft2 (#/100 m2)",'Raw Data - Occupancy'!$AP$7:$AU$7,0)),"")</f>
        <v/>
      </c>
      <c r="AB50" s="153" t="str">
        <f>IFERROR(OccupancyAssumptions[[#This Row],[ASHRAE 2013 Occupant Density
'[People/1000SF']]]*OccupancyAssumptions[[#This Row],[Area (sqft)]]/1000,"")</f>
        <v/>
      </c>
      <c r="AC50" s="20" t="str">
        <f>IF(OccupancyAssumptions[[#This Row],[ASHRAE 2013 Occupant Density
'[People/1000SF']]]="","",IF(OccupancyAssumptions[[#This Row],[ASHRAE 2013 Occupant Density
'[People/1000SF']]]&gt;=50,"YES","NO"))</f>
        <v/>
      </c>
      <c r="AD50" s="152"/>
      <c r="AE50" s="95" t="str">
        <f>IFERROR(INDEX('Raw Data - Occupancy'!$AW$7:$BB$85,MATCH(OccupancyAssumptions[[#This Row],[ASHRAE 2016 Space Type]],'Raw Data - Occupancy'!$AW$7:$AW$85,0),MATCH("Rp (CFM/per)",'Raw Data - Occupancy'!$AW$7:$BB$7,0)),"")</f>
        <v/>
      </c>
      <c r="AF50" s="95" t="str">
        <f>IFERROR(INDEX('Raw Data - Occupancy'!$AW$7:$BB$85,MATCH(OccupancyAssumptions[[#This Row],[ASHRAE 2016 Space Type]],'Raw Data - Occupancy'!$AW$7:$AW$85,0),MATCH("Ra (cfm/ft2)",'Raw Data - Occupancy'!$AW$7:$BB$7,0)),"")</f>
        <v/>
      </c>
      <c r="AG50" s="95" t="str">
        <f>IFERROR(INDEX('Raw Data - Occupancy'!$AW$7:$BB$85,MATCH(OccupancyAssumptions[[#This Row],[ASHRAE 2016 Space Type]],'Raw Data - Occupancy'!$AW$7:$AW$85,0),MATCH("#/1000 ft2 (#/100 m2)",'Raw Data - Occupancy'!$AW$7:$BB$7,0)),"")</f>
        <v/>
      </c>
      <c r="AH50" s="153" t="str">
        <f>IFERROR(OccupancyAssumptions[[#This Row],[ASHRAE 2016 Occupant Density
'[People/1000SF']]]*OccupancyAssumptions[[#This Row],[Area (sqft)]]/1000,"")</f>
        <v/>
      </c>
      <c r="AI50" s="20" t="str">
        <f>IF(OccupancyAssumptions[[#This Row],[ASHRAE 2016 Occupant Density
'[People/1000SF']]]="","",IF(OccupancyAssumptions[[#This Row],[ASHRAE 2016 Occupant Density
'[People/1000SF']]]&gt;=50,"YES","NO"))</f>
        <v/>
      </c>
      <c r="AJ50" s="152"/>
      <c r="AK50" s="95" t="str">
        <f>IFERROR(INDEX('Raw Data - Occupancy'!$BD$7:$BI$85,MATCH(OccupancyAssumptions[[#This Row],[ASHRAE 2019 Space Type]],'Raw Data - Occupancy'!$BD$7:$BD$85,0),MATCH("Rp (CFM/per)",'Raw Data - Occupancy'!$BD$7:$BI$7,0)),"")</f>
        <v/>
      </c>
      <c r="AL50" s="95" t="str">
        <f>IFERROR(INDEX('Raw Data - Occupancy'!$BD$7:$BI$85,MATCH(OccupancyAssumptions[[#This Row],[ASHRAE 2019 Space Type]],'Raw Data - Occupancy'!$BD$7:$BD$85,0),MATCH("Ra (cfm/ft2)",'Raw Data - Occupancy'!$BD$7:$BI$7,0)),"")</f>
        <v/>
      </c>
      <c r="AM50" s="95" t="str">
        <f>IFERROR(INDEX('Raw Data - Occupancy'!$BD$7:$BI$85,MATCH(OccupancyAssumptions[[#This Row],[ASHRAE 2019 Space Type]],'Raw Data - Occupancy'!$BD$7:$BD$85,0),MATCH("#/1000 ft2 (#/100 m2)",'Raw Data - Occupancy'!$BD$7:$BI$7,0)),"")</f>
        <v/>
      </c>
      <c r="AN50" s="155" t="str">
        <f>IFERROR(OccupancyAssumptions[[#This Row],[ASHRAE 2019 Occupant Density
'[People/1000SF']]]*OccupancyAssumptions[[#This Row],[Area (sqft)]]/1000,"")</f>
        <v/>
      </c>
      <c r="AO50" s="156" t="str">
        <f>IF(OccupancyAssumptions[[#This Row],[ASHRAE 2019 Occupant Density
'[People/1000SF']]]="","",IF(OccupancyAssumptions[[#This Row],[ASHRAE 2019 Occupant Density
'[People/1000SF']]]&gt;=50,"YES","NO"))</f>
        <v/>
      </c>
      <c r="AP50" s="152" t="s">
        <v>214</v>
      </c>
      <c r="AQ50" s="154"/>
      <c r="AR50" s="154"/>
      <c r="AS50" s="471"/>
      <c r="AT50" s="471" t="str">
        <f>IFERROR(1000/OccupancyAssumptions[[#This Row],[Design Occupant Density '[SF/Person']]],"-")</f>
        <v>-</v>
      </c>
      <c r="AU50" s="156" t="str">
        <f>IF(OccupancyAssumptions[[#This Row],[Design Occupant Density
'[People/1000SF']]]="-","",IF(OccupancyAssumptions[[#This Row],[Design Occupant Density
'[People/1000SF']]]&gt;=50,"YES","NO"))</f>
        <v/>
      </c>
      <c r="AV50" s="26"/>
    </row>
    <row r="51" spans="2:48" x14ac:dyDescent="0.25">
      <c r="B51" s="18">
        <v>34</v>
      </c>
      <c r="C51" s="19" t="str">
        <f>IF('Master Room List'!R49="","",'Master Room List'!R49)</f>
        <v/>
      </c>
      <c r="D51" s="20" t="str">
        <f>IF(OccupancyAssumptions[[#This Row],[Space Type]]="","-",VLOOKUP(OccupancyAssumptions[[#This Row],[Space Type]],MasterRoomList_SpaceTypeSummary[[#All],[SpaceType]:[% of Total Area]],3,FALSE))</f>
        <v>-</v>
      </c>
      <c r="E51" s="152"/>
      <c r="F51" s="19" t="str">
        <f>IF(OccupancyAssumptions[[#This Row],[Space Type]]="","",INDEX('Raw Data - Occupancy'!$V$6:$Z$92,MATCH(OccupancyAssumptions[[#This Row],[Primary Function Area]],'Raw Data - Occupancy'!$V$6:$V$92,0),MATCH('Raw Data - Occupancy'!$W$6,'Raw Data - Occupancy'!$V$6:$Z$6,0)))</f>
        <v/>
      </c>
      <c r="G51" s="19" t="str">
        <f>IF(OccupancyAssumptions[[#This Row],[Space Type]]="","",INDEX('Raw Data - Occupancy'!$V$6:$Z$92,MATCH(OccupancyAssumptions[[#This Row],[Primary Function Area]],'Raw Data - Occupancy'!$V$6:$V$92,0),MATCH('Raw Data - Occupancy'!$X$6,'Raw Data - Occupancy'!$V$6:$Z$6,0)))</f>
        <v/>
      </c>
      <c r="H51" s="19" t="str">
        <f>IF(OccupancyAssumptions[[#This Row],[Space Type]]="","",15)</f>
        <v/>
      </c>
      <c r="I51" s="19" t="str">
        <f>IFERROR(INDEX('Raw Data - Occupancy'!$AW$7:$BB$85,MATCH(OccupancyAssumptions[[#This Row],[ASHRAE 2019 Space Type]],'Raw Data - Occupancy'!$AW$7:$AW$85,0),MATCH("#/1000 ft2 (#/100 m2)",'Raw Data - Occupancy'!$AW$7:$BB$7,0)),"")</f>
        <v/>
      </c>
      <c r="J51" s="153" t="str">
        <f>IFERROR(OccupancyAssumptions[[#This Row],[Occupant Density
'[People/1000SF']]]*OccupancyAssumptions[[#This Row],[Area (sqft)]]/1000,"")</f>
        <v/>
      </c>
      <c r="K51" s="20" t="str">
        <f>IF(OccupancyAssumptions[[#This Row],[Occupant Density
'[People/1000SF']]]="","",IF(OccupancyAssumptions[[#This Row],[Occupant Density
'[People/1000SF']]]&gt;=50,"YES","NO"))</f>
        <v/>
      </c>
      <c r="L51" s="152"/>
      <c r="M51" s="95" t="str">
        <f>IFERROR(INDEX('Raw Data - Occupancy'!$AB$7:$AG$85,MATCH(OccupancyAssumptions[[#This Row],[ASHRAE 2007 Space Type]],'Raw Data - Occupancy'!$AB$7:$AB$85,0),MATCH("Rp (CFM/per)",'Raw Data - Occupancy'!$AB$7:$AG$7,0)),"")</f>
        <v/>
      </c>
      <c r="N51" s="95" t="str">
        <f>IFERROR(INDEX('Raw Data - Occupancy'!$AB$7:$AG$85,MATCH(OccupancyAssumptions[[#This Row],[ASHRAE 2007 Space Type]],'Raw Data - Occupancy'!$AB$7:$AB$85,0),MATCH("Ra (cfm/ft2)",'Raw Data - Occupancy'!$AB$7:$AG$7,0)),"")</f>
        <v/>
      </c>
      <c r="O51" s="95" t="str">
        <f>IFERROR(INDEX('Raw Data - Occupancy'!$AB$7:$AG$85,MATCH(OccupancyAssumptions[[#This Row],[ASHRAE 2007 Space Type]],'Raw Data - Occupancy'!$AB$7:$AB$85,0),MATCH("#/1000 ft2 (#/100 m2)",'Raw Data - Occupancy'!$AB$7:$AG$7,0)),"")</f>
        <v/>
      </c>
      <c r="P51" s="153" t="str">
        <f>IFERROR(OccupancyAssumptions[[#This Row],[ASHRAE 2007 Occupant Density
'[People/1000SF']]]*OccupancyAssumptions[[#This Row],[Area (sqft)]]/1000,"")</f>
        <v/>
      </c>
      <c r="Q51" s="20" t="str">
        <f>IF(OccupancyAssumptions[[#This Row],[ASHRAE 2007 Occupant Density
'[People/1000SF']]]="","",IF(OccupancyAssumptions[[#This Row],[ASHRAE 2007 Occupant Density
'[People/1000SF']]]&gt;=50,"YES","NO"))</f>
        <v/>
      </c>
      <c r="R51" s="152"/>
      <c r="S51" s="95" t="str">
        <f>IFERROR(INDEX('Raw Data - Occupancy'!$AI$7:$AN$85,MATCH(OccupancyAssumptions[[#This Row],[ASHRAE 2010 Space Type]],'Raw Data - Occupancy'!$AI$7:$AI$85,0),MATCH("Rp (CFM/per)",'Raw Data - Occupancy'!$AI$7:$AN$7,0)),"")</f>
        <v/>
      </c>
      <c r="T51" s="95" t="str">
        <f>IFERROR(INDEX('Raw Data - Occupancy'!$AI$7:$AN$85,MATCH(OccupancyAssumptions[[#This Row],[ASHRAE 2010 Space Type]],'Raw Data - Occupancy'!$AI$7:$AI$85,0),MATCH("Ra (cfm/ft2)",'Raw Data - Occupancy'!$AI$7:$AN$7,0)),"")</f>
        <v/>
      </c>
      <c r="U51" s="95" t="str">
        <f>IFERROR(INDEX('Raw Data - Occupancy'!$AI$7:$AN$85,MATCH(OccupancyAssumptions[[#This Row],[ASHRAE 2010 Space Type]],'Raw Data - Occupancy'!$AI$7:$AI$85,0),MATCH("#/1000 ft2 (#/100 m2)",'Raw Data - Occupancy'!$AI$7:$AN$7,0)),"")</f>
        <v/>
      </c>
      <c r="V51" s="153" t="str">
        <f>IFERROR(OccupancyAssumptions[[#This Row],[ASHRAE 2010 Occupant Density
'[People/1000SF']]]*OccupancyAssumptions[[#This Row],[Area (sqft)]]/1000,"")</f>
        <v/>
      </c>
      <c r="W51" s="20" t="str">
        <f>IF(OccupancyAssumptions[[#This Row],[ASHRAE 2010 Occupant Density
'[People/1000SF']]]="","",IF(OccupancyAssumptions[[#This Row],[ASHRAE 2010 Occupant Density
'[People/1000SF']]]&gt;=50,"YES","NO"))</f>
        <v/>
      </c>
      <c r="X51" s="152"/>
      <c r="Y51" s="95" t="str">
        <f>IFERROR(INDEX('Raw Data - Occupancy'!$AP$7:$AU$85,MATCH(OccupancyAssumptions[[#This Row],[ASHRAE 2013 Space Type]],'Raw Data - Occupancy'!$AP$7:$AP$85,0),MATCH("Rp (CFM/per)",'Raw Data - Occupancy'!$AP$7:$AU$7,0)),"")</f>
        <v/>
      </c>
      <c r="Z51" s="95" t="str">
        <f>IFERROR(INDEX('Raw Data - Occupancy'!$AP$7:$AU$85,MATCH(OccupancyAssumptions[[#This Row],[ASHRAE 2013 Space Type]],'Raw Data - Occupancy'!$AP$7:$AP$85,0),MATCH("Ra (cfm/ft2)",'Raw Data - Occupancy'!$AP$7:$AU$7,0)),"")</f>
        <v/>
      </c>
      <c r="AA51" s="95" t="str">
        <f>IFERROR(INDEX('Raw Data - Occupancy'!$AP$7:$AU$85,MATCH(OccupancyAssumptions[[#This Row],[ASHRAE 2013 Space Type]],'Raw Data - Occupancy'!$AP$7:$AP$85,0),MATCH("#/1000 ft2 (#/100 m2)",'Raw Data - Occupancy'!$AP$7:$AU$7,0)),"")</f>
        <v/>
      </c>
      <c r="AB51" s="153" t="str">
        <f>IFERROR(OccupancyAssumptions[[#This Row],[ASHRAE 2013 Occupant Density
'[People/1000SF']]]*OccupancyAssumptions[[#This Row],[Area (sqft)]]/1000,"")</f>
        <v/>
      </c>
      <c r="AC51" s="20" t="str">
        <f>IF(OccupancyAssumptions[[#This Row],[ASHRAE 2013 Occupant Density
'[People/1000SF']]]="","",IF(OccupancyAssumptions[[#This Row],[ASHRAE 2013 Occupant Density
'[People/1000SF']]]&gt;=50,"YES","NO"))</f>
        <v/>
      </c>
      <c r="AD51" s="152"/>
      <c r="AE51" s="95" t="str">
        <f>IFERROR(INDEX('Raw Data - Occupancy'!$AW$7:$BB$85,MATCH(OccupancyAssumptions[[#This Row],[ASHRAE 2016 Space Type]],'Raw Data - Occupancy'!$AW$7:$AW$85,0),MATCH("Rp (CFM/per)",'Raw Data - Occupancy'!$AW$7:$BB$7,0)),"")</f>
        <v/>
      </c>
      <c r="AF51" s="95" t="str">
        <f>IFERROR(INDEX('Raw Data - Occupancy'!$AW$7:$BB$85,MATCH(OccupancyAssumptions[[#This Row],[ASHRAE 2016 Space Type]],'Raw Data - Occupancy'!$AW$7:$AW$85,0),MATCH("Ra (cfm/ft2)",'Raw Data - Occupancy'!$AW$7:$BB$7,0)),"")</f>
        <v/>
      </c>
      <c r="AG51" s="95" t="str">
        <f>IFERROR(INDEX('Raw Data - Occupancy'!$AW$7:$BB$85,MATCH(OccupancyAssumptions[[#This Row],[ASHRAE 2016 Space Type]],'Raw Data - Occupancy'!$AW$7:$AW$85,0),MATCH("#/1000 ft2 (#/100 m2)",'Raw Data - Occupancy'!$AW$7:$BB$7,0)),"")</f>
        <v/>
      </c>
      <c r="AH51" s="153" t="str">
        <f>IFERROR(OccupancyAssumptions[[#This Row],[ASHRAE 2016 Occupant Density
'[People/1000SF']]]*OccupancyAssumptions[[#This Row],[Area (sqft)]]/1000,"")</f>
        <v/>
      </c>
      <c r="AI51" s="20" t="str">
        <f>IF(OccupancyAssumptions[[#This Row],[ASHRAE 2016 Occupant Density
'[People/1000SF']]]="","",IF(OccupancyAssumptions[[#This Row],[ASHRAE 2016 Occupant Density
'[People/1000SF']]]&gt;=50,"YES","NO"))</f>
        <v/>
      </c>
      <c r="AJ51" s="152"/>
      <c r="AK51" s="95" t="str">
        <f>IFERROR(INDEX('Raw Data - Occupancy'!$BD$7:$BI$85,MATCH(OccupancyAssumptions[[#This Row],[ASHRAE 2019 Space Type]],'Raw Data - Occupancy'!$BD$7:$BD$85,0),MATCH("Rp (CFM/per)",'Raw Data - Occupancy'!$BD$7:$BI$7,0)),"")</f>
        <v/>
      </c>
      <c r="AL51" s="95" t="str">
        <f>IFERROR(INDEX('Raw Data - Occupancy'!$BD$7:$BI$85,MATCH(OccupancyAssumptions[[#This Row],[ASHRAE 2019 Space Type]],'Raw Data - Occupancy'!$BD$7:$BD$85,0),MATCH("Ra (cfm/ft2)",'Raw Data - Occupancy'!$BD$7:$BI$7,0)),"")</f>
        <v/>
      </c>
      <c r="AM51" s="95" t="str">
        <f>IFERROR(INDEX('Raw Data - Occupancy'!$BD$7:$BI$85,MATCH(OccupancyAssumptions[[#This Row],[ASHRAE 2019 Space Type]],'Raw Data - Occupancy'!$BD$7:$BD$85,0),MATCH("#/1000 ft2 (#/100 m2)",'Raw Data - Occupancy'!$BD$7:$BI$7,0)),"")</f>
        <v/>
      </c>
      <c r="AN51" s="155" t="str">
        <f>IFERROR(OccupancyAssumptions[[#This Row],[ASHRAE 2019 Occupant Density
'[People/1000SF']]]*OccupancyAssumptions[[#This Row],[Area (sqft)]]/1000,"")</f>
        <v/>
      </c>
      <c r="AO51" s="156" t="str">
        <f>IF(OccupancyAssumptions[[#This Row],[ASHRAE 2019 Occupant Density
'[People/1000SF']]]="","",IF(OccupancyAssumptions[[#This Row],[ASHRAE 2019 Occupant Density
'[People/1000SF']]]&gt;=50,"YES","NO"))</f>
        <v/>
      </c>
      <c r="AP51" s="152" t="s">
        <v>214</v>
      </c>
      <c r="AQ51" s="154"/>
      <c r="AR51" s="154"/>
      <c r="AS51" s="471"/>
      <c r="AT51" s="471" t="str">
        <f>IFERROR(1000/OccupancyAssumptions[[#This Row],[Design Occupant Density '[SF/Person']]],"-")</f>
        <v>-</v>
      </c>
      <c r="AU51" s="156" t="str">
        <f>IF(OccupancyAssumptions[[#This Row],[Design Occupant Density
'[People/1000SF']]]="-","",IF(OccupancyAssumptions[[#This Row],[Design Occupant Density
'[People/1000SF']]]&gt;=50,"YES","NO"))</f>
        <v/>
      </c>
      <c r="AV51" s="26"/>
    </row>
    <row r="52" spans="2:48" x14ac:dyDescent="0.25">
      <c r="B52" s="18">
        <v>35</v>
      </c>
      <c r="C52" s="19" t="str">
        <f>IF('Master Room List'!R50="","",'Master Room List'!R50)</f>
        <v/>
      </c>
      <c r="D52" s="20" t="str">
        <f>IF(OccupancyAssumptions[[#This Row],[Space Type]]="","-",VLOOKUP(OccupancyAssumptions[[#This Row],[Space Type]],MasterRoomList_SpaceTypeSummary[[#All],[SpaceType]:[% of Total Area]],3,FALSE))</f>
        <v>-</v>
      </c>
      <c r="E52" s="152"/>
      <c r="F52" s="19" t="str">
        <f>IF(OccupancyAssumptions[[#This Row],[Space Type]]="","",INDEX('Raw Data - Occupancy'!$V$6:$Z$92,MATCH(OccupancyAssumptions[[#This Row],[Primary Function Area]],'Raw Data - Occupancy'!$V$6:$V$92,0),MATCH('Raw Data - Occupancy'!$W$6,'Raw Data - Occupancy'!$V$6:$Z$6,0)))</f>
        <v/>
      </c>
      <c r="G52" s="19" t="str">
        <f>IF(OccupancyAssumptions[[#This Row],[Space Type]]="","",INDEX('Raw Data - Occupancy'!$V$6:$Z$92,MATCH(OccupancyAssumptions[[#This Row],[Primary Function Area]],'Raw Data - Occupancy'!$V$6:$V$92,0),MATCH('Raw Data - Occupancy'!$X$6,'Raw Data - Occupancy'!$V$6:$Z$6,0)))</f>
        <v/>
      </c>
      <c r="H52" s="19" t="str">
        <f>IF(OccupancyAssumptions[[#This Row],[Space Type]]="","",15)</f>
        <v/>
      </c>
      <c r="I52" s="19" t="str">
        <f>IFERROR(INDEX('Raw Data - Occupancy'!$AW$7:$BB$85,MATCH(OccupancyAssumptions[[#This Row],[ASHRAE 2019 Space Type]],'Raw Data - Occupancy'!$AW$7:$AW$85,0),MATCH("#/1000 ft2 (#/100 m2)",'Raw Data - Occupancy'!$AW$7:$BB$7,0)),"")</f>
        <v/>
      </c>
      <c r="J52" s="153" t="str">
        <f>IFERROR(OccupancyAssumptions[[#This Row],[Occupant Density
'[People/1000SF']]]*OccupancyAssumptions[[#This Row],[Area (sqft)]]/1000,"")</f>
        <v/>
      </c>
      <c r="K52" s="20" t="str">
        <f>IF(OccupancyAssumptions[[#This Row],[Occupant Density
'[People/1000SF']]]="","",IF(OccupancyAssumptions[[#This Row],[Occupant Density
'[People/1000SF']]]&gt;=50,"YES","NO"))</f>
        <v/>
      </c>
      <c r="L52" s="152"/>
      <c r="M52" s="95" t="str">
        <f>IFERROR(INDEX('Raw Data - Occupancy'!$AB$7:$AG$85,MATCH(OccupancyAssumptions[[#This Row],[ASHRAE 2007 Space Type]],'Raw Data - Occupancy'!$AB$7:$AB$85,0),MATCH("Rp (CFM/per)",'Raw Data - Occupancy'!$AB$7:$AG$7,0)),"")</f>
        <v/>
      </c>
      <c r="N52" s="95" t="str">
        <f>IFERROR(INDEX('Raw Data - Occupancy'!$AB$7:$AG$85,MATCH(OccupancyAssumptions[[#This Row],[ASHRAE 2007 Space Type]],'Raw Data - Occupancy'!$AB$7:$AB$85,0),MATCH("Ra (cfm/ft2)",'Raw Data - Occupancy'!$AB$7:$AG$7,0)),"")</f>
        <v/>
      </c>
      <c r="O52" s="95" t="str">
        <f>IFERROR(INDEX('Raw Data - Occupancy'!$AB$7:$AG$85,MATCH(OccupancyAssumptions[[#This Row],[ASHRAE 2007 Space Type]],'Raw Data - Occupancy'!$AB$7:$AB$85,0),MATCH("#/1000 ft2 (#/100 m2)",'Raw Data - Occupancy'!$AB$7:$AG$7,0)),"")</f>
        <v/>
      </c>
      <c r="P52" s="153" t="str">
        <f>IFERROR(OccupancyAssumptions[[#This Row],[ASHRAE 2007 Occupant Density
'[People/1000SF']]]*OccupancyAssumptions[[#This Row],[Area (sqft)]]/1000,"")</f>
        <v/>
      </c>
      <c r="Q52" s="20" t="str">
        <f>IF(OccupancyAssumptions[[#This Row],[ASHRAE 2007 Occupant Density
'[People/1000SF']]]="","",IF(OccupancyAssumptions[[#This Row],[ASHRAE 2007 Occupant Density
'[People/1000SF']]]&gt;=50,"YES","NO"))</f>
        <v/>
      </c>
      <c r="R52" s="152"/>
      <c r="S52" s="95" t="str">
        <f>IFERROR(INDEX('Raw Data - Occupancy'!$AI$7:$AN$85,MATCH(OccupancyAssumptions[[#This Row],[ASHRAE 2010 Space Type]],'Raw Data - Occupancy'!$AI$7:$AI$85,0),MATCH("Rp (CFM/per)",'Raw Data - Occupancy'!$AI$7:$AN$7,0)),"")</f>
        <v/>
      </c>
      <c r="T52" s="95" t="str">
        <f>IFERROR(INDEX('Raw Data - Occupancy'!$AI$7:$AN$85,MATCH(OccupancyAssumptions[[#This Row],[ASHRAE 2010 Space Type]],'Raw Data - Occupancy'!$AI$7:$AI$85,0),MATCH("Ra (cfm/ft2)",'Raw Data - Occupancy'!$AI$7:$AN$7,0)),"")</f>
        <v/>
      </c>
      <c r="U52" s="95" t="str">
        <f>IFERROR(INDEX('Raw Data - Occupancy'!$AI$7:$AN$85,MATCH(OccupancyAssumptions[[#This Row],[ASHRAE 2010 Space Type]],'Raw Data - Occupancy'!$AI$7:$AI$85,0),MATCH("#/1000 ft2 (#/100 m2)",'Raw Data - Occupancy'!$AI$7:$AN$7,0)),"")</f>
        <v/>
      </c>
      <c r="V52" s="153" t="str">
        <f>IFERROR(OccupancyAssumptions[[#This Row],[ASHRAE 2010 Occupant Density
'[People/1000SF']]]*OccupancyAssumptions[[#This Row],[Area (sqft)]]/1000,"")</f>
        <v/>
      </c>
      <c r="W52" s="20" t="str">
        <f>IF(OccupancyAssumptions[[#This Row],[ASHRAE 2010 Occupant Density
'[People/1000SF']]]="","",IF(OccupancyAssumptions[[#This Row],[ASHRAE 2010 Occupant Density
'[People/1000SF']]]&gt;=50,"YES","NO"))</f>
        <v/>
      </c>
      <c r="X52" s="152"/>
      <c r="Y52" s="95" t="str">
        <f>IFERROR(INDEX('Raw Data - Occupancy'!$AP$7:$AU$85,MATCH(OccupancyAssumptions[[#This Row],[ASHRAE 2013 Space Type]],'Raw Data - Occupancy'!$AP$7:$AP$85,0),MATCH("Rp (CFM/per)",'Raw Data - Occupancy'!$AP$7:$AU$7,0)),"")</f>
        <v/>
      </c>
      <c r="Z52" s="95" t="str">
        <f>IFERROR(INDEX('Raw Data - Occupancy'!$AP$7:$AU$85,MATCH(OccupancyAssumptions[[#This Row],[ASHRAE 2013 Space Type]],'Raw Data - Occupancy'!$AP$7:$AP$85,0),MATCH("Ra (cfm/ft2)",'Raw Data - Occupancy'!$AP$7:$AU$7,0)),"")</f>
        <v/>
      </c>
      <c r="AA52" s="95" t="str">
        <f>IFERROR(INDEX('Raw Data - Occupancy'!$AP$7:$AU$85,MATCH(OccupancyAssumptions[[#This Row],[ASHRAE 2013 Space Type]],'Raw Data - Occupancy'!$AP$7:$AP$85,0),MATCH("#/1000 ft2 (#/100 m2)",'Raw Data - Occupancy'!$AP$7:$AU$7,0)),"")</f>
        <v/>
      </c>
      <c r="AB52" s="153" t="str">
        <f>IFERROR(OccupancyAssumptions[[#This Row],[ASHRAE 2013 Occupant Density
'[People/1000SF']]]*OccupancyAssumptions[[#This Row],[Area (sqft)]]/1000,"")</f>
        <v/>
      </c>
      <c r="AC52" s="20" t="str">
        <f>IF(OccupancyAssumptions[[#This Row],[ASHRAE 2013 Occupant Density
'[People/1000SF']]]="","",IF(OccupancyAssumptions[[#This Row],[ASHRAE 2013 Occupant Density
'[People/1000SF']]]&gt;=50,"YES","NO"))</f>
        <v/>
      </c>
      <c r="AD52" s="152"/>
      <c r="AE52" s="95" t="str">
        <f>IFERROR(INDEX('Raw Data - Occupancy'!$AW$7:$BB$85,MATCH(OccupancyAssumptions[[#This Row],[ASHRAE 2016 Space Type]],'Raw Data - Occupancy'!$AW$7:$AW$85,0),MATCH("Rp (CFM/per)",'Raw Data - Occupancy'!$AW$7:$BB$7,0)),"")</f>
        <v/>
      </c>
      <c r="AF52" s="95" t="str">
        <f>IFERROR(INDEX('Raw Data - Occupancy'!$AW$7:$BB$85,MATCH(OccupancyAssumptions[[#This Row],[ASHRAE 2016 Space Type]],'Raw Data - Occupancy'!$AW$7:$AW$85,0),MATCH("Ra (cfm/ft2)",'Raw Data - Occupancy'!$AW$7:$BB$7,0)),"")</f>
        <v/>
      </c>
      <c r="AG52" s="95" t="str">
        <f>IFERROR(INDEX('Raw Data - Occupancy'!$AW$7:$BB$85,MATCH(OccupancyAssumptions[[#This Row],[ASHRAE 2016 Space Type]],'Raw Data - Occupancy'!$AW$7:$AW$85,0),MATCH("#/1000 ft2 (#/100 m2)",'Raw Data - Occupancy'!$AW$7:$BB$7,0)),"")</f>
        <v/>
      </c>
      <c r="AH52" s="153" t="str">
        <f>IFERROR(OccupancyAssumptions[[#This Row],[ASHRAE 2016 Occupant Density
'[People/1000SF']]]*OccupancyAssumptions[[#This Row],[Area (sqft)]]/1000,"")</f>
        <v/>
      </c>
      <c r="AI52" s="20" t="str">
        <f>IF(OccupancyAssumptions[[#This Row],[ASHRAE 2016 Occupant Density
'[People/1000SF']]]="","",IF(OccupancyAssumptions[[#This Row],[ASHRAE 2016 Occupant Density
'[People/1000SF']]]&gt;=50,"YES","NO"))</f>
        <v/>
      </c>
      <c r="AJ52" s="152"/>
      <c r="AK52" s="95" t="str">
        <f>IFERROR(INDEX('Raw Data - Occupancy'!$BD$7:$BI$85,MATCH(OccupancyAssumptions[[#This Row],[ASHRAE 2019 Space Type]],'Raw Data - Occupancy'!$BD$7:$BD$85,0),MATCH("Rp (CFM/per)",'Raw Data - Occupancy'!$BD$7:$BI$7,0)),"")</f>
        <v/>
      </c>
      <c r="AL52" s="95" t="str">
        <f>IFERROR(INDEX('Raw Data - Occupancy'!$BD$7:$BI$85,MATCH(OccupancyAssumptions[[#This Row],[ASHRAE 2019 Space Type]],'Raw Data - Occupancy'!$BD$7:$BD$85,0),MATCH("Ra (cfm/ft2)",'Raw Data - Occupancy'!$BD$7:$BI$7,0)),"")</f>
        <v/>
      </c>
      <c r="AM52" s="95" t="str">
        <f>IFERROR(INDEX('Raw Data - Occupancy'!$BD$7:$BI$85,MATCH(OccupancyAssumptions[[#This Row],[ASHRAE 2019 Space Type]],'Raw Data - Occupancy'!$BD$7:$BD$85,0),MATCH("#/1000 ft2 (#/100 m2)",'Raw Data - Occupancy'!$BD$7:$BI$7,0)),"")</f>
        <v/>
      </c>
      <c r="AN52" s="155" t="str">
        <f>IFERROR(OccupancyAssumptions[[#This Row],[ASHRAE 2019 Occupant Density
'[People/1000SF']]]*OccupancyAssumptions[[#This Row],[Area (sqft)]]/1000,"")</f>
        <v/>
      </c>
      <c r="AO52" s="156" t="str">
        <f>IF(OccupancyAssumptions[[#This Row],[ASHRAE 2019 Occupant Density
'[People/1000SF']]]="","",IF(OccupancyAssumptions[[#This Row],[ASHRAE 2019 Occupant Density
'[People/1000SF']]]&gt;=50,"YES","NO"))</f>
        <v/>
      </c>
      <c r="AP52" s="152" t="s">
        <v>214</v>
      </c>
      <c r="AQ52" s="154"/>
      <c r="AR52" s="154"/>
      <c r="AS52" s="471"/>
      <c r="AT52" s="471" t="str">
        <f>IFERROR(1000/OccupancyAssumptions[[#This Row],[Design Occupant Density '[SF/Person']]],"-")</f>
        <v>-</v>
      </c>
      <c r="AU52" s="156" t="str">
        <f>IF(OccupancyAssumptions[[#This Row],[Design Occupant Density
'[People/1000SF']]]="-","",IF(OccupancyAssumptions[[#This Row],[Design Occupant Density
'[People/1000SF']]]&gt;=50,"YES","NO"))</f>
        <v/>
      </c>
      <c r="AV52" s="26"/>
    </row>
    <row r="53" spans="2:48" x14ac:dyDescent="0.25">
      <c r="B53" s="18">
        <v>36</v>
      </c>
      <c r="C53" s="19" t="str">
        <f>IF('Master Room List'!R51="","",'Master Room List'!R51)</f>
        <v/>
      </c>
      <c r="D53" s="20" t="str">
        <f>IF(OccupancyAssumptions[[#This Row],[Space Type]]="","-",VLOOKUP(OccupancyAssumptions[[#This Row],[Space Type]],MasterRoomList_SpaceTypeSummary[[#All],[SpaceType]:[% of Total Area]],3,FALSE))</f>
        <v>-</v>
      </c>
      <c r="E53" s="152"/>
      <c r="F53" s="19" t="str">
        <f>IF(OccupancyAssumptions[[#This Row],[Space Type]]="","",INDEX('Raw Data - Occupancy'!$V$6:$Z$92,MATCH(OccupancyAssumptions[[#This Row],[Primary Function Area]],'Raw Data - Occupancy'!$V$6:$V$92,0),MATCH('Raw Data - Occupancy'!$W$6,'Raw Data - Occupancy'!$V$6:$Z$6,0)))</f>
        <v/>
      </c>
      <c r="G53" s="19" t="str">
        <f>IF(OccupancyAssumptions[[#This Row],[Space Type]]="","",INDEX('Raw Data - Occupancy'!$V$6:$Z$92,MATCH(OccupancyAssumptions[[#This Row],[Primary Function Area]],'Raw Data - Occupancy'!$V$6:$V$92,0),MATCH('Raw Data - Occupancy'!$X$6,'Raw Data - Occupancy'!$V$6:$Z$6,0)))</f>
        <v/>
      </c>
      <c r="H53" s="19" t="str">
        <f>IF(OccupancyAssumptions[[#This Row],[Space Type]]="","",15)</f>
        <v/>
      </c>
      <c r="I53" s="19" t="str">
        <f>IFERROR(INDEX('Raw Data - Occupancy'!$AW$7:$BB$85,MATCH(OccupancyAssumptions[[#This Row],[ASHRAE 2019 Space Type]],'Raw Data - Occupancy'!$AW$7:$AW$85,0),MATCH("#/1000 ft2 (#/100 m2)",'Raw Data - Occupancy'!$AW$7:$BB$7,0)),"")</f>
        <v/>
      </c>
      <c r="J53" s="153" t="str">
        <f>IFERROR(OccupancyAssumptions[[#This Row],[Occupant Density
'[People/1000SF']]]*OccupancyAssumptions[[#This Row],[Area (sqft)]]/1000,"")</f>
        <v/>
      </c>
      <c r="K53" s="20" t="str">
        <f>IF(OccupancyAssumptions[[#This Row],[Occupant Density
'[People/1000SF']]]="","",IF(OccupancyAssumptions[[#This Row],[Occupant Density
'[People/1000SF']]]&gt;=50,"YES","NO"))</f>
        <v/>
      </c>
      <c r="L53" s="152"/>
      <c r="M53" s="95" t="str">
        <f>IFERROR(INDEX('Raw Data - Occupancy'!$AB$7:$AG$85,MATCH(OccupancyAssumptions[[#This Row],[ASHRAE 2007 Space Type]],'Raw Data - Occupancy'!$AB$7:$AB$85,0),MATCH("Rp (CFM/per)",'Raw Data - Occupancy'!$AB$7:$AG$7,0)),"")</f>
        <v/>
      </c>
      <c r="N53" s="95" t="str">
        <f>IFERROR(INDEX('Raw Data - Occupancy'!$AB$7:$AG$85,MATCH(OccupancyAssumptions[[#This Row],[ASHRAE 2007 Space Type]],'Raw Data - Occupancy'!$AB$7:$AB$85,0),MATCH("Ra (cfm/ft2)",'Raw Data - Occupancy'!$AB$7:$AG$7,0)),"")</f>
        <v/>
      </c>
      <c r="O53" s="95" t="str">
        <f>IFERROR(INDEX('Raw Data - Occupancy'!$AB$7:$AG$85,MATCH(OccupancyAssumptions[[#This Row],[ASHRAE 2007 Space Type]],'Raw Data - Occupancy'!$AB$7:$AB$85,0),MATCH("#/1000 ft2 (#/100 m2)",'Raw Data - Occupancy'!$AB$7:$AG$7,0)),"")</f>
        <v/>
      </c>
      <c r="P53" s="153" t="str">
        <f>IFERROR(OccupancyAssumptions[[#This Row],[ASHRAE 2007 Occupant Density
'[People/1000SF']]]*OccupancyAssumptions[[#This Row],[Area (sqft)]]/1000,"")</f>
        <v/>
      </c>
      <c r="Q53" s="20" t="str">
        <f>IF(OccupancyAssumptions[[#This Row],[ASHRAE 2007 Occupant Density
'[People/1000SF']]]="","",IF(OccupancyAssumptions[[#This Row],[ASHRAE 2007 Occupant Density
'[People/1000SF']]]&gt;=50,"YES","NO"))</f>
        <v/>
      </c>
      <c r="R53" s="152"/>
      <c r="S53" s="95" t="str">
        <f>IFERROR(INDEX('Raw Data - Occupancy'!$AI$7:$AN$85,MATCH(OccupancyAssumptions[[#This Row],[ASHRAE 2010 Space Type]],'Raw Data - Occupancy'!$AI$7:$AI$85,0),MATCH("Rp (CFM/per)",'Raw Data - Occupancy'!$AI$7:$AN$7,0)),"")</f>
        <v/>
      </c>
      <c r="T53" s="95" t="str">
        <f>IFERROR(INDEX('Raw Data - Occupancy'!$AI$7:$AN$85,MATCH(OccupancyAssumptions[[#This Row],[ASHRAE 2010 Space Type]],'Raw Data - Occupancy'!$AI$7:$AI$85,0),MATCH("Ra (cfm/ft2)",'Raw Data - Occupancy'!$AI$7:$AN$7,0)),"")</f>
        <v/>
      </c>
      <c r="U53" s="95" t="str">
        <f>IFERROR(INDEX('Raw Data - Occupancy'!$AI$7:$AN$85,MATCH(OccupancyAssumptions[[#This Row],[ASHRAE 2010 Space Type]],'Raw Data - Occupancy'!$AI$7:$AI$85,0),MATCH("#/1000 ft2 (#/100 m2)",'Raw Data - Occupancy'!$AI$7:$AN$7,0)),"")</f>
        <v/>
      </c>
      <c r="V53" s="153" t="str">
        <f>IFERROR(OccupancyAssumptions[[#This Row],[ASHRAE 2010 Occupant Density
'[People/1000SF']]]*OccupancyAssumptions[[#This Row],[Area (sqft)]]/1000,"")</f>
        <v/>
      </c>
      <c r="W53" s="20" t="str">
        <f>IF(OccupancyAssumptions[[#This Row],[ASHRAE 2010 Occupant Density
'[People/1000SF']]]="","",IF(OccupancyAssumptions[[#This Row],[ASHRAE 2010 Occupant Density
'[People/1000SF']]]&gt;=50,"YES","NO"))</f>
        <v/>
      </c>
      <c r="X53" s="152"/>
      <c r="Y53" s="95" t="str">
        <f>IFERROR(INDEX('Raw Data - Occupancy'!$AP$7:$AU$85,MATCH(OccupancyAssumptions[[#This Row],[ASHRAE 2013 Space Type]],'Raw Data - Occupancy'!$AP$7:$AP$85,0),MATCH("Rp (CFM/per)",'Raw Data - Occupancy'!$AP$7:$AU$7,0)),"")</f>
        <v/>
      </c>
      <c r="Z53" s="95" t="str">
        <f>IFERROR(INDEX('Raw Data - Occupancy'!$AP$7:$AU$85,MATCH(OccupancyAssumptions[[#This Row],[ASHRAE 2013 Space Type]],'Raw Data - Occupancy'!$AP$7:$AP$85,0),MATCH("Ra (cfm/ft2)",'Raw Data - Occupancy'!$AP$7:$AU$7,0)),"")</f>
        <v/>
      </c>
      <c r="AA53" s="95" t="str">
        <f>IFERROR(INDEX('Raw Data - Occupancy'!$AP$7:$AU$85,MATCH(OccupancyAssumptions[[#This Row],[ASHRAE 2013 Space Type]],'Raw Data - Occupancy'!$AP$7:$AP$85,0),MATCH("#/1000 ft2 (#/100 m2)",'Raw Data - Occupancy'!$AP$7:$AU$7,0)),"")</f>
        <v/>
      </c>
      <c r="AB53" s="153" t="str">
        <f>IFERROR(OccupancyAssumptions[[#This Row],[ASHRAE 2013 Occupant Density
'[People/1000SF']]]*OccupancyAssumptions[[#This Row],[Area (sqft)]]/1000,"")</f>
        <v/>
      </c>
      <c r="AC53" s="20" t="str">
        <f>IF(OccupancyAssumptions[[#This Row],[ASHRAE 2013 Occupant Density
'[People/1000SF']]]="","",IF(OccupancyAssumptions[[#This Row],[ASHRAE 2013 Occupant Density
'[People/1000SF']]]&gt;=50,"YES","NO"))</f>
        <v/>
      </c>
      <c r="AD53" s="152"/>
      <c r="AE53" s="95" t="str">
        <f>IFERROR(INDEX('Raw Data - Occupancy'!$AW$7:$BB$85,MATCH(OccupancyAssumptions[[#This Row],[ASHRAE 2016 Space Type]],'Raw Data - Occupancy'!$AW$7:$AW$85,0),MATCH("Rp (CFM/per)",'Raw Data - Occupancy'!$AW$7:$BB$7,0)),"")</f>
        <v/>
      </c>
      <c r="AF53" s="95" t="str">
        <f>IFERROR(INDEX('Raw Data - Occupancy'!$AW$7:$BB$85,MATCH(OccupancyAssumptions[[#This Row],[ASHRAE 2016 Space Type]],'Raw Data - Occupancy'!$AW$7:$AW$85,0),MATCH("Ra (cfm/ft2)",'Raw Data - Occupancy'!$AW$7:$BB$7,0)),"")</f>
        <v/>
      </c>
      <c r="AG53" s="95" t="str">
        <f>IFERROR(INDEX('Raw Data - Occupancy'!$AW$7:$BB$85,MATCH(OccupancyAssumptions[[#This Row],[ASHRAE 2016 Space Type]],'Raw Data - Occupancy'!$AW$7:$AW$85,0),MATCH("#/1000 ft2 (#/100 m2)",'Raw Data - Occupancy'!$AW$7:$BB$7,0)),"")</f>
        <v/>
      </c>
      <c r="AH53" s="153" t="str">
        <f>IFERROR(OccupancyAssumptions[[#This Row],[ASHRAE 2016 Occupant Density
'[People/1000SF']]]*OccupancyAssumptions[[#This Row],[Area (sqft)]]/1000,"")</f>
        <v/>
      </c>
      <c r="AI53" s="20" t="str">
        <f>IF(OccupancyAssumptions[[#This Row],[ASHRAE 2016 Occupant Density
'[People/1000SF']]]="","",IF(OccupancyAssumptions[[#This Row],[ASHRAE 2016 Occupant Density
'[People/1000SF']]]&gt;=50,"YES","NO"))</f>
        <v/>
      </c>
      <c r="AJ53" s="152"/>
      <c r="AK53" s="95" t="str">
        <f>IFERROR(INDEX('Raw Data - Occupancy'!$BD$7:$BI$85,MATCH(OccupancyAssumptions[[#This Row],[ASHRAE 2019 Space Type]],'Raw Data - Occupancy'!$BD$7:$BD$85,0),MATCH("Rp (CFM/per)",'Raw Data - Occupancy'!$BD$7:$BI$7,0)),"")</f>
        <v/>
      </c>
      <c r="AL53" s="95" t="str">
        <f>IFERROR(INDEX('Raw Data - Occupancy'!$BD$7:$BI$85,MATCH(OccupancyAssumptions[[#This Row],[ASHRAE 2019 Space Type]],'Raw Data - Occupancy'!$BD$7:$BD$85,0),MATCH("Ra (cfm/ft2)",'Raw Data - Occupancy'!$BD$7:$BI$7,0)),"")</f>
        <v/>
      </c>
      <c r="AM53" s="95" t="str">
        <f>IFERROR(INDEX('Raw Data - Occupancy'!$BD$7:$BI$85,MATCH(OccupancyAssumptions[[#This Row],[ASHRAE 2019 Space Type]],'Raw Data - Occupancy'!$BD$7:$BD$85,0),MATCH("#/1000 ft2 (#/100 m2)",'Raw Data - Occupancy'!$BD$7:$BI$7,0)),"")</f>
        <v/>
      </c>
      <c r="AN53" s="155" t="str">
        <f>IFERROR(OccupancyAssumptions[[#This Row],[ASHRAE 2019 Occupant Density
'[People/1000SF']]]*OccupancyAssumptions[[#This Row],[Area (sqft)]]/1000,"")</f>
        <v/>
      </c>
      <c r="AO53" s="156" t="str">
        <f>IF(OccupancyAssumptions[[#This Row],[ASHRAE 2019 Occupant Density
'[People/1000SF']]]="","",IF(OccupancyAssumptions[[#This Row],[ASHRAE 2019 Occupant Density
'[People/1000SF']]]&gt;=50,"YES","NO"))</f>
        <v/>
      </c>
      <c r="AP53" s="152" t="s">
        <v>214</v>
      </c>
      <c r="AQ53" s="154"/>
      <c r="AR53" s="154"/>
      <c r="AS53" s="471"/>
      <c r="AT53" s="471" t="str">
        <f>IFERROR(1000/OccupancyAssumptions[[#This Row],[Design Occupant Density '[SF/Person']]],"-")</f>
        <v>-</v>
      </c>
      <c r="AU53" s="156" t="str">
        <f>IF(OccupancyAssumptions[[#This Row],[Design Occupant Density
'[People/1000SF']]]="-","",IF(OccupancyAssumptions[[#This Row],[Design Occupant Density
'[People/1000SF']]]&gt;=50,"YES","NO"))</f>
        <v/>
      </c>
      <c r="AV53" s="26"/>
    </row>
    <row r="54" spans="2:48" x14ac:dyDescent="0.25">
      <c r="B54" s="18">
        <v>37</v>
      </c>
      <c r="C54" s="19" t="str">
        <f>IF('Master Room List'!R52="","",'Master Room List'!R52)</f>
        <v/>
      </c>
      <c r="D54" s="20" t="str">
        <f>IF(OccupancyAssumptions[[#This Row],[Space Type]]="","-",VLOOKUP(OccupancyAssumptions[[#This Row],[Space Type]],MasterRoomList_SpaceTypeSummary[[#All],[SpaceType]:[% of Total Area]],3,FALSE))</f>
        <v>-</v>
      </c>
      <c r="E54" s="152"/>
      <c r="F54" s="19" t="str">
        <f>IF(OccupancyAssumptions[[#This Row],[Space Type]]="","",INDEX('Raw Data - Occupancy'!$V$6:$Z$92,MATCH(OccupancyAssumptions[[#This Row],[Primary Function Area]],'Raw Data - Occupancy'!$V$6:$V$92,0),MATCH('Raw Data - Occupancy'!$W$6,'Raw Data - Occupancy'!$V$6:$Z$6,0)))</f>
        <v/>
      </c>
      <c r="G54" s="19" t="str">
        <f>IF(OccupancyAssumptions[[#This Row],[Space Type]]="","",INDEX('Raw Data - Occupancy'!$V$6:$Z$92,MATCH(OccupancyAssumptions[[#This Row],[Primary Function Area]],'Raw Data - Occupancy'!$V$6:$V$92,0),MATCH('Raw Data - Occupancy'!$X$6,'Raw Data - Occupancy'!$V$6:$Z$6,0)))</f>
        <v/>
      </c>
      <c r="H54" s="19" t="str">
        <f>IF(OccupancyAssumptions[[#This Row],[Space Type]]="","",15)</f>
        <v/>
      </c>
      <c r="I54" s="19" t="str">
        <f>IFERROR(INDEX('Raw Data - Occupancy'!$AW$7:$BB$85,MATCH(OccupancyAssumptions[[#This Row],[ASHRAE 2019 Space Type]],'Raw Data - Occupancy'!$AW$7:$AW$85,0),MATCH("#/1000 ft2 (#/100 m2)",'Raw Data - Occupancy'!$AW$7:$BB$7,0)),"")</f>
        <v/>
      </c>
      <c r="J54" s="153" t="str">
        <f>IFERROR(OccupancyAssumptions[[#This Row],[Occupant Density
'[People/1000SF']]]*OccupancyAssumptions[[#This Row],[Area (sqft)]]/1000,"")</f>
        <v/>
      </c>
      <c r="K54" s="20" t="str">
        <f>IF(OccupancyAssumptions[[#This Row],[Occupant Density
'[People/1000SF']]]="","",IF(OccupancyAssumptions[[#This Row],[Occupant Density
'[People/1000SF']]]&gt;=50,"YES","NO"))</f>
        <v/>
      </c>
      <c r="L54" s="152"/>
      <c r="M54" s="95" t="str">
        <f>IFERROR(INDEX('Raw Data - Occupancy'!$AB$7:$AG$85,MATCH(OccupancyAssumptions[[#This Row],[ASHRAE 2007 Space Type]],'Raw Data - Occupancy'!$AB$7:$AB$85,0),MATCH("Rp (CFM/per)",'Raw Data - Occupancy'!$AB$7:$AG$7,0)),"")</f>
        <v/>
      </c>
      <c r="N54" s="95" t="str">
        <f>IFERROR(INDEX('Raw Data - Occupancy'!$AB$7:$AG$85,MATCH(OccupancyAssumptions[[#This Row],[ASHRAE 2007 Space Type]],'Raw Data - Occupancy'!$AB$7:$AB$85,0),MATCH("Ra (cfm/ft2)",'Raw Data - Occupancy'!$AB$7:$AG$7,0)),"")</f>
        <v/>
      </c>
      <c r="O54" s="95" t="str">
        <f>IFERROR(INDEX('Raw Data - Occupancy'!$AB$7:$AG$85,MATCH(OccupancyAssumptions[[#This Row],[ASHRAE 2007 Space Type]],'Raw Data - Occupancy'!$AB$7:$AB$85,0),MATCH("#/1000 ft2 (#/100 m2)",'Raw Data - Occupancy'!$AB$7:$AG$7,0)),"")</f>
        <v/>
      </c>
      <c r="P54" s="153" t="str">
        <f>IFERROR(OccupancyAssumptions[[#This Row],[ASHRAE 2007 Occupant Density
'[People/1000SF']]]*OccupancyAssumptions[[#This Row],[Area (sqft)]]/1000,"")</f>
        <v/>
      </c>
      <c r="Q54" s="20" t="str">
        <f>IF(OccupancyAssumptions[[#This Row],[ASHRAE 2007 Occupant Density
'[People/1000SF']]]="","",IF(OccupancyAssumptions[[#This Row],[ASHRAE 2007 Occupant Density
'[People/1000SF']]]&gt;=50,"YES","NO"))</f>
        <v/>
      </c>
      <c r="R54" s="152"/>
      <c r="S54" s="95" t="str">
        <f>IFERROR(INDEX('Raw Data - Occupancy'!$AI$7:$AN$85,MATCH(OccupancyAssumptions[[#This Row],[ASHRAE 2010 Space Type]],'Raw Data - Occupancy'!$AI$7:$AI$85,0),MATCH("Rp (CFM/per)",'Raw Data - Occupancy'!$AI$7:$AN$7,0)),"")</f>
        <v/>
      </c>
      <c r="T54" s="95" t="str">
        <f>IFERROR(INDEX('Raw Data - Occupancy'!$AI$7:$AN$85,MATCH(OccupancyAssumptions[[#This Row],[ASHRAE 2010 Space Type]],'Raw Data - Occupancy'!$AI$7:$AI$85,0),MATCH("Ra (cfm/ft2)",'Raw Data - Occupancy'!$AI$7:$AN$7,0)),"")</f>
        <v/>
      </c>
      <c r="U54" s="95" t="str">
        <f>IFERROR(INDEX('Raw Data - Occupancy'!$AI$7:$AN$85,MATCH(OccupancyAssumptions[[#This Row],[ASHRAE 2010 Space Type]],'Raw Data - Occupancy'!$AI$7:$AI$85,0),MATCH("#/1000 ft2 (#/100 m2)",'Raw Data - Occupancy'!$AI$7:$AN$7,0)),"")</f>
        <v/>
      </c>
      <c r="V54" s="153" t="str">
        <f>IFERROR(OccupancyAssumptions[[#This Row],[ASHRAE 2010 Occupant Density
'[People/1000SF']]]*OccupancyAssumptions[[#This Row],[Area (sqft)]]/1000,"")</f>
        <v/>
      </c>
      <c r="W54" s="20" t="str">
        <f>IF(OccupancyAssumptions[[#This Row],[ASHRAE 2010 Occupant Density
'[People/1000SF']]]="","",IF(OccupancyAssumptions[[#This Row],[ASHRAE 2010 Occupant Density
'[People/1000SF']]]&gt;=50,"YES","NO"))</f>
        <v/>
      </c>
      <c r="X54" s="152"/>
      <c r="Y54" s="95" t="str">
        <f>IFERROR(INDEX('Raw Data - Occupancy'!$AP$7:$AU$85,MATCH(OccupancyAssumptions[[#This Row],[ASHRAE 2013 Space Type]],'Raw Data - Occupancy'!$AP$7:$AP$85,0),MATCH("Rp (CFM/per)",'Raw Data - Occupancy'!$AP$7:$AU$7,0)),"")</f>
        <v/>
      </c>
      <c r="Z54" s="95" t="str">
        <f>IFERROR(INDEX('Raw Data - Occupancy'!$AP$7:$AU$85,MATCH(OccupancyAssumptions[[#This Row],[ASHRAE 2013 Space Type]],'Raw Data - Occupancy'!$AP$7:$AP$85,0),MATCH("Ra (cfm/ft2)",'Raw Data - Occupancy'!$AP$7:$AU$7,0)),"")</f>
        <v/>
      </c>
      <c r="AA54" s="95" t="str">
        <f>IFERROR(INDEX('Raw Data - Occupancy'!$AP$7:$AU$85,MATCH(OccupancyAssumptions[[#This Row],[ASHRAE 2013 Space Type]],'Raw Data - Occupancy'!$AP$7:$AP$85,0),MATCH("#/1000 ft2 (#/100 m2)",'Raw Data - Occupancy'!$AP$7:$AU$7,0)),"")</f>
        <v/>
      </c>
      <c r="AB54" s="153" t="str">
        <f>IFERROR(OccupancyAssumptions[[#This Row],[ASHRAE 2013 Occupant Density
'[People/1000SF']]]*OccupancyAssumptions[[#This Row],[Area (sqft)]]/1000,"")</f>
        <v/>
      </c>
      <c r="AC54" s="20" t="str">
        <f>IF(OccupancyAssumptions[[#This Row],[ASHRAE 2013 Occupant Density
'[People/1000SF']]]="","",IF(OccupancyAssumptions[[#This Row],[ASHRAE 2013 Occupant Density
'[People/1000SF']]]&gt;=50,"YES","NO"))</f>
        <v/>
      </c>
      <c r="AD54" s="152"/>
      <c r="AE54" s="95" t="str">
        <f>IFERROR(INDEX('Raw Data - Occupancy'!$AW$7:$BB$85,MATCH(OccupancyAssumptions[[#This Row],[ASHRAE 2016 Space Type]],'Raw Data - Occupancy'!$AW$7:$AW$85,0),MATCH("Rp (CFM/per)",'Raw Data - Occupancy'!$AW$7:$BB$7,0)),"")</f>
        <v/>
      </c>
      <c r="AF54" s="95" t="str">
        <f>IFERROR(INDEX('Raw Data - Occupancy'!$AW$7:$BB$85,MATCH(OccupancyAssumptions[[#This Row],[ASHRAE 2016 Space Type]],'Raw Data - Occupancy'!$AW$7:$AW$85,0),MATCH("Ra (cfm/ft2)",'Raw Data - Occupancy'!$AW$7:$BB$7,0)),"")</f>
        <v/>
      </c>
      <c r="AG54" s="95" t="str">
        <f>IFERROR(INDEX('Raw Data - Occupancy'!$AW$7:$BB$85,MATCH(OccupancyAssumptions[[#This Row],[ASHRAE 2016 Space Type]],'Raw Data - Occupancy'!$AW$7:$AW$85,0),MATCH("#/1000 ft2 (#/100 m2)",'Raw Data - Occupancy'!$AW$7:$BB$7,0)),"")</f>
        <v/>
      </c>
      <c r="AH54" s="153" t="str">
        <f>IFERROR(OccupancyAssumptions[[#This Row],[ASHRAE 2016 Occupant Density
'[People/1000SF']]]*OccupancyAssumptions[[#This Row],[Area (sqft)]]/1000,"")</f>
        <v/>
      </c>
      <c r="AI54" s="20" t="str">
        <f>IF(OccupancyAssumptions[[#This Row],[ASHRAE 2016 Occupant Density
'[People/1000SF']]]="","",IF(OccupancyAssumptions[[#This Row],[ASHRAE 2016 Occupant Density
'[People/1000SF']]]&gt;=50,"YES","NO"))</f>
        <v/>
      </c>
      <c r="AJ54" s="152"/>
      <c r="AK54" s="95" t="str">
        <f>IFERROR(INDEX('Raw Data - Occupancy'!$BD$7:$BI$85,MATCH(OccupancyAssumptions[[#This Row],[ASHRAE 2019 Space Type]],'Raw Data - Occupancy'!$BD$7:$BD$85,0),MATCH("Rp (CFM/per)",'Raw Data - Occupancy'!$BD$7:$BI$7,0)),"")</f>
        <v/>
      </c>
      <c r="AL54" s="95" t="str">
        <f>IFERROR(INDEX('Raw Data - Occupancy'!$BD$7:$BI$85,MATCH(OccupancyAssumptions[[#This Row],[ASHRAE 2019 Space Type]],'Raw Data - Occupancy'!$BD$7:$BD$85,0),MATCH("Ra (cfm/ft2)",'Raw Data - Occupancy'!$BD$7:$BI$7,0)),"")</f>
        <v/>
      </c>
      <c r="AM54" s="95" t="str">
        <f>IFERROR(INDEX('Raw Data - Occupancy'!$BD$7:$BI$85,MATCH(OccupancyAssumptions[[#This Row],[ASHRAE 2019 Space Type]],'Raw Data - Occupancy'!$BD$7:$BD$85,0),MATCH("#/1000 ft2 (#/100 m2)",'Raw Data - Occupancy'!$BD$7:$BI$7,0)),"")</f>
        <v/>
      </c>
      <c r="AN54" s="155" t="str">
        <f>IFERROR(OccupancyAssumptions[[#This Row],[ASHRAE 2019 Occupant Density
'[People/1000SF']]]*OccupancyAssumptions[[#This Row],[Area (sqft)]]/1000,"")</f>
        <v/>
      </c>
      <c r="AO54" s="156" t="str">
        <f>IF(OccupancyAssumptions[[#This Row],[ASHRAE 2019 Occupant Density
'[People/1000SF']]]="","",IF(OccupancyAssumptions[[#This Row],[ASHRAE 2019 Occupant Density
'[People/1000SF']]]&gt;=50,"YES","NO"))</f>
        <v/>
      </c>
      <c r="AP54" s="152" t="s">
        <v>214</v>
      </c>
      <c r="AQ54" s="154"/>
      <c r="AR54" s="154"/>
      <c r="AS54" s="471"/>
      <c r="AT54" s="471" t="str">
        <f>IFERROR(1000/OccupancyAssumptions[[#This Row],[Design Occupant Density '[SF/Person']]],"-")</f>
        <v>-</v>
      </c>
      <c r="AU54" s="156" t="str">
        <f>IF(OccupancyAssumptions[[#This Row],[Design Occupant Density
'[People/1000SF']]]="-","",IF(OccupancyAssumptions[[#This Row],[Design Occupant Density
'[People/1000SF']]]&gt;=50,"YES","NO"))</f>
        <v/>
      </c>
      <c r="AV54" s="26"/>
    </row>
    <row r="55" spans="2:48" x14ac:dyDescent="0.25">
      <c r="B55" s="18">
        <v>38</v>
      </c>
      <c r="C55" s="19" t="str">
        <f>IF('Master Room List'!R53="","",'Master Room List'!R53)</f>
        <v/>
      </c>
      <c r="D55" s="20" t="str">
        <f>IF(OccupancyAssumptions[[#This Row],[Space Type]]="","-",VLOOKUP(OccupancyAssumptions[[#This Row],[Space Type]],MasterRoomList_SpaceTypeSummary[[#All],[SpaceType]:[% of Total Area]],3,FALSE))</f>
        <v>-</v>
      </c>
      <c r="E55" s="152"/>
      <c r="F55" s="19" t="str">
        <f>IF(OccupancyAssumptions[[#This Row],[Space Type]]="","",INDEX('Raw Data - Occupancy'!$V$6:$Z$92,MATCH(OccupancyAssumptions[[#This Row],[Primary Function Area]],'Raw Data - Occupancy'!$V$6:$V$92,0),MATCH('Raw Data - Occupancy'!$W$6,'Raw Data - Occupancy'!$V$6:$Z$6,0)))</f>
        <v/>
      </c>
      <c r="G55" s="19" t="str">
        <f>IF(OccupancyAssumptions[[#This Row],[Space Type]]="","",INDEX('Raw Data - Occupancy'!$V$6:$Z$92,MATCH(OccupancyAssumptions[[#This Row],[Primary Function Area]],'Raw Data - Occupancy'!$V$6:$V$92,0),MATCH('Raw Data - Occupancy'!$X$6,'Raw Data - Occupancy'!$V$6:$Z$6,0)))</f>
        <v/>
      </c>
      <c r="H55" s="19" t="str">
        <f>IF(OccupancyAssumptions[[#This Row],[Space Type]]="","",15)</f>
        <v/>
      </c>
      <c r="I55" s="19" t="str">
        <f>IFERROR(INDEX('Raw Data - Occupancy'!$AW$7:$BB$85,MATCH(OccupancyAssumptions[[#This Row],[ASHRAE 2019 Space Type]],'Raw Data - Occupancy'!$AW$7:$AW$85,0),MATCH("#/1000 ft2 (#/100 m2)",'Raw Data - Occupancy'!$AW$7:$BB$7,0)),"")</f>
        <v/>
      </c>
      <c r="J55" s="153" t="str">
        <f>IFERROR(OccupancyAssumptions[[#This Row],[Occupant Density
'[People/1000SF']]]*OccupancyAssumptions[[#This Row],[Area (sqft)]]/1000,"")</f>
        <v/>
      </c>
      <c r="K55" s="20" t="str">
        <f>IF(OccupancyAssumptions[[#This Row],[Occupant Density
'[People/1000SF']]]="","",IF(OccupancyAssumptions[[#This Row],[Occupant Density
'[People/1000SF']]]&gt;=50,"YES","NO"))</f>
        <v/>
      </c>
      <c r="L55" s="152"/>
      <c r="M55" s="95" t="str">
        <f>IFERROR(INDEX('Raw Data - Occupancy'!$AB$7:$AG$85,MATCH(OccupancyAssumptions[[#This Row],[ASHRAE 2007 Space Type]],'Raw Data - Occupancy'!$AB$7:$AB$85,0),MATCH("Rp (CFM/per)",'Raw Data - Occupancy'!$AB$7:$AG$7,0)),"")</f>
        <v/>
      </c>
      <c r="N55" s="95" t="str">
        <f>IFERROR(INDEX('Raw Data - Occupancy'!$AB$7:$AG$85,MATCH(OccupancyAssumptions[[#This Row],[ASHRAE 2007 Space Type]],'Raw Data - Occupancy'!$AB$7:$AB$85,0),MATCH("Ra (cfm/ft2)",'Raw Data - Occupancy'!$AB$7:$AG$7,0)),"")</f>
        <v/>
      </c>
      <c r="O55" s="95" t="str">
        <f>IFERROR(INDEX('Raw Data - Occupancy'!$AB$7:$AG$85,MATCH(OccupancyAssumptions[[#This Row],[ASHRAE 2007 Space Type]],'Raw Data - Occupancy'!$AB$7:$AB$85,0),MATCH("#/1000 ft2 (#/100 m2)",'Raw Data - Occupancy'!$AB$7:$AG$7,0)),"")</f>
        <v/>
      </c>
      <c r="P55" s="153" t="str">
        <f>IFERROR(OccupancyAssumptions[[#This Row],[ASHRAE 2007 Occupant Density
'[People/1000SF']]]*OccupancyAssumptions[[#This Row],[Area (sqft)]]/1000,"")</f>
        <v/>
      </c>
      <c r="Q55" s="20" t="str">
        <f>IF(OccupancyAssumptions[[#This Row],[ASHRAE 2007 Occupant Density
'[People/1000SF']]]="","",IF(OccupancyAssumptions[[#This Row],[ASHRAE 2007 Occupant Density
'[People/1000SF']]]&gt;=50,"YES","NO"))</f>
        <v/>
      </c>
      <c r="R55" s="152"/>
      <c r="S55" s="95" t="str">
        <f>IFERROR(INDEX('Raw Data - Occupancy'!$AI$7:$AN$85,MATCH(OccupancyAssumptions[[#This Row],[ASHRAE 2010 Space Type]],'Raw Data - Occupancy'!$AI$7:$AI$85,0),MATCH("Rp (CFM/per)",'Raw Data - Occupancy'!$AI$7:$AN$7,0)),"")</f>
        <v/>
      </c>
      <c r="T55" s="95" t="str">
        <f>IFERROR(INDEX('Raw Data - Occupancy'!$AI$7:$AN$85,MATCH(OccupancyAssumptions[[#This Row],[ASHRAE 2010 Space Type]],'Raw Data - Occupancy'!$AI$7:$AI$85,0),MATCH("Ra (cfm/ft2)",'Raw Data - Occupancy'!$AI$7:$AN$7,0)),"")</f>
        <v/>
      </c>
      <c r="U55" s="95" t="str">
        <f>IFERROR(INDEX('Raw Data - Occupancy'!$AI$7:$AN$85,MATCH(OccupancyAssumptions[[#This Row],[ASHRAE 2010 Space Type]],'Raw Data - Occupancy'!$AI$7:$AI$85,0),MATCH("#/1000 ft2 (#/100 m2)",'Raw Data - Occupancy'!$AI$7:$AN$7,0)),"")</f>
        <v/>
      </c>
      <c r="V55" s="153" t="str">
        <f>IFERROR(OccupancyAssumptions[[#This Row],[ASHRAE 2010 Occupant Density
'[People/1000SF']]]*OccupancyAssumptions[[#This Row],[Area (sqft)]]/1000,"")</f>
        <v/>
      </c>
      <c r="W55" s="20" t="str">
        <f>IF(OccupancyAssumptions[[#This Row],[ASHRAE 2010 Occupant Density
'[People/1000SF']]]="","",IF(OccupancyAssumptions[[#This Row],[ASHRAE 2010 Occupant Density
'[People/1000SF']]]&gt;=50,"YES","NO"))</f>
        <v/>
      </c>
      <c r="X55" s="152"/>
      <c r="Y55" s="95" t="str">
        <f>IFERROR(INDEX('Raw Data - Occupancy'!$AP$7:$AU$85,MATCH(OccupancyAssumptions[[#This Row],[ASHRAE 2013 Space Type]],'Raw Data - Occupancy'!$AP$7:$AP$85,0),MATCH("Rp (CFM/per)",'Raw Data - Occupancy'!$AP$7:$AU$7,0)),"")</f>
        <v/>
      </c>
      <c r="Z55" s="95" t="str">
        <f>IFERROR(INDEX('Raw Data - Occupancy'!$AP$7:$AU$85,MATCH(OccupancyAssumptions[[#This Row],[ASHRAE 2013 Space Type]],'Raw Data - Occupancy'!$AP$7:$AP$85,0),MATCH("Ra (cfm/ft2)",'Raw Data - Occupancy'!$AP$7:$AU$7,0)),"")</f>
        <v/>
      </c>
      <c r="AA55" s="95" t="str">
        <f>IFERROR(INDEX('Raw Data - Occupancy'!$AP$7:$AU$85,MATCH(OccupancyAssumptions[[#This Row],[ASHRAE 2013 Space Type]],'Raw Data - Occupancy'!$AP$7:$AP$85,0),MATCH("#/1000 ft2 (#/100 m2)",'Raw Data - Occupancy'!$AP$7:$AU$7,0)),"")</f>
        <v/>
      </c>
      <c r="AB55" s="153" t="str">
        <f>IFERROR(OccupancyAssumptions[[#This Row],[ASHRAE 2013 Occupant Density
'[People/1000SF']]]*OccupancyAssumptions[[#This Row],[Area (sqft)]]/1000,"")</f>
        <v/>
      </c>
      <c r="AC55" s="20" t="str">
        <f>IF(OccupancyAssumptions[[#This Row],[ASHRAE 2013 Occupant Density
'[People/1000SF']]]="","",IF(OccupancyAssumptions[[#This Row],[ASHRAE 2013 Occupant Density
'[People/1000SF']]]&gt;=50,"YES","NO"))</f>
        <v/>
      </c>
      <c r="AD55" s="152"/>
      <c r="AE55" s="95" t="str">
        <f>IFERROR(INDEX('Raw Data - Occupancy'!$AW$7:$BB$85,MATCH(OccupancyAssumptions[[#This Row],[ASHRAE 2016 Space Type]],'Raw Data - Occupancy'!$AW$7:$AW$85,0),MATCH("Rp (CFM/per)",'Raw Data - Occupancy'!$AW$7:$BB$7,0)),"")</f>
        <v/>
      </c>
      <c r="AF55" s="95" t="str">
        <f>IFERROR(INDEX('Raw Data - Occupancy'!$AW$7:$BB$85,MATCH(OccupancyAssumptions[[#This Row],[ASHRAE 2016 Space Type]],'Raw Data - Occupancy'!$AW$7:$AW$85,0),MATCH("Ra (cfm/ft2)",'Raw Data - Occupancy'!$AW$7:$BB$7,0)),"")</f>
        <v/>
      </c>
      <c r="AG55" s="95" t="str">
        <f>IFERROR(INDEX('Raw Data - Occupancy'!$AW$7:$BB$85,MATCH(OccupancyAssumptions[[#This Row],[ASHRAE 2016 Space Type]],'Raw Data - Occupancy'!$AW$7:$AW$85,0),MATCH("#/1000 ft2 (#/100 m2)",'Raw Data - Occupancy'!$AW$7:$BB$7,0)),"")</f>
        <v/>
      </c>
      <c r="AH55" s="153" t="str">
        <f>IFERROR(OccupancyAssumptions[[#This Row],[ASHRAE 2016 Occupant Density
'[People/1000SF']]]*OccupancyAssumptions[[#This Row],[Area (sqft)]]/1000,"")</f>
        <v/>
      </c>
      <c r="AI55" s="20" t="str">
        <f>IF(OccupancyAssumptions[[#This Row],[ASHRAE 2016 Occupant Density
'[People/1000SF']]]="","",IF(OccupancyAssumptions[[#This Row],[ASHRAE 2016 Occupant Density
'[People/1000SF']]]&gt;=50,"YES","NO"))</f>
        <v/>
      </c>
      <c r="AJ55" s="152"/>
      <c r="AK55" s="95" t="str">
        <f>IFERROR(INDEX('Raw Data - Occupancy'!$BD$7:$BI$85,MATCH(OccupancyAssumptions[[#This Row],[ASHRAE 2019 Space Type]],'Raw Data - Occupancy'!$BD$7:$BD$85,0),MATCH("Rp (CFM/per)",'Raw Data - Occupancy'!$BD$7:$BI$7,0)),"")</f>
        <v/>
      </c>
      <c r="AL55" s="95" t="str">
        <f>IFERROR(INDEX('Raw Data - Occupancy'!$BD$7:$BI$85,MATCH(OccupancyAssumptions[[#This Row],[ASHRAE 2019 Space Type]],'Raw Data - Occupancy'!$BD$7:$BD$85,0),MATCH("Ra (cfm/ft2)",'Raw Data - Occupancy'!$BD$7:$BI$7,0)),"")</f>
        <v/>
      </c>
      <c r="AM55" s="95" t="str">
        <f>IFERROR(INDEX('Raw Data - Occupancy'!$BD$7:$BI$85,MATCH(OccupancyAssumptions[[#This Row],[ASHRAE 2019 Space Type]],'Raw Data - Occupancy'!$BD$7:$BD$85,0),MATCH("#/1000 ft2 (#/100 m2)",'Raw Data - Occupancy'!$BD$7:$BI$7,0)),"")</f>
        <v/>
      </c>
      <c r="AN55" s="155" t="str">
        <f>IFERROR(OccupancyAssumptions[[#This Row],[ASHRAE 2019 Occupant Density
'[People/1000SF']]]*OccupancyAssumptions[[#This Row],[Area (sqft)]]/1000,"")</f>
        <v/>
      </c>
      <c r="AO55" s="156" t="str">
        <f>IF(OccupancyAssumptions[[#This Row],[ASHRAE 2019 Occupant Density
'[People/1000SF']]]="","",IF(OccupancyAssumptions[[#This Row],[ASHRAE 2019 Occupant Density
'[People/1000SF']]]&gt;=50,"YES","NO"))</f>
        <v/>
      </c>
      <c r="AP55" s="152" t="s">
        <v>214</v>
      </c>
      <c r="AQ55" s="154"/>
      <c r="AR55" s="154"/>
      <c r="AS55" s="471"/>
      <c r="AT55" s="471" t="str">
        <f>IFERROR(1000/OccupancyAssumptions[[#This Row],[Design Occupant Density '[SF/Person']]],"-")</f>
        <v>-</v>
      </c>
      <c r="AU55" s="156" t="str">
        <f>IF(OccupancyAssumptions[[#This Row],[Design Occupant Density
'[People/1000SF']]]="-","",IF(OccupancyAssumptions[[#This Row],[Design Occupant Density
'[People/1000SF']]]&gt;=50,"YES","NO"))</f>
        <v/>
      </c>
      <c r="AV55" s="26"/>
    </row>
    <row r="56" spans="2:48" x14ac:dyDescent="0.25">
      <c r="B56" s="18">
        <v>39</v>
      </c>
      <c r="C56" s="19" t="str">
        <f>IF('Master Room List'!R54="","",'Master Room List'!R54)</f>
        <v/>
      </c>
      <c r="D56" s="20" t="str">
        <f>IF(OccupancyAssumptions[[#This Row],[Space Type]]="","-",VLOOKUP(OccupancyAssumptions[[#This Row],[Space Type]],MasterRoomList_SpaceTypeSummary[[#All],[SpaceType]:[% of Total Area]],3,FALSE))</f>
        <v>-</v>
      </c>
      <c r="E56" s="152"/>
      <c r="F56" s="19" t="str">
        <f>IF(OccupancyAssumptions[[#This Row],[Space Type]]="","",INDEX('Raw Data - Occupancy'!$V$6:$Z$92,MATCH(OccupancyAssumptions[[#This Row],[Primary Function Area]],'Raw Data - Occupancy'!$V$6:$V$92,0),MATCH('Raw Data - Occupancy'!$W$6,'Raw Data - Occupancy'!$V$6:$Z$6,0)))</f>
        <v/>
      </c>
      <c r="G56" s="19" t="str">
        <f>IF(OccupancyAssumptions[[#This Row],[Space Type]]="","",INDEX('Raw Data - Occupancy'!$V$6:$Z$92,MATCH(OccupancyAssumptions[[#This Row],[Primary Function Area]],'Raw Data - Occupancy'!$V$6:$V$92,0),MATCH('Raw Data - Occupancy'!$X$6,'Raw Data - Occupancy'!$V$6:$Z$6,0)))</f>
        <v/>
      </c>
      <c r="H56" s="19" t="str">
        <f>IF(OccupancyAssumptions[[#This Row],[Space Type]]="","",15)</f>
        <v/>
      </c>
      <c r="I56" s="19" t="str">
        <f>IFERROR(INDEX('Raw Data - Occupancy'!$AW$7:$BB$85,MATCH(OccupancyAssumptions[[#This Row],[ASHRAE 2019 Space Type]],'Raw Data - Occupancy'!$AW$7:$AW$85,0),MATCH("#/1000 ft2 (#/100 m2)",'Raw Data - Occupancy'!$AW$7:$BB$7,0)),"")</f>
        <v/>
      </c>
      <c r="J56" s="153" t="str">
        <f>IFERROR(OccupancyAssumptions[[#This Row],[Occupant Density
'[People/1000SF']]]*OccupancyAssumptions[[#This Row],[Area (sqft)]]/1000,"")</f>
        <v/>
      </c>
      <c r="K56" s="20" t="str">
        <f>IF(OccupancyAssumptions[[#This Row],[Occupant Density
'[People/1000SF']]]="","",IF(OccupancyAssumptions[[#This Row],[Occupant Density
'[People/1000SF']]]&gt;=50,"YES","NO"))</f>
        <v/>
      </c>
      <c r="L56" s="152"/>
      <c r="M56" s="95" t="str">
        <f>IFERROR(INDEX('Raw Data - Occupancy'!$AB$7:$AG$85,MATCH(OccupancyAssumptions[[#This Row],[ASHRAE 2007 Space Type]],'Raw Data - Occupancy'!$AB$7:$AB$85,0),MATCH("Rp (CFM/per)",'Raw Data - Occupancy'!$AB$7:$AG$7,0)),"")</f>
        <v/>
      </c>
      <c r="N56" s="95" t="str">
        <f>IFERROR(INDEX('Raw Data - Occupancy'!$AB$7:$AG$85,MATCH(OccupancyAssumptions[[#This Row],[ASHRAE 2007 Space Type]],'Raw Data - Occupancy'!$AB$7:$AB$85,0),MATCH("Ra (cfm/ft2)",'Raw Data - Occupancy'!$AB$7:$AG$7,0)),"")</f>
        <v/>
      </c>
      <c r="O56" s="95" t="str">
        <f>IFERROR(INDEX('Raw Data - Occupancy'!$AB$7:$AG$85,MATCH(OccupancyAssumptions[[#This Row],[ASHRAE 2007 Space Type]],'Raw Data - Occupancy'!$AB$7:$AB$85,0),MATCH("#/1000 ft2 (#/100 m2)",'Raw Data - Occupancy'!$AB$7:$AG$7,0)),"")</f>
        <v/>
      </c>
      <c r="P56" s="153" t="str">
        <f>IFERROR(OccupancyAssumptions[[#This Row],[ASHRAE 2007 Occupant Density
'[People/1000SF']]]*OccupancyAssumptions[[#This Row],[Area (sqft)]]/1000,"")</f>
        <v/>
      </c>
      <c r="Q56" s="20" t="str">
        <f>IF(OccupancyAssumptions[[#This Row],[ASHRAE 2007 Occupant Density
'[People/1000SF']]]="","",IF(OccupancyAssumptions[[#This Row],[ASHRAE 2007 Occupant Density
'[People/1000SF']]]&gt;=50,"YES","NO"))</f>
        <v/>
      </c>
      <c r="R56" s="152"/>
      <c r="S56" s="95" t="str">
        <f>IFERROR(INDEX('Raw Data - Occupancy'!$AI$7:$AN$85,MATCH(OccupancyAssumptions[[#This Row],[ASHRAE 2010 Space Type]],'Raw Data - Occupancy'!$AI$7:$AI$85,0),MATCH("Rp (CFM/per)",'Raw Data - Occupancy'!$AI$7:$AN$7,0)),"")</f>
        <v/>
      </c>
      <c r="T56" s="95" t="str">
        <f>IFERROR(INDEX('Raw Data - Occupancy'!$AI$7:$AN$85,MATCH(OccupancyAssumptions[[#This Row],[ASHRAE 2010 Space Type]],'Raw Data - Occupancy'!$AI$7:$AI$85,0),MATCH("Ra (cfm/ft2)",'Raw Data - Occupancy'!$AI$7:$AN$7,0)),"")</f>
        <v/>
      </c>
      <c r="U56" s="95" t="str">
        <f>IFERROR(INDEX('Raw Data - Occupancy'!$AI$7:$AN$85,MATCH(OccupancyAssumptions[[#This Row],[ASHRAE 2010 Space Type]],'Raw Data - Occupancy'!$AI$7:$AI$85,0),MATCH("#/1000 ft2 (#/100 m2)",'Raw Data - Occupancy'!$AI$7:$AN$7,0)),"")</f>
        <v/>
      </c>
      <c r="V56" s="153" t="str">
        <f>IFERROR(OccupancyAssumptions[[#This Row],[ASHRAE 2010 Occupant Density
'[People/1000SF']]]*OccupancyAssumptions[[#This Row],[Area (sqft)]]/1000,"")</f>
        <v/>
      </c>
      <c r="W56" s="20" t="str">
        <f>IF(OccupancyAssumptions[[#This Row],[ASHRAE 2010 Occupant Density
'[People/1000SF']]]="","",IF(OccupancyAssumptions[[#This Row],[ASHRAE 2010 Occupant Density
'[People/1000SF']]]&gt;=50,"YES","NO"))</f>
        <v/>
      </c>
      <c r="X56" s="152"/>
      <c r="Y56" s="95" t="str">
        <f>IFERROR(INDEX('Raw Data - Occupancy'!$AP$7:$AU$85,MATCH(OccupancyAssumptions[[#This Row],[ASHRAE 2013 Space Type]],'Raw Data - Occupancy'!$AP$7:$AP$85,0),MATCH("Rp (CFM/per)",'Raw Data - Occupancy'!$AP$7:$AU$7,0)),"")</f>
        <v/>
      </c>
      <c r="Z56" s="95" t="str">
        <f>IFERROR(INDEX('Raw Data - Occupancy'!$AP$7:$AU$85,MATCH(OccupancyAssumptions[[#This Row],[ASHRAE 2013 Space Type]],'Raw Data - Occupancy'!$AP$7:$AP$85,0),MATCH("Ra (cfm/ft2)",'Raw Data - Occupancy'!$AP$7:$AU$7,0)),"")</f>
        <v/>
      </c>
      <c r="AA56" s="95" t="str">
        <f>IFERROR(INDEX('Raw Data - Occupancy'!$AP$7:$AU$85,MATCH(OccupancyAssumptions[[#This Row],[ASHRAE 2013 Space Type]],'Raw Data - Occupancy'!$AP$7:$AP$85,0),MATCH("#/1000 ft2 (#/100 m2)",'Raw Data - Occupancy'!$AP$7:$AU$7,0)),"")</f>
        <v/>
      </c>
      <c r="AB56" s="153" t="str">
        <f>IFERROR(OccupancyAssumptions[[#This Row],[ASHRAE 2013 Occupant Density
'[People/1000SF']]]*OccupancyAssumptions[[#This Row],[Area (sqft)]]/1000,"")</f>
        <v/>
      </c>
      <c r="AC56" s="20" t="str">
        <f>IF(OccupancyAssumptions[[#This Row],[ASHRAE 2013 Occupant Density
'[People/1000SF']]]="","",IF(OccupancyAssumptions[[#This Row],[ASHRAE 2013 Occupant Density
'[People/1000SF']]]&gt;=50,"YES","NO"))</f>
        <v/>
      </c>
      <c r="AD56" s="152"/>
      <c r="AE56" s="95" t="str">
        <f>IFERROR(INDEX('Raw Data - Occupancy'!$AW$7:$BB$85,MATCH(OccupancyAssumptions[[#This Row],[ASHRAE 2016 Space Type]],'Raw Data - Occupancy'!$AW$7:$AW$85,0),MATCH("Rp (CFM/per)",'Raw Data - Occupancy'!$AW$7:$BB$7,0)),"")</f>
        <v/>
      </c>
      <c r="AF56" s="95" t="str">
        <f>IFERROR(INDEX('Raw Data - Occupancy'!$AW$7:$BB$85,MATCH(OccupancyAssumptions[[#This Row],[ASHRAE 2016 Space Type]],'Raw Data - Occupancy'!$AW$7:$AW$85,0),MATCH("Ra (cfm/ft2)",'Raw Data - Occupancy'!$AW$7:$BB$7,0)),"")</f>
        <v/>
      </c>
      <c r="AG56" s="95" t="str">
        <f>IFERROR(INDEX('Raw Data - Occupancy'!$AW$7:$BB$85,MATCH(OccupancyAssumptions[[#This Row],[ASHRAE 2016 Space Type]],'Raw Data - Occupancy'!$AW$7:$AW$85,0),MATCH("#/1000 ft2 (#/100 m2)",'Raw Data - Occupancy'!$AW$7:$BB$7,0)),"")</f>
        <v/>
      </c>
      <c r="AH56" s="153" t="str">
        <f>IFERROR(OccupancyAssumptions[[#This Row],[ASHRAE 2016 Occupant Density
'[People/1000SF']]]*OccupancyAssumptions[[#This Row],[Area (sqft)]]/1000,"")</f>
        <v/>
      </c>
      <c r="AI56" s="20" t="str">
        <f>IF(OccupancyAssumptions[[#This Row],[ASHRAE 2016 Occupant Density
'[People/1000SF']]]="","",IF(OccupancyAssumptions[[#This Row],[ASHRAE 2016 Occupant Density
'[People/1000SF']]]&gt;=50,"YES","NO"))</f>
        <v/>
      </c>
      <c r="AJ56" s="152"/>
      <c r="AK56" s="95" t="str">
        <f>IFERROR(INDEX('Raw Data - Occupancy'!$BD$7:$BI$85,MATCH(OccupancyAssumptions[[#This Row],[ASHRAE 2019 Space Type]],'Raw Data - Occupancy'!$BD$7:$BD$85,0),MATCH("Rp (CFM/per)",'Raw Data - Occupancy'!$BD$7:$BI$7,0)),"")</f>
        <v/>
      </c>
      <c r="AL56" s="95" t="str">
        <f>IFERROR(INDEX('Raw Data - Occupancy'!$BD$7:$BI$85,MATCH(OccupancyAssumptions[[#This Row],[ASHRAE 2019 Space Type]],'Raw Data - Occupancy'!$BD$7:$BD$85,0),MATCH("Ra (cfm/ft2)",'Raw Data - Occupancy'!$BD$7:$BI$7,0)),"")</f>
        <v/>
      </c>
      <c r="AM56" s="95" t="str">
        <f>IFERROR(INDEX('Raw Data - Occupancy'!$BD$7:$BI$85,MATCH(OccupancyAssumptions[[#This Row],[ASHRAE 2019 Space Type]],'Raw Data - Occupancy'!$BD$7:$BD$85,0),MATCH("#/1000 ft2 (#/100 m2)",'Raw Data - Occupancy'!$BD$7:$BI$7,0)),"")</f>
        <v/>
      </c>
      <c r="AN56" s="155" t="str">
        <f>IFERROR(OccupancyAssumptions[[#This Row],[ASHRAE 2019 Occupant Density
'[People/1000SF']]]*OccupancyAssumptions[[#This Row],[Area (sqft)]]/1000,"")</f>
        <v/>
      </c>
      <c r="AO56" s="156" t="str">
        <f>IF(OccupancyAssumptions[[#This Row],[ASHRAE 2019 Occupant Density
'[People/1000SF']]]="","",IF(OccupancyAssumptions[[#This Row],[ASHRAE 2019 Occupant Density
'[People/1000SF']]]&gt;=50,"YES","NO"))</f>
        <v/>
      </c>
      <c r="AP56" s="152" t="s">
        <v>214</v>
      </c>
      <c r="AQ56" s="154"/>
      <c r="AR56" s="154"/>
      <c r="AS56" s="471"/>
      <c r="AT56" s="471" t="str">
        <f>IFERROR(1000/OccupancyAssumptions[[#This Row],[Design Occupant Density '[SF/Person']]],"-")</f>
        <v>-</v>
      </c>
      <c r="AU56" s="156" t="str">
        <f>IF(OccupancyAssumptions[[#This Row],[Design Occupant Density
'[People/1000SF']]]="-","",IF(OccupancyAssumptions[[#This Row],[Design Occupant Density
'[People/1000SF']]]&gt;=50,"YES","NO"))</f>
        <v/>
      </c>
      <c r="AV56" s="26"/>
    </row>
    <row r="57" spans="2:48" x14ac:dyDescent="0.25">
      <c r="B57" s="18">
        <v>40</v>
      </c>
      <c r="C57" s="19" t="str">
        <f>IF('Master Room List'!R55="","",'Master Room List'!R55)</f>
        <v/>
      </c>
      <c r="D57" s="20" t="str">
        <f>IF(OccupancyAssumptions[[#This Row],[Space Type]]="","-",VLOOKUP(OccupancyAssumptions[[#This Row],[Space Type]],MasterRoomList_SpaceTypeSummary[[#All],[SpaceType]:[% of Total Area]],3,FALSE))</f>
        <v>-</v>
      </c>
      <c r="E57" s="152"/>
      <c r="F57" s="19" t="str">
        <f>IF(OccupancyAssumptions[[#This Row],[Space Type]]="","",INDEX('Raw Data - Occupancy'!$V$6:$Z$92,MATCH(OccupancyAssumptions[[#This Row],[Primary Function Area]],'Raw Data - Occupancy'!$V$6:$V$92,0),MATCH('Raw Data - Occupancy'!$W$6,'Raw Data - Occupancy'!$V$6:$Z$6,0)))</f>
        <v/>
      </c>
      <c r="G57" s="19" t="str">
        <f>IF(OccupancyAssumptions[[#This Row],[Space Type]]="","",INDEX('Raw Data - Occupancy'!$V$6:$Z$92,MATCH(OccupancyAssumptions[[#This Row],[Primary Function Area]],'Raw Data - Occupancy'!$V$6:$V$92,0),MATCH('Raw Data - Occupancy'!$X$6,'Raw Data - Occupancy'!$V$6:$Z$6,0)))</f>
        <v/>
      </c>
      <c r="H57" s="19" t="str">
        <f>IF(OccupancyAssumptions[[#This Row],[Space Type]]="","",15)</f>
        <v/>
      </c>
      <c r="I57" s="19" t="str">
        <f>IFERROR(INDEX('Raw Data - Occupancy'!$AW$7:$BB$85,MATCH(OccupancyAssumptions[[#This Row],[ASHRAE 2019 Space Type]],'Raw Data - Occupancy'!$AW$7:$AW$85,0),MATCH("#/1000 ft2 (#/100 m2)",'Raw Data - Occupancy'!$AW$7:$BB$7,0)),"")</f>
        <v/>
      </c>
      <c r="J57" s="153" t="str">
        <f>IFERROR(OccupancyAssumptions[[#This Row],[Occupant Density
'[People/1000SF']]]*OccupancyAssumptions[[#This Row],[Area (sqft)]]/1000,"")</f>
        <v/>
      </c>
      <c r="K57" s="20" t="str">
        <f>IF(OccupancyAssumptions[[#This Row],[Occupant Density
'[People/1000SF']]]="","",IF(OccupancyAssumptions[[#This Row],[Occupant Density
'[People/1000SF']]]&gt;=50,"YES","NO"))</f>
        <v/>
      </c>
      <c r="L57" s="152"/>
      <c r="M57" s="95" t="str">
        <f>IFERROR(INDEX('Raw Data - Occupancy'!$AB$7:$AG$85,MATCH(OccupancyAssumptions[[#This Row],[ASHRAE 2007 Space Type]],'Raw Data - Occupancy'!$AB$7:$AB$85,0),MATCH("Rp (CFM/per)",'Raw Data - Occupancy'!$AB$7:$AG$7,0)),"")</f>
        <v/>
      </c>
      <c r="N57" s="95" t="str">
        <f>IFERROR(INDEX('Raw Data - Occupancy'!$AB$7:$AG$85,MATCH(OccupancyAssumptions[[#This Row],[ASHRAE 2007 Space Type]],'Raw Data - Occupancy'!$AB$7:$AB$85,0),MATCH("Ra (cfm/ft2)",'Raw Data - Occupancy'!$AB$7:$AG$7,0)),"")</f>
        <v/>
      </c>
      <c r="O57" s="95" t="str">
        <f>IFERROR(INDEX('Raw Data - Occupancy'!$AB$7:$AG$85,MATCH(OccupancyAssumptions[[#This Row],[ASHRAE 2007 Space Type]],'Raw Data - Occupancy'!$AB$7:$AB$85,0),MATCH("#/1000 ft2 (#/100 m2)",'Raw Data - Occupancy'!$AB$7:$AG$7,0)),"")</f>
        <v/>
      </c>
      <c r="P57" s="153" t="str">
        <f>IFERROR(OccupancyAssumptions[[#This Row],[ASHRAE 2007 Occupant Density
'[People/1000SF']]]*OccupancyAssumptions[[#This Row],[Area (sqft)]]/1000,"")</f>
        <v/>
      </c>
      <c r="Q57" s="20" t="str">
        <f>IF(OccupancyAssumptions[[#This Row],[ASHRAE 2007 Occupant Density
'[People/1000SF']]]="","",IF(OccupancyAssumptions[[#This Row],[ASHRAE 2007 Occupant Density
'[People/1000SF']]]&gt;=50,"YES","NO"))</f>
        <v/>
      </c>
      <c r="R57" s="152"/>
      <c r="S57" s="95" t="str">
        <f>IFERROR(INDEX('Raw Data - Occupancy'!$AI$7:$AN$85,MATCH(OccupancyAssumptions[[#This Row],[ASHRAE 2010 Space Type]],'Raw Data - Occupancy'!$AI$7:$AI$85,0),MATCH("Rp (CFM/per)",'Raw Data - Occupancy'!$AI$7:$AN$7,0)),"")</f>
        <v/>
      </c>
      <c r="T57" s="95" t="str">
        <f>IFERROR(INDEX('Raw Data - Occupancy'!$AI$7:$AN$85,MATCH(OccupancyAssumptions[[#This Row],[ASHRAE 2010 Space Type]],'Raw Data - Occupancy'!$AI$7:$AI$85,0),MATCH("Ra (cfm/ft2)",'Raw Data - Occupancy'!$AI$7:$AN$7,0)),"")</f>
        <v/>
      </c>
      <c r="U57" s="95" t="str">
        <f>IFERROR(INDEX('Raw Data - Occupancy'!$AI$7:$AN$85,MATCH(OccupancyAssumptions[[#This Row],[ASHRAE 2010 Space Type]],'Raw Data - Occupancy'!$AI$7:$AI$85,0),MATCH("#/1000 ft2 (#/100 m2)",'Raw Data - Occupancy'!$AI$7:$AN$7,0)),"")</f>
        <v/>
      </c>
      <c r="V57" s="153" t="str">
        <f>IFERROR(OccupancyAssumptions[[#This Row],[ASHRAE 2010 Occupant Density
'[People/1000SF']]]*OccupancyAssumptions[[#This Row],[Area (sqft)]]/1000,"")</f>
        <v/>
      </c>
      <c r="W57" s="20" t="str">
        <f>IF(OccupancyAssumptions[[#This Row],[ASHRAE 2010 Occupant Density
'[People/1000SF']]]="","",IF(OccupancyAssumptions[[#This Row],[ASHRAE 2010 Occupant Density
'[People/1000SF']]]&gt;=50,"YES","NO"))</f>
        <v/>
      </c>
      <c r="X57" s="152"/>
      <c r="Y57" s="95" t="str">
        <f>IFERROR(INDEX('Raw Data - Occupancy'!$AP$7:$AU$85,MATCH(OccupancyAssumptions[[#This Row],[ASHRAE 2013 Space Type]],'Raw Data - Occupancy'!$AP$7:$AP$85,0),MATCH("Rp (CFM/per)",'Raw Data - Occupancy'!$AP$7:$AU$7,0)),"")</f>
        <v/>
      </c>
      <c r="Z57" s="95" t="str">
        <f>IFERROR(INDEX('Raw Data - Occupancy'!$AP$7:$AU$85,MATCH(OccupancyAssumptions[[#This Row],[ASHRAE 2013 Space Type]],'Raw Data - Occupancy'!$AP$7:$AP$85,0),MATCH("Ra (cfm/ft2)",'Raw Data - Occupancy'!$AP$7:$AU$7,0)),"")</f>
        <v/>
      </c>
      <c r="AA57" s="95" t="str">
        <f>IFERROR(INDEX('Raw Data - Occupancy'!$AP$7:$AU$85,MATCH(OccupancyAssumptions[[#This Row],[ASHRAE 2013 Space Type]],'Raw Data - Occupancy'!$AP$7:$AP$85,0),MATCH("#/1000 ft2 (#/100 m2)",'Raw Data - Occupancy'!$AP$7:$AU$7,0)),"")</f>
        <v/>
      </c>
      <c r="AB57" s="153" t="str">
        <f>IFERROR(OccupancyAssumptions[[#This Row],[ASHRAE 2013 Occupant Density
'[People/1000SF']]]*OccupancyAssumptions[[#This Row],[Area (sqft)]]/1000,"")</f>
        <v/>
      </c>
      <c r="AC57" s="20" t="str">
        <f>IF(OccupancyAssumptions[[#This Row],[ASHRAE 2013 Occupant Density
'[People/1000SF']]]="","",IF(OccupancyAssumptions[[#This Row],[ASHRAE 2013 Occupant Density
'[People/1000SF']]]&gt;=50,"YES","NO"))</f>
        <v/>
      </c>
      <c r="AD57" s="152"/>
      <c r="AE57" s="95" t="str">
        <f>IFERROR(INDEX('Raw Data - Occupancy'!$AW$7:$BB$85,MATCH(OccupancyAssumptions[[#This Row],[ASHRAE 2016 Space Type]],'Raw Data - Occupancy'!$AW$7:$AW$85,0),MATCH("Rp (CFM/per)",'Raw Data - Occupancy'!$AW$7:$BB$7,0)),"")</f>
        <v/>
      </c>
      <c r="AF57" s="95" t="str">
        <f>IFERROR(INDEX('Raw Data - Occupancy'!$AW$7:$BB$85,MATCH(OccupancyAssumptions[[#This Row],[ASHRAE 2016 Space Type]],'Raw Data - Occupancy'!$AW$7:$AW$85,0),MATCH("Ra (cfm/ft2)",'Raw Data - Occupancy'!$AW$7:$BB$7,0)),"")</f>
        <v/>
      </c>
      <c r="AG57" s="95" t="str">
        <f>IFERROR(INDEX('Raw Data - Occupancy'!$AW$7:$BB$85,MATCH(OccupancyAssumptions[[#This Row],[ASHRAE 2016 Space Type]],'Raw Data - Occupancy'!$AW$7:$AW$85,0),MATCH("#/1000 ft2 (#/100 m2)",'Raw Data - Occupancy'!$AW$7:$BB$7,0)),"")</f>
        <v/>
      </c>
      <c r="AH57" s="153" t="str">
        <f>IFERROR(OccupancyAssumptions[[#This Row],[ASHRAE 2016 Occupant Density
'[People/1000SF']]]*OccupancyAssumptions[[#This Row],[Area (sqft)]]/1000,"")</f>
        <v/>
      </c>
      <c r="AI57" s="20" t="str">
        <f>IF(OccupancyAssumptions[[#This Row],[ASHRAE 2016 Occupant Density
'[People/1000SF']]]="","",IF(OccupancyAssumptions[[#This Row],[ASHRAE 2016 Occupant Density
'[People/1000SF']]]&gt;=50,"YES","NO"))</f>
        <v/>
      </c>
      <c r="AJ57" s="152"/>
      <c r="AK57" s="95" t="str">
        <f>IFERROR(INDEX('Raw Data - Occupancy'!$BD$7:$BI$85,MATCH(OccupancyAssumptions[[#This Row],[ASHRAE 2019 Space Type]],'Raw Data - Occupancy'!$BD$7:$BD$85,0),MATCH("Rp (CFM/per)",'Raw Data - Occupancy'!$BD$7:$BI$7,0)),"")</f>
        <v/>
      </c>
      <c r="AL57" s="95" t="str">
        <f>IFERROR(INDEX('Raw Data - Occupancy'!$BD$7:$BI$85,MATCH(OccupancyAssumptions[[#This Row],[ASHRAE 2019 Space Type]],'Raw Data - Occupancy'!$BD$7:$BD$85,0),MATCH("Ra (cfm/ft2)",'Raw Data - Occupancy'!$BD$7:$BI$7,0)),"")</f>
        <v/>
      </c>
      <c r="AM57" s="95" t="str">
        <f>IFERROR(INDEX('Raw Data - Occupancy'!$BD$7:$BI$85,MATCH(OccupancyAssumptions[[#This Row],[ASHRAE 2019 Space Type]],'Raw Data - Occupancy'!$BD$7:$BD$85,0),MATCH("#/1000 ft2 (#/100 m2)",'Raw Data - Occupancy'!$BD$7:$BI$7,0)),"")</f>
        <v/>
      </c>
      <c r="AN57" s="155" t="str">
        <f>IFERROR(OccupancyAssumptions[[#This Row],[ASHRAE 2019 Occupant Density
'[People/1000SF']]]*OccupancyAssumptions[[#This Row],[Area (sqft)]]/1000,"")</f>
        <v/>
      </c>
      <c r="AO57" s="156" t="str">
        <f>IF(OccupancyAssumptions[[#This Row],[ASHRAE 2019 Occupant Density
'[People/1000SF']]]="","",IF(OccupancyAssumptions[[#This Row],[ASHRAE 2019 Occupant Density
'[People/1000SF']]]&gt;=50,"YES","NO"))</f>
        <v/>
      </c>
      <c r="AP57" s="152" t="s">
        <v>214</v>
      </c>
      <c r="AQ57" s="154"/>
      <c r="AR57" s="154"/>
      <c r="AS57" s="471"/>
      <c r="AT57" s="471" t="str">
        <f>IFERROR(1000/OccupancyAssumptions[[#This Row],[Design Occupant Density '[SF/Person']]],"-")</f>
        <v>-</v>
      </c>
      <c r="AU57" s="156" t="str">
        <f>IF(OccupancyAssumptions[[#This Row],[Design Occupant Density
'[People/1000SF']]]="-","",IF(OccupancyAssumptions[[#This Row],[Design Occupant Density
'[People/1000SF']]]&gt;=50,"YES","NO"))</f>
        <v/>
      </c>
      <c r="AV57" s="26"/>
    </row>
    <row r="58" spans="2:48" x14ac:dyDescent="0.25">
      <c r="B58" s="18">
        <v>41</v>
      </c>
      <c r="C58" s="19" t="str">
        <f>IF('Master Room List'!R56="","",'Master Room List'!R56)</f>
        <v/>
      </c>
      <c r="D58" s="20" t="str">
        <f>IF(OccupancyAssumptions[[#This Row],[Space Type]]="","-",VLOOKUP(OccupancyAssumptions[[#This Row],[Space Type]],MasterRoomList_SpaceTypeSummary[[#All],[SpaceType]:[% of Total Area]],3,FALSE))</f>
        <v>-</v>
      </c>
      <c r="E58" s="152"/>
      <c r="F58" s="19" t="str">
        <f>IF(OccupancyAssumptions[[#This Row],[Space Type]]="","",INDEX('Raw Data - Occupancy'!$V$6:$Z$92,MATCH(OccupancyAssumptions[[#This Row],[Primary Function Area]],'Raw Data - Occupancy'!$V$6:$V$92,0),MATCH('Raw Data - Occupancy'!$W$6,'Raw Data - Occupancy'!$V$6:$Z$6,0)))</f>
        <v/>
      </c>
      <c r="G58" s="19" t="str">
        <f>IF(OccupancyAssumptions[[#This Row],[Space Type]]="","",INDEX('Raw Data - Occupancy'!$V$6:$Z$92,MATCH(OccupancyAssumptions[[#This Row],[Primary Function Area]],'Raw Data - Occupancy'!$V$6:$V$92,0),MATCH('Raw Data - Occupancy'!$X$6,'Raw Data - Occupancy'!$V$6:$Z$6,0)))</f>
        <v/>
      </c>
      <c r="H58" s="19" t="str">
        <f>IF(OccupancyAssumptions[[#This Row],[Space Type]]="","",15)</f>
        <v/>
      </c>
      <c r="I58" s="19" t="str">
        <f>IFERROR(INDEX('Raw Data - Occupancy'!$AW$7:$BB$85,MATCH(OccupancyAssumptions[[#This Row],[ASHRAE 2019 Space Type]],'Raw Data - Occupancy'!$AW$7:$AW$85,0),MATCH("#/1000 ft2 (#/100 m2)",'Raw Data - Occupancy'!$AW$7:$BB$7,0)),"")</f>
        <v/>
      </c>
      <c r="J58" s="153" t="str">
        <f>IFERROR(OccupancyAssumptions[[#This Row],[Occupant Density
'[People/1000SF']]]*OccupancyAssumptions[[#This Row],[Area (sqft)]]/1000,"")</f>
        <v/>
      </c>
      <c r="K58" s="20" t="str">
        <f>IF(OccupancyAssumptions[[#This Row],[Occupant Density
'[People/1000SF']]]="","",IF(OccupancyAssumptions[[#This Row],[Occupant Density
'[People/1000SF']]]&gt;=50,"YES","NO"))</f>
        <v/>
      </c>
      <c r="L58" s="152"/>
      <c r="M58" s="95" t="str">
        <f>IFERROR(INDEX('Raw Data - Occupancy'!$AB$7:$AG$85,MATCH(OccupancyAssumptions[[#This Row],[ASHRAE 2007 Space Type]],'Raw Data - Occupancy'!$AB$7:$AB$85,0),MATCH("Rp (CFM/per)",'Raw Data - Occupancy'!$AB$7:$AG$7,0)),"")</f>
        <v/>
      </c>
      <c r="N58" s="95" t="str">
        <f>IFERROR(INDEX('Raw Data - Occupancy'!$AB$7:$AG$85,MATCH(OccupancyAssumptions[[#This Row],[ASHRAE 2007 Space Type]],'Raw Data - Occupancy'!$AB$7:$AB$85,0),MATCH("Ra (cfm/ft2)",'Raw Data - Occupancy'!$AB$7:$AG$7,0)),"")</f>
        <v/>
      </c>
      <c r="O58" s="95" t="str">
        <f>IFERROR(INDEX('Raw Data - Occupancy'!$AB$7:$AG$85,MATCH(OccupancyAssumptions[[#This Row],[ASHRAE 2007 Space Type]],'Raw Data - Occupancy'!$AB$7:$AB$85,0),MATCH("#/1000 ft2 (#/100 m2)",'Raw Data - Occupancy'!$AB$7:$AG$7,0)),"")</f>
        <v/>
      </c>
      <c r="P58" s="153" t="str">
        <f>IFERROR(OccupancyAssumptions[[#This Row],[ASHRAE 2007 Occupant Density
'[People/1000SF']]]*OccupancyAssumptions[[#This Row],[Area (sqft)]]/1000,"")</f>
        <v/>
      </c>
      <c r="Q58" s="20" t="str">
        <f>IF(OccupancyAssumptions[[#This Row],[ASHRAE 2007 Occupant Density
'[People/1000SF']]]="","",IF(OccupancyAssumptions[[#This Row],[ASHRAE 2007 Occupant Density
'[People/1000SF']]]&gt;=50,"YES","NO"))</f>
        <v/>
      </c>
      <c r="R58" s="152"/>
      <c r="S58" s="95" t="str">
        <f>IFERROR(INDEX('Raw Data - Occupancy'!$AI$7:$AN$85,MATCH(OccupancyAssumptions[[#This Row],[ASHRAE 2010 Space Type]],'Raw Data - Occupancy'!$AI$7:$AI$85,0),MATCH("Rp (CFM/per)",'Raw Data - Occupancy'!$AI$7:$AN$7,0)),"")</f>
        <v/>
      </c>
      <c r="T58" s="95" t="str">
        <f>IFERROR(INDEX('Raw Data - Occupancy'!$AI$7:$AN$85,MATCH(OccupancyAssumptions[[#This Row],[ASHRAE 2010 Space Type]],'Raw Data - Occupancy'!$AI$7:$AI$85,0),MATCH("Ra (cfm/ft2)",'Raw Data - Occupancy'!$AI$7:$AN$7,0)),"")</f>
        <v/>
      </c>
      <c r="U58" s="95" t="str">
        <f>IFERROR(INDEX('Raw Data - Occupancy'!$AI$7:$AN$85,MATCH(OccupancyAssumptions[[#This Row],[ASHRAE 2010 Space Type]],'Raw Data - Occupancy'!$AI$7:$AI$85,0),MATCH("#/1000 ft2 (#/100 m2)",'Raw Data - Occupancy'!$AI$7:$AN$7,0)),"")</f>
        <v/>
      </c>
      <c r="V58" s="153" t="str">
        <f>IFERROR(OccupancyAssumptions[[#This Row],[ASHRAE 2010 Occupant Density
'[People/1000SF']]]*OccupancyAssumptions[[#This Row],[Area (sqft)]]/1000,"")</f>
        <v/>
      </c>
      <c r="W58" s="20" t="str">
        <f>IF(OccupancyAssumptions[[#This Row],[ASHRAE 2010 Occupant Density
'[People/1000SF']]]="","",IF(OccupancyAssumptions[[#This Row],[ASHRAE 2010 Occupant Density
'[People/1000SF']]]&gt;=50,"YES","NO"))</f>
        <v/>
      </c>
      <c r="X58" s="152"/>
      <c r="Y58" s="95" t="str">
        <f>IFERROR(INDEX('Raw Data - Occupancy'!$AP$7:$AU$85,MATCH(OccupancyAssumptions[[#This Row],[ASHRAE 2013 Space Type]],'Raw Data - Occupancy'!$AP$7:$AP$85,0),MATCH("Rp (CFM/per)",'Raw Data - Occupancy'!$AP$7:$AU$7,0)),"")</f>
        <v/>
      </c>
      <c r="Z58" s="95" t="str">
        <f>IFERROR(INDEX('Raw Data - Occupancy'!$AP$7:$AU$85,MATCH(OccupancyAssumptions[[#This Row],[ASHRAE 2013 Space Type]],'Raw Data - Occupancy'!$AP$7:$AP$85,0),MATCH("Ra (cfm/ft2)",'Raw Data - Occupancy'!$AP$7:$AU$7,0)),"")</f>
        <v/>
      </c>
      <c r="AA58" s="95" t="str">
        <f>IFERROR(INDEX('Raw Data - Occupancy'!$AP$7:$AU$85,MATCH(OccupancyAssumptions[[#This Row],[ASHRAE 2013 Space Type]],'Raw Data - Occupancy'!$AP$7:$AP$85,0),MATCH("#/1000 ft2 (#/100 m2)",'Raw Data - Occupancy'!$AP$7:$AU$7,0)),"")</f>
        <v/>
      </c>
      <c r="AB58" s="153" t="str">
        <f>IFERROR(OccupancyAssumptions[[#This Row],[ASHRAE 2013 Occupant Density
'[People/1000SF']]]*OccupancyAssumptions[[#This Row],[Area (sqft)]]/1000,"")</f>
        <v/>
      </c>
      <c r="AC58" s="20" t="str">
        <f>IF(OccupancyAssumptions[[#This Row],[ASHRAE 2013 Occupant Density
'[People/1000SF']]]="","",IF(OccupancyAssumptions[[#This Row],[ASHRAE 2013 Occupant Density
'[People/1000SF']]]&gt;=50,"YES","NO"))</f>
        <v/>
      </c>
      <c r="AD58" s="152"/>
      <c r="AE58" s="95" t="str">
        <f>IFERROR(INDEX('Raw Data - Occupancy'!$AW$7:$BB$85,MATCH(OccupancyAssumptions[[#This Row],[ASHRAE 2016 Space Type]],'Raw Data - Occupancy'!$AW$7:$AW$85,0),MATCH("Rp (CFM/per)",'Raw Data - Occupancy'!$AW$7:$BB$7,0)),"")</f>
        <v/>
      </c>
      <c r="AF58" s="95" t="str">
        <f>IFERROR(INDEX('Raw Data - Occupancy'!$AW$7:$BB$85,MATCH(OccupancyAssumptions[[#This Row],[ASHRAE 2016 Space Type]],'Raw Data - Occupancy'!$AW$7:$AW$85,0),MATCH("Ra (cfm/ft2)",'Raw Data - Occupancy'!$AW$7:$BB$7,0)),"")</f>
        <v/>
      </c>
      <c r="AG58" s="95" t="str">
        <f>IFERROR(INDEX('Raw Data - Occupancy'!$AW$7:$BB$85,MATCH(OccupancyAssumptions[[#This Row],[ASHRAE 2016 Space Type]],'Raw Data - Occupancy'!$AW$7:$AW$85,0),MATCH("#/1000 ft2 (#/100 m2)",'Raw Data - Occupancy'!$AW$7:$BB$7,0)),"")</f>
        <v/>
      </c>
      <c r="AH58" s="153" t="str">
        <f>IFERROR(OccupancyAssumptions[[#This Row],[ASHRAE 2016 Occupant Density
'[People/1000SF']]]*OccupancyAssumptions[[#This Row],[Area (sqft)]]/1000,"")</f>
        <v/>
      </c>
      <c r="AI58" s="20" t="str">
        <f>IF(OccupancyAssumptions[[#This Row],[ASHRAE 2016 Occupant Density
'[People/1000SF']]]="","",IF(OccupancyAssumptions[[#This Row],[ASHRAE 2016 Occupant Density
'[People/1000SF']]]&gt;=50,"YES","NO"))</f>
        <v/>
      </c>
      <c r="AJ58" s="152"/>
      <c r="AK58" s="95" t="str">
        <f>IFERROR(INDEX('Raw Data - Occupancy'!$BD$7:$BI$85,MATCH(OccupancyAssumptions[[#This Row],[ASHRAE 2019 Space Type]],'Raw Data - Occupancy'!$BD$7:$BD$85,0),MATCH("Rp (CFM/per)",'Raw Data - Occupancy'!$BD$7:$BI$7,0)),"")</f>
        <v/>
      </c>
      <c r="AL58" s="95" t="str">
        <f>IFERROR(INDEX('Raw Data - Occupancy'!$BD$7:$BI$85,MATCH(OccupancyAssumptions[[#This Row],[ASHRAE 2019 Space Type]],'Raw Data - Occupancy'!$BD$7:$BD$85,0),MATCH("Ra (cfm/ft2)",'Raw Data - Occupancy'!$BD$7:$BI$7,0)),"")</f>
        <v/>
      </c>
      <c r="AM58" s="95" t="str">
        <f>IFERROR(INDEX('Raw Data - Occupancy'!$BD$7:$BI$85,MATCH(OccupancyAssumptions[[#This Row],[ASHRAE 2019 Space Type]],'Raw Data - Occupancy'!$BD$7:$BD$85,0),MATCH("#/1000 ft2 (#/100 m2)",'Raw Data - Occupancy'!$BD$7:$BI$7,0)),"")</f>
        <v/>
      </c>
      <c r="AN58" s="155" t="str">
        <f>IFERROR(OccupancyAssumptions[[#This Row],[ASHRAE 2019 Occupant Density
'[People/1000SF']]]*OccupancyAssumptions[[#This Row],[Area (sqft)]]/1000,"")</f>
        <v/>
      </c>
      <c r="AO58" s="156" t="str">
        <f>IF(OccupancyAssumptions[[#This Row],[ASHRAE 2019 Occupant Density
'[People/1000SF']]]="","",IF(OccupancyAssumptions[[#This Row],[ASHRAE 2019 Occupant Density
'[People/1000SF']]]&gt;=50,"YES","NO"))</f>
        <v/>
      </c>
      <c r="AP58" s="152" t="s">
        <v>214</v>
      </c>
      <c r="AQ58" s="154"/>
      <c r="AR58" s="154"/>
      <c r="AS58" s="471"/>
      <c r="AT58" s="471" t="str">
        <f>IFERROR(1000/OccupancyAssumptions[[#This Row],[Design Occupant Density '[SF/Person']]],"-")</f>
        <v>-</v>
      </c>
      <c r="AU58" s="156" t="str">
        <f>IF(OccupancyAssumptions[[#This Row],[Design Occupant Density
'[People/1000SF']]]="-","",IF(OccupancyAssumptions[[#This Row],[Design Occupant Density
'[People/1000SF']]]&gt;=50,"YES","NO"))</f>
        <v/>
      </c>
      <c r="AV58" s="26"/>
    </row>
    <row r="59" spans="2:48" x14ac:dyDescent="0.25">
      <c r="B59" s="18">
        <v>42</v>
      </c>
      <c r="C59" s="19" t="str">
        <f>IF('Master Room List'!R57="","",'Master Room List'!R57)</f>
        <v/>
      </c>
      <c r="D59" s="20" t="str">
        <f>IF(OccupancyAssumptions[[#This Row],[Space Type]]="","-",VLOOKUP(OccupancyAssumptions[[#This Row],[Space Type]],MasterRoomList_SpaceTypeSummary[[#All],[SpaceType]:[% of Total Area]],3,FALSE))</f>
        <v>-</v>
      </c>
      <c r="E59" s="152"/>
      <c r="F59" s="19" t="str">
        <f>IF(OccupancyAssumptions[[#This Row],[Space Type]]="","",INDEX('Raw Data - Occupancy'!$V$6:$Z$92,MATCH(OccupancyAssumptions[[#This Row],[Primary Function Area]],'Raw Data - Occupancy'!$V$6:$V$92,0),MATCH('Raw Data - Occupancy'!$W$6,'Raw Data - Occupancy'!$V$6:$Z$6,0)))</f>
        <v/>
      </c>
      <c r="G59" s="19" t="str">
        <f>IF(OccupancyAssumptions[[#This Row],[Space Type]]="","",INDEX('Raw Data - Occupancy'!$V$6:$Z$92,MATCH(OccupancyAssumptions[[#This Row],[Primary Function Area]],'Raw Data - Occupancy'!$V$6:$V$92,0),MATCH('Raw Data - Occupancy'!$X$6,'Raw Data - Occupancy'!$V$6:$Z$6,0)))</f>
        <v/>
      </c>
      <c r="H59" s="19" t="str">
        <f>IF(OccupancyAssumptions[[#This Row],[Space Type]]="","",15)</f>
        <v/>
      </c>
      <c r="I59" s="19" t="str">
        <f>IFERROR(INDEX('Raw Data - Occupancy'!$AW$7:$BB$85,MATCH(OccupancyAssumptions[[#This Row],[ASHRAE 2019 Space Type]],'Raw Data - Occupancy'!$AW$7:$AW$85,0),MATCH("#/1000 ft2 (#/100 m2)",'Raw Data - Occupancy'!$AW$7:$BB$7,0)),"")</f>
        <v/>
      </c>
      <c r="J59" s="153" t="str">
        <f>IFERROR(OccupancyAssumptions[[#This Row],[Occupant Density
'[People/1000SF']]]*OccupancyAssumptions[[#This Row],[Area (sqft)]]/1000,"")</f>
        <v/>
      </c>
      <c r="K59" s="20" t="str">
        <f>IF(OccupancyAssumptions[[#This Row],[Occupant Density
'[People/1000SF']]]="","",IF(OccupancyAssumptions[[#This Row],[Occupant Density
'[People/1000SF']]]&gt;=50,"YES","NO"))</f>
        <v/>
      </c>
      <c r="L59" s="152"/>
      <c r="M59" s="95" t="str">
        <f>IFERROR(INDEX('Raw Data - Occupancy'!$AB$7:$AG$85,MATCH(OccupancyAssumptions[[#This Row],[ASHRAE 2007 Space Type]],'Raw Data - Occupancy'!$AB$7:$AB$85,0),MATCH("Rp (CFM/per)",'Raw Data - Occupancy'!$AB$7:$AG$7,0)),"")</f>
        <v/>
      </c>
      <c r="N59" s="95" t="str">
        <f>IFERROR(INDEX('Raw Data - Occupancy'!$AB$7:$AG$85,MATCH(OccupancyAssumptions[[#This Row],[ASHRAE 2007 Space Type]],'Raw Data - Occupancy'!$AB$7:$AB$85,0),MATCH("Ra (cfm/ft2)",'Raw Data - Occupancy'!$AB$7:$AG$7,0)),"")</f>
        <v/>
      </c>
      <c r="O59" s="95" t="str">
        <f>IFERROR(INDEX('Raw Data - Occupancy'!$AB$7:$AG$85,MATCH(OccupancyAssumptions[[#This Row],[ASHRAE 2007 Space Type]],'Raw Data - Occupancy'!$AB$7:$AB$85,0),MATCH("#/1000 ft2 (#/100 m2)",'Raw Data - Occupancy'!$AB$7:$AG$7,0)),"")</f>
        <v/>
      </c>
      <c r="P59" s="153" t="str">
        <f>IFERROR(OccupancyAssumptions[[#This Row],[ASHRAE 2007 Occupant Density
'[People/1000SF']]]*OccupancyAssumptions[[#This Row],[Area (sqft)]]/1000,"")</f>
        <v/>
      </c>
      <c r="Q59" s="20" t="str">
        <f>IF(OccupancyAssumptions[[#This Row],[ASHRAE 2007 Occupant Density
'[People/1000SF']]]="","",IF(OccupancyAssumptions[[#This Row],[ASHRAE 2007 Occupant Density
'[People/1000SF']]]&gt;=50,"YES","NO"))</f>
        <v/>
      </c>
      <c r="R59" s="152"/>
      <c r="S59" s="95" t="str">
        <f>IFERROR(INDEX('Raw Data - Occupancy'!$AI$7:$AN$85,MATCH(OccupancyAssumptions[[#This Row],[ASHRAE 2010 Space Type]],'Raw Data - Occupancy'!$AI$7:$AI$85,0),MATCH("Rp (CFM/per)",'Raw Data - Occupancy'!$AI$7:$AN$7,0)),"")</f>
        <v/>
      </c>
      <c r="T59" s="95" t="str">
        <f>IFERROR(INDEX('Raw Data - Occupancy'!$AI$7:$AN$85,MATCH(OccupancyAssumptions[[#This Row],[ASHRAE 2010 Space Type]],'Raw Data - Occupancy'!$AI$7:$AI$85,0),MATCH("Ra (cfm/ft2)",'Raw Data - Occupancy'!$AI$7:$AN$7,0)),"")</f>
        <v/>
      </c>
      <c r="U59" s="95" t="str">
        <f>IFERROR(INDEX('Raw Data - Occupancy'!$AI$7:$AN$85,MATCH(OccupancyAssumptions[[#This Row],[ASHRAE 2010 Space Type]],'Raw Data - Occupancy'!$AI$7:$AI$85,0),MATCH("#/1000 ft2 (#/100 m2)",'Raw Data - Occupancy'!$AI$7:$AN$7,0)),"")</f>
        <v/>
      </c>
      <c r="V59" s="153" t="str">
        <f>IFERROR(OccupancyAssumptions[[#This Row],[ASHRAE 2010 Occupant Density
'[People/1000SF']]]*OccupancyAssumptions[[#This Row],[Area (sqft)]]/1000,"")</f>
        <v/>
      </c>
      <c r="W59" s="20" t="str">
        <f>IF(OccupancyAssumptions[[#This Row],[ASHRAE 2010 Occupant Density
'[People/1000SF']]]="","",IF(OccupancyAssumptions[[#This Row],[ASHRAE 2010 Occupant Density
'[People/1000SF']]]&gt;=50,"YES","NO"))</f>
        <v/>
      </c>
      <c r="X59" s="152"/>
      <c r="Y59" s="95" t="str">
        <f>IFERROR(INDEX('Raw Data - Occupancy'!$AP$7:$AU$85,MATCH(OccupancyAssumptions[[#This Row],[ASHRAE 2013 Space Type]],'Raw Data - Occupancy'!$AP$7:$AP$85,0),MATCH("Rp (CFM/per)",'Raw Data - Occupancy'!$AP$7:$AU$7,0)),"")</f>
        <v/>
      </c>
      <c r="Z59" s="95" t="str">
        <f>IFERROR(INDEX('Raw Data - Occupancy'!$AP$7:$AU$85,MATCH(OccupancyAssumptions[[#This Row],[ASHRAE 2013 Space Type]],'Raw Data - Occupancy'!$AP$7:$AP$85,0),MATCH("Ra (cfm/ft2)",'Raw Data - Occupancy'!$AP$7:$AU$7,0)),"")</f>
        <v/>
      </c>
      <c r="AA59" s="95" t="str">
        <f>IFERROR(INDEX('Raw Data - Occupancy'!$AP$7:$AU$85,MATCH(OccupancyAssumptions[[#This Row],[ASHRAE 2013 Space Type]],'Raw Data - Occupancy'!$AP$7:$AP$85,0),MATCH("#/1000 ft2 (#/100 m2)",'Raw Data - Occupancy'!$AP$7:$AU$7,0)),"")</f>
        <v/>
      </c>
      <c r="AB59" s="153" t="str">
        <f>IFERROR(OccupancyAssumptions[[#This Row],[ASHRAE 2013 Occupant Density
'[People/1000SF']]]*OccupancyAssumptions[[#This Row],[Area (sqft)]]/1000,"")</f>
        <v/>
      </c>
      <c r="AC59" s="20" t="str">
        <f>IF(OccupancyAssumptions[[#This Row],[ASHRAE 2013 Occupant Density
'[People/1000SF']]]="","",IF(OccupancyAssumptions[[#This Row],[ASHRAE 2013 Occupant Density
'[People/1000SF']]]&gt;=50,"YES","NO"))</f>
        <v/>
      </c>
      <c r="AD59" s="152"/>
      <c r="AE59" s="95" t="str">
        <f>IFERROR(INDEX('Raw Data - Occupancy'!$AW$7:$BB$85,MATCH(OccupancyAssumptions[[#This Row],[ASHRAE 2016 Space Type]],'Raw Data - Occupancy'!$AW$7:$AW$85,0),MATCH("Rp (CFM/per)",'Raw Data - Occupancy'!$AW$7:$BB$7,0)),"")</f>
        <v/>
      </c>
      <c r="AF59" s="95" t="str">
        <f>IFERROR(INDEX('Raw Data - Occupancy'!$AW$7:$BB$85,MATCH(OccupancyAssumptions[[#This Row],[ASHRAE 2016 Space Type]],'Raw Data - Occupancy'!$AW$7:$AW$85,0),MATCH("Ra (cfm/ft2)",'Raw Data - Occupancy'!$AW$7:$BB$7,0)),"")</f>
        <v/>
      </c>
      <c r="AG59" s="95" t="str">
        <f>IFERROR(INDEX('Raw Data - Occupancy'!$AW$7:$BB$85,MATCH(OccupancyAssumptions[[#This Row],[ASHRAE 2016 Space Type]],'Raw Data - Occupancy'!$AW$7:$AW$85,0),MATCH("#/1000 ft2 (#/100 m2)",'Raw Data - Occupancy'!$AW$7:$BB$7,0)),"")</f>
        <v/>
      </c>
      <c r="AH59" s="153" t="str">
        <f>IFERROR(OccupancyAssumptions[[#This Row],[ASHRAE 2016 Occupant Density
'[People/1000SF']]]*OccupancyAssumptions[[#This Row],[Area (sqft)]]/1000,"")</f>
        <v/>
      </c>
      <c r="AI59" s="20" t="str">
        <f>IF(OccupancyAssumptions[[#This Row],[ASHRAE 2016 Occupant Density
'[People/1000SF']]]="","",IF(OccupancyAssumptions[[#This Row],[ASHRAE 2016 Occupant Density
'[People/1000SF']]]&gt;=50,"YES","NO"))</f>
        <v/>
      </c>
      <c r="AJ59" s="152"/>
      <c r="AK59" s="95" t="str">
        <f>IFERROR(INDEX('Raw Data - Occupancy'!$BD$7:$BI$85,MATCH(OccupancyAssumptions[[#This Row],[ASHRAE 2019 Space Type]],'Raw Data - Occupancy'!$BD$7:$BD$85,0),MATCH("Rp (CFM/per)",'Raw Data - Occupancy'!$BD$7:$BI$7,0)),"")</f>
        <v/>
      </c>
      <c r="AL59" s="95" t="str">
        <f>IFERROR(INDEX('Raw Data - Occupancy'!$BD$7:$BI$85,MATCH(OccupancyAssumptions[[#This Row],[ASHRAE 2019 Space Type]],'Raw Data - Occupancy'!$BD$7:$BD$85,0),MATCH("Ra (cfm/ft2)",'Raw Data - Occupancy'!$BD$7:$BI$7,0)),"")</f>
        <v/>
      </c>
      <c r="AM59" s="95" t="str">
        <f>IFERROR(INDEX('Raw Data - Occupancy'!$BD$7:$BI$85,MATCH(OccupancyAssumptions[[#This Row],[ASHRAE 2019 Space Type]],'Raw Data - Occupancy'!$BD$7:$BD$85,0),MATCH("#/1000 ft2 (#/100 m2)",'Raw Data - Occupancy'!$BD$7:$BI$7,0)),"")</f>
        <v/>
      </c>
      <c r="AN59" s="155" t="str">
        <f>IFERROR(OccupancyAssumptions[[#This Row],[ASHRAE 2019 Occupant Density
'[People/1000SF']]]*OccupancyAssumptions[[#This Row],[Area (sqft)]]/1000,"")</f>
        <v/>
      </c>
      <c r="AO59" s="156" t="str">
        <f>IF(OccupancyAssumptions[[#This Row],[ASHRAE 2019 Occupant Density
'[People/1000SF']]]="","",IF(OccupancyAssumptions[[#This Row],[ASHRAE 2019 Occupant Density
'[People/1000SF']]]&gt;=50,"YES","NO"))</f>
        <v/>
      </c>
      <c r="AP59" s="152" t="s">
        <v>214</v>
      </c>
      <c r="AQ59" s="154"/>
      <c r="AR59" s="154"/>
      <c r="AS59" s="471"/>
      <c r="AT59" s="471" t="str">
        <f>IFERROR(1000/OccupancyAssumptions[[#This Row],[Design Occupant Density '[SF/Person']]],"-")</f>
        <v>-</v>
      </c>
      <c r="AU59" s="156" t="str">
        <f>IF(OccupancyAssumptions[[#This Row],[Design Occupant Density
'[People/1000SF']]]="-","",IF(OccupancyAssumptions[[#This Row],[Design Occupant Density
'[People/1000SF']]]&gt;=50,"YES","NO"))</f>
        <v/>
      </c>
      <c r="AV59" s="26"/>
    </row>
    <row r="60" spans="2:48" x14ac:dyDescent="0.25">
      <c r="B60" s="18">
        <v>43</v>
      </c>
      <c r="C60" s="19" t="str">
        <f>IF('Master Room List'!R58="","",'Master Room List'!R58)</f>
        <v/>
      </c>
      <c r="D60" s="20" t="str">
        <f>IF(OccupancyAssumptions[[#This Row],[Space Type]]="","-",VLOOKUP(OccupancyAssumptions[[#This Row],[Space Type]],MasterRoomList_SpaceTypeSummary[[#All],[SpaceType]:[% of Total Area]],3,FALSE))</f>
        <v>-</v>
      </c>
      <c r="E60" s="152"/>
      <c r="F60" s="19" t="str">
        <f>IF(OccupancyAssumptions[[#This Row],[Space Type]]="","",INDEX('Raw Data - Occupancy'!$V$6:$Z$92,MATCH(OccupancyAssumptions[[#This Row],[Primary Function Area]],'Raw Data - Occupancy'!$V$6:$V$92,0),MATCH('Raw Data - Occupancy'!$W$6,'Raw Data - Occupancy'!$V$6:$Z$6,0)))</f>
        <v/>
      </c>
      <c r="G60" s="19" t="str">
        <f>IF(OccupancyAssumptions[[#This Row],[Space Type]]="","",INDEX('Raw Data - Occupancy'!$V$6:$Z$92,MATCH(OccupancyAssumptions[[#This Row],[Primary Function Area]],'Raw Data - Occupancy'!$V$6:$V$92,0),MATCH('Raw Data - Occupancy'!$X$6,'Raw Data - Occupancy'!$V$6:$Z$6,0)))</f>
        <v/>
      </c>
      <c r="H60" s="19" t="str">
        <f>IF(OccupancyAssumptions[[#This Row],[Space Type]]="","",15)</f>
        <v/>
      </c>
      <c r="I60" s="19" t="str">
        <f>IFERROR(INDEX('Raw Data - Occupancy'!$AW$7:$BB$85,MATCH(OccupancyAssumptions[[#This Row],[ASHRAE 2019 Space Type]],'Raw Data - Occupancy'!$AW$7:$AW$85,0),MATCH("#/1000 ft2 (#/100 m2)",'Raw Data - Occupancy'!$AW$7:$BB$7,0)),"")</f>
        <v/>
      </c>
      <c r="J60" s="153" t="str">
        <f>IFERROR(OccupancyAssumptions[[#This Row],[Occupant Density
'[People/1000SF']]]*OccupancyAssumptions[[#This Row],[Area (sqft)]]/1000,"")</f>
        <v/>
      </c>
      <c r="K60" s="20" t="str">
        <f>IF(OccupancyAssumptions[[#This Row],[Occupant Density
'[People/1000SF']]]="","",IF(OccupancyAssumptions[[#This Row],[Occupant Density
'[People/1000SF']]]&gt;=50,"YES","NO"))</f>
        <v/>
      </c>
      <c r="L60" s="152"/>
      <c r="M60" s="95" t="str">
        <f>IFERROR(INDEX('Raw Data - Occupancy'!$AB$7:$AG$85,MATCH(OccupancyAssumptions[[#This Row],[ASHRAE 2007 Space Type]],'Raw Data - Occupancy'!$AB$7:$AB$85,0),MATCH("Rp (CFM/per)",'Raw Data - Occupancy'!$AB$7:$AG$7,0)),"")</f>
        <v/>
      </c>
      <c r="N60" s="95" t="str">
        <f>IFERROR(INDEX('Raw Data - Occupancy'!$AB$7:$AG$85,MATCH(OccupancyAssumptions[[#This Row],[ASHRAE 2007 Space Type]],'Raw Data - Occupancy'!$AB$7:$AB$85,0),MATCH("Ra (cfm/ft2)",'Raw Data - Occupancy'!$AB$7:$AG$7,0)),"")</f>
        <v/>
      </c>
      <c r="O60" s="95" t="str">
        <f>IFERROR(INDEX('Raw Data - Occupancy'!$AB$7:$AG$85,MATCH(OccupancyAssumptions[[#This Row],[ASHRAE 2007 Space Type]],'Raw Data - Occupancy'!$AB$7:$AB$85,0),MATCH("#/1000 ft2 (#/100 m2)",'Raw Data - Occupancy'!$AB$7:$AG$7,0)),"")</f>
        <v/>
      </c>
      <c r="P60" s="153" t="str">
        <f>IFERROR(OccupancyAssumptions[[#This Row],[ASHRAE 2007 Occupant Density
'[People/1000SF']]]*OccupancyAssumptions[[#This Row],[Area (sqft)]]/1000,"")</f>
        <v/>
      </c>
      <c r="Q60" s="20" t="str">
        <f>IF(OccupancyAssumptions[[#This Row],[ASHRAE 2007 Occupant Density
'[People/1000SF']]]="","",IF(OccupancyAssumptions[[#This Row],[ASHRAE 2007 Occupant Density
'[People/1000SF']]]&gt;=50,"YES","NO"))</f>
        <v/>
      </c>
      <c r="R60" s="152"/>
      <c r="S60" s="95" t="str">
        <f>IFERROR(INDEX('Raw Data - Occupancy'!$AI$7:$AN$85,MATCH(OccupancyAssumptions[[#This Row],[ASHRAE 2010 Space Type]],'Raw Data - Occupancy'!$AI$7:$AI$85,0),MATCH("Rp (CFM/per)",'Raw Data - Occupancy'!$AI$7:$AN$7,0)),"")</f>
        <v/>
      </c>
      <c r="T60" s="95" t="str">
        <f>IFERROR(INDEX('Raw Data - Occupancy'!$AI$7:$AN$85,MATCH(OccupancyAssumptions[[#This Row],[ASHRAE 2010 Space Type]],'Raw Data - Occupancy'!$AI$7:$AI$85,0),MATCH("Ra (cfm/ft2)",'Raw Data - Occupancy'!$AI$7:$AN$7,0)),"")</f>
        <v/>
      </c>
      <c r="U60" s="95" t="str">
        <f>IFERROR(INDEX('Raw Data - Occupancy'!$AI$7:$AN$85,MATCH(OccupancyAssumptions[[#This Row],[ASHRAE 2010 Space Type]],'Raw Data - Occupancy'!$AI$7:$AI$85,0),MATCH("#/1000 ft2 (#/100 m2)",'Raw Data - Occupancy'!$AI$7:$AN$7,0)),"")</f>
        <v/>
      </c>
      <c r="V60" s="153" t="str">
        <f>IFERROR(OccupancyAssumptions[[#This Row],[ASHRAE 2010 Occupant Density
'[People/1000SF']]]*OccupancyAssumptions[[#This Row],[Area (sqft)]]/1000,"")</f>
        <v/>
      </c>
      <c r="W60" s="20" t="str">
        <f>IF(OccupancyAssumptions[[#This Row],[ASHRAE 2010 Occupant Density
'[People/1000SF']]]="","",IF(OccupancyAssumptions[[#This Row],[ASHRAE 2010 Occupant Density
'[People/1000SF']]]&gt;=50,"YES","NO"))</f>
        <v/>
      </c>
      <c r="X60" s="152"/>
      <c r="Y60" s="95" t="str">
        <f>IFERROR(INDEX('Raw Data - Occupancy'!$AP$7:$AU$85,MATCH(OccupancyAssumptions[[#This Row],[ASHRAE 2013 Space Type]],'Raw Data - Occupancy'!$AP$7:$AP$85,0),MATCH("Rp (CFM/per)",'Raw Data - Occupancy'!$AP$7:$AU$7,0)),"")</f>
        <v/>
      </c>
      <c r="Z60" s="95" t="str">
        <f>IFERROR(INDEX('Raw Data - Occupancy'!$AP$7:$AU$85,MATCH(OccupancyAssumptions[[#This Row],[ASHRAE 2013 Space Type]],'Raw Data - Occupancy'!$AP$7:$AP$85,0),MATCH("Ra (cfm/ft2)",'Raw Data - Occupancy'!$AP$7:$AU$7,0)),"")</f>
        <v/>
      </c>
      <c r="AA60" s="95" t="str">
        <f>IFERROR(INDEX('Raw Data - Occupancy'!$AP$7:$AU$85,MATCH(OccupancyAssumptions[[#This Row],[ASHRAE 2013 Space Type]],'Raw Data - Occupancy'!$AP$7:$AP$85,0),MATCH("#/1000 ft2 (#/100 m2)",'Raw Data - Occupancy'!$AP$7:$AU$7,0)),"")</f>
        <v/>
      </c>
      <c r="AB60" s="153" t="str">
        <f>IFERROR(OccupancyAssumptions[[#This Row],[ASHRAE 2013 Occupant Density
'[People/1000SF']]]*OccupancyAssumptions[[#This Row],[Area (sqft)]]/1000,"")</f>
        <v/>
      </c>
      <c r="AC60" s="20" t="str">
        <f>IF(OccupancyAssumptions[[#This Row],[ASHRAE 2013 Occupant Density
'[People/1000SF']]]="","",IF(OccupancyAssumptions[[#This Row],[ASHRAE 2013 Occupant Density
'[People/1000SF']]]&gt;=50,"YES","NO"))</f>
        <v/>
      </c>
      <c r="AD60" s="152"/>
      <c r="AE60" s="95" t="str">
        <f>IFERROR(INDEX('Raw Data - Occupancy'!$AW$7:$BB$85,MATCH(OccupancyAssumptions[[#This Row],[ASHRAE 2016 Space Type]],'Raw Data - Occupancy'!$AW$7:$AW$85,0),MATCH("Rp (CFM/per)",'Raw Data - Occupancy'!$AW$7:$BB$7,0)),"")</f>
        <v/>
      </c>
      <c r="AF60" s="95" t="str">
        <f>IFERROR(INDEX('Raw Data - Occupancy'!$AW$7:$BB$85,MATCH(OccupancyAssumptions[[#This Row],[ASHRAE 2016 Space Type]],'Raw Data - Occupancy'!$AW$7:$AW$85,0),MATCH("Ra (cfm/ft2)",'Raw Data - Occupancy'!$AW$7:$BB$7,0)),"")</f>
        <v/>
      </c>
      <c r="AG60" s="95" t="str">
        <f>IFERROR(INDEX('Raw Data - Occupancy'!$AW$7:$BB$85,MATCH(OccupancyAssumptions[[#This Row],[ASHRAE 2016 Space Type]],'Raw Data - Occupancy'!$AW$7:$AW$85,0),MATCH("#/1000 ft2 (#/100 m2)",'Raw Data - Occupancy'!$AW$7:$BB$7,0)),"")</f>
        <v/>
      </c>
      <c r="AH60" s="153" t="str">
        <f>IFERROR(OccupancyAssumptions[[#This Row],[ASHRAE 2016 Occupant Density
'[People/1000SF']]]*OccupancyAssumptions[[#This Row],[Area (sqft)]]/1000,"")</f>
        <v/>
      </c>
      <c r="AI60" s="20" t="str">
        <f>IF(OccupancyAssumptions[[#This Row],[ASHRAE 2016 Occupant Density
'[People/1000SF']]]="","",IF(OccupancyAssumptions[[#This Row],[ASHRAE 2016 Occupant Density
'[People/1000SF']]]&gt;=50,"YES","NO"))</f>
        <v/>
      </c>
      <c r="AJ60" s="152"/>
      <c r="AK60" s="95" t="str">
        <f>IFERROR(INDEX('Raw Data - Occupancy'!$BD$7:$BI$85,MATCH(OccupancyAssumptions[[#This Row],[ASHRAE 2019 Space Type]],'Raw Data - Occupancy'!$BD$7:$BD$85,0),MATCH("Rp (CFM/per)",'Raw Data - Occupancy'!$BD$7:$BI$7,0)),"")</f>
        <v/>
      </c>
      <c r="AL60" s="95" t="str">
        <f>IFERROR(INDEX('Raw Data - Occupancy'!$BD$7:$BI$85,MATCH(OccupancyAssumptions[[#This Row],[ASHRAE 2019 Space Type]],'Raw Data - Occupancy'!$BD$7:$BD$85,0),MATCH("Ra (cfm/ft2)",'Raw Data - Occupancy'!$BD$7:$BI$7,0)),"")</f>
        <v/>
      </c>
      <c r="AM60" s="95" t="str">
        <f>IFERROR(INDEX('Raw Data - Occupancy'!$BD$7:$BI$85,MATCH(OccupancyAssumptions[[#This Row],[ASHRAE 2019 Space Type]],'Raw Data - Occupancy'!$BD$7:$BD$85,0),MATCH("#/1000 ft2 (#/100 m2)",'Raw Data - Occupancy'!$BD$7:$BI$7,0)),"")</f>
        <v/>
      </c>
      <c r="AN60" s="155" t="str">
        <f>IFERROR(OccupancyAssumptions[[#This Row],[ASHRAE 2019 Occupant Density
'[People/1000SF']]]*OccupancyAssumptions[[#This Row],[Area (sqft)]]/1000,"")</f>
        <v/>
      </c>
      <c r="AO60" s="156" t="str">
        <f>IF(OccupancyAssumptions[[#This Row],[ASHRAE 2019 Occupant Density
'[People/1000SF']]]="","",IF(OccupancyAssumptions[[#This Row],[ASHRAE 2019 Occupant Density
'[People/1000SF']]]&gt;=50,"YES","NO"))</f>
        <v/>
      </c>
      <c r="AP60" s="152" t="s">
        <v>214</v>
      </c>
      <c r="AQ60" s="154"/>
      <c r="AR60" s="154"/>
      <c r="AS60" s="471"/>
      <c r="AT60" s="471" t="str">
        <f>IFERROR(1000/OccupancyAssumptions[[#This Row],[Design Occupant Density '[SF/Person']]],"-")</f>
        <v>-</v>
      </c>
      <c r="AU60" s="156" t="str">
        <f>IF(OccupancyAssumptions[[#This Row],[Design Occupant Density
'[People/1000SF']]]="-","",IF(OccupancyAssumptions[[#This Row],[Design Occupant Density
'[People/1000SF']]]&gt;=50,"YES","NO"))</f>
        <v/>
      </c>
      <c r="AV60" s="26"/>
    </row>
    <row r="61" spans="2:48" x14ac:dyDescent="0.25">
      <c r="B61" s="18">
        <v>44</v>
      </c>
      <c r="C61" s="19" t="str">
        <f>IF('Master Room List'!R59="","",'Master Room List'!R59)</f>
        <v/>
      </c>
      <c r="D61" s="20" t="str">
        <f>IF(OccupancyAssumptions[[#This Row],[Space Type]]="","-",VLOOKUP(OccupancyAssumptions[[#This Row],[Space Type]],MasterRoomList_SpaceTypeSummary[[#All],[SpaceType]:[% of Total Area]],3,FALSE))</f>
        <v>-</v>
      </c>
      <c r="E61" s="152"/>
      <c r="F61" s="19" t="str">
        <f>IF(OccupancyAssumptions[[#This Row],[Space Type]]="","",INDEX('Raw Data - Occupancy'!$V$6:$Z$92,MATCH(OccupancyAssumptions[[#This Row],[Primary Function Area]],'Raw Data - Occupancy'!$V$6:$V$92,0),MATCH('Raw Data - Occupancy'!$W$6,'Raw Data - Occupancy'!$V$6:$Z$6,0)))</f>
        <v/>
      </c>
      <c r="G61" s="19" t="str">
        <f>IF(OccupancyAssumptions[[#This Row],[Space Type]]="","",INDEX('Raw Data - Occupancy'!$V$6:$Z$92,MATCH(OccupancyAssumptions[[#This Row],[Primary Function Area]],'Raw Data - Occupancy'!$V$6:$V$92,0),MATCH('Raw Data - Occupancy'!$X$6,'Raw Data - Occupancy'!$V$6:$Z$6,0)))</f>
        <v/>
      </c>
      <c r="H61" s="19" t="str">
        <f>IF(OccupancyAssumptions[[#This Row],[Space Type]]="","",15)</f>
        <v/>
      </c>
      <c r="I61" s="19" t="str">
        <f>IFERROR(INDEX('Raw Data - Occupancy'!$AW$7:$BB$85,MATCH(OccupancyAssumptions[[#This Row],[ASHRAE 2019 Space Type]],'Raw Data - Occupancy'!$AW$7:$AW$85,0),MATCH("#/1000 ft2 (#/100 m2)",'Raw Data - Occupancy'!$AW$7:$BB$7,0)),"")</f>
        <v/>
      </c>
      <c r="J61" s="153" t="str">
        <f>IFERROR(OccupancyAssumptions[[#This Row],[Occupant Density
'[People/1000SF']]]*OccupancyAssumptions[[#This Row],[Area (sqft)]]/1000,"")</f>
        <v/>
      </c>
      <c r="K61" s="20" t="str">
        <f>IF(OccupancyAssumptions[[#This Row],[Occupant Density
'[People/1000SF']]]="","",IF(OccupancyAssumptions[[#This Row],[Occupant Density
'[People/1000SF']]]&gt;=50,"YES","NO"))</f>
        <v/>
      </c>
      <c r="L61" s="152"/>
      <c r="M61" s="95" t="str">
        <f>IFERROR(INDEX('Raw Data - Occupancy'!$AB$7:$AG$85,MATCH(OccupancyAssumptions[[#This Row],[ASHRAE 2007 Space Type]],'Raw Data - Occupancy'!$AB$7:$AB$85,0),MATCH("Rp (CFM/per)",'Raw Data - Occupancy'!$AB$7:$AG$7,0)),"")</f>
        <v/>
      </c>
      <c r="N61" s="95" t="str">
        <f>IFERROR(INDEX('Raw Data - Occupancy'!$AB$7:$AG$85,MATCH(OccupancyAssumptions[[#This Row],[ASHRAE 2007 Space Type]],'Raw Data - Occupancy'!$AB$7:$AB$85,0),MATCH("Ra (cfm/ft2)",'Raw Data - Occupancy'!$AB$7:$AG$7,0)),"")</f>
        <v/>
      </c>
      <c r="O61" s="95" t="str">
        <f>IFERROR(INDEX('Raw Data - Occupancy'!$AB$7:$AG$85,MATCH(OccupancyAssumptions[[#This Row],[ASHRAE 2007 Space Type]],'Raw Data - Occupancy'!$AB$7:$AB$85,0),MATCH("#/1000 ft2 (#/100 m2)",'Raw Data - Occupancy'!$AB$7:$AG$7,0)),"")</f>
        <v/>
      </c>
      <c r="P61" s="153" t="str">
        <f>IFERROR(OccupancyAssumptions[[#This Row],[ASHRAE 2007 Occupant Density
'[People/1000SF']]]*OccupancyAssumptions[[#This Row],[Area (sqft)]]/1000,"")</f>
        <v/>
      </c>
      <c r="Q61" s="20" t="str">
        <f>IF(OccupancyAssumptions[[#This Row],[ASHRAE 2007 Occupant Density
'[People/1000SF']]]="","",IF(OccupancyAssumptions[[#This Row],[ASHRAE 2007 Occupant Density
'[People/1000SF']]]&gt;=50,"YES","NO"))</f>
        <v/>
      </c>
      <c r="R61" s="152"/>
      <c r="S61" s="95" t="str">
        <f>IFERROR(INDEX('Raw Data - Occupancy'!$AI$7:$AN$85,MATCH(OccupancyAssumptions[[#This Row],[ASHRAE 2010 Space Type]],'Raw Data - Occupancy'!$AI$7:$AI$85,0),MATCH("Rp (CFM/per)",'Raw Data - Occupancy'!$AI$7:$AN$7,0)),"")</f>
        <v/>
      </c>
      <c r="T61" s="95" t="str">
        <f>IFERROR(INDEX('Raw Data - Occupancy'!$AI$7:$AN$85,MATCH(OccupancyAssumptions[[#This Row],[ASHRAE 2010 Space Type]],'Raw Data - Occupancy'!$AI$7:$AI$85,0),MATCH("Ra (cfm/ft2)",'Raw Data - Occupancy'!$AI$7:$AN$7,0)),"")</f>
        <v/>
      </c>
      <c r="U61" s="95" t="str">
        <f>IFERROR(INDEX('Raw Data - Occupancy'!$AI$7:$AN$85,MATCH(OccupancyAssumptions[[#This Row],[ASHRAE 2010 Space Type]],'Raw Data - Occupancy'!$AI$7:$AI$85,0),MATCH("#/1000 ft2 (#/100 m2)",'Raw Data - Occupancy'!$AI$7:$AN$7,0)),"")</f>
        <v/>
      </c>
      <c r="V61" s="153" t="str">
        <f>IFERROR(OccupancyAssumptions[[#This Row],[ASHRAE 2010 Occupant Density
'[People/1000SF']]]*OccupancyAssumptions[[#This Row],[Area (sqft)]]/1000,"")</f>
        <v/>
      </c>
      <c r="W61" s="20" t="str">
        <f>IF(OccupancyAssumptions[[#This Row],[ASHRAE 2010 Occupant Density
'[People/1000SF']]]="","",IF(OccupancyAssumptions[[#This Row],[ASHRAE 2010 Occupant Density
'[People/1000SF']]]&gt;=50,"YES","NO"))</f>
        <v/>
      </c>
      <c r="X61" s="152"/>
      <c r="Y61" s="95" t="str">
        <f>IFERROR(INDEX('Raw Data - Occupancy'!$AP$7:$AU$85,MATCH(OccupancyAssumptions[[#This Row],[ASHRAE 2013 Space Type]],'Raw Data - Occupancy'!$AP$7:$AP$85,0),MATCH("Rp (CFM/per)",'Raw Data - Occupancy'!$AP$7:$AU$7,0)),"")</f>
        <v/>
      </c>
      <c r="Z61" s="95" t="str">
        <f>IFERROR(INDEX('Raw Data - Occupancy'!$AP$7:$AU$85,MATCH(OccupancyAssumptions[[#This Row],[ASHRAE 2013 Space Type]],'Raw Data - Occupancy'!$AP$7:$AP$85,0),MATCH("Ra (cfm/ft2)",'Raw Data - Occupancy'!$AP$7:$AU$7,0)),"")</f>
        <v/>
      </c>
      <c r="AA61" s="95" t="str">
        <f>IFERROR(INDEX('Raw Data - Occupancy'!$AP$7:$AU$85,MATCH(OccupancyAssumptions[[#This Row],[ASHRAE 2013 Space Type]],'Raw Data - Occupancy'!$AP$7:$AP$85,0),MATCH("#/1000 ft2 (#/100 m2)",'Raw Data - Occupancy'!$AP$7:$AU$7,0)),"")</f>
        <v/>
      </c>
      <c r="AB61" s="153" t="str">
        <f>IFERROR(OccupancyAssumptions[[#This Row],[ASHRAE 2013 Occupant Density
'[People/1000SF']]]*OccupancyAssumptions[[#This Row],[Area (sqft)]]/1000,"")</f>
        <v/>
      </c>
      <c r="AC61" s="20" t="str">
        <f>IF(OccupancyAssumptions[[#This Row],[ASHRAE 2013 Occupant Density
'[People/1000SF']]]="","",IF(OccupancyAssumptions[[#This Row],[ASHRAE 2013 Occupant Density
'[People/1000SF']]]&gt;=50,"YES","NO"))</f>
        <v/>
      </c>
      <c r="AD61" s="152"/>
      <c r="AE61" s="95" t="str">
        <f>IFERROR(INDEX('Raw Data - Occupancy'!$AW$7:$BB$85,MATCH(OccupancyAssumptions[[#This Row],[ASHRAE 2016 Space Type]],'Raw Data - Occupancy'!$AW$7:$AW$85,0),MATCH("Rp (CFM/per)",'Raw Data - Occupancy'!$AW$7:$BB$7,0)),"")</f>
        <v/>
      </c>
      <c r="AF61" s="95" t="str">
        <f>IFERROR(INDEX('Raw Data - Occupancy'!$AW$7:$BB$85,MATCH(OccupancyAssumptions[[#This Row],[ASHRAE 2016 Space Type]],'Raw Data - Occupancy'!$AW$7:$AW$85,0),MATCH("Ra (cfm/ft2)",'Raw Data - Occupancy'!$AW$7:$BB$7,0)),"")</f>
        <v/>
      </c>
      <c r="AG61" s="95" t="str">
        <f>IFERROR(INDEX('Raw Data - Occupancy'!$AW$7:$BB$85,MATCH(OccupancyAssumptions[[#This Row],[ASHRAE 2016 Space Type]],'Raw Data - Occupancy'!$AW$7:$AW$85,0),MATCH("#/1000 ft2 (#/100 m2)",'Raw Data - Occupancy'!$AW$7:$BB$7,0)),"")</f>
        <v/>
      </c>
      <c r="AH61" s="153" t="str">
        <f>IFERROR(OccupancyAssumptions[[#This Row],[ASHRAE 2016 Occupant Density
'[People/1000SF']]]*OccupancyAssumptions[[#This Row],[Area (sqft)]]/1000,"")</f>
        <v/>
      </c>
      <c r="AI61" s="20" t="str">
        <f>IF(OccupancyAssumptions[[#This Row],[ASHRAE 2016 Occupant Density
'[People/1000SF']]]="","",IF(OccupancyAssumptions[[#This Row],[ASHRAE 2016 Occupant Density
'[People/1000SF']]]&gt;=50,"YES","NO"))</f>
        <v/>
      </c>
      <c r="AJ61" s="152"/>
      <c r="AK61" s="95" t="str">
        <f>IFERROR(INDEX('Raw Data - Occupancy'!$BD$7:$BI$85,MATCH(OccupancyAssumptions[[#This Row],[ASHRAE 2019 Space Type]],'Raw Data - Occupancy'!$BD$7:$BD$85,0),MATCH("Rp (CFM/per)",'Raw Data - Occupancy'!$BD$7:$BI$7,0)),"")</f>
        <v/>
      </c>
      <c r="AL61" s="95" t="str">
        <f>IFERROR(INDEX('Raw Data - Occupancy'!$BD$7:$BI$85,MATCH(OccupancyAssumptions[[#This Row],[ASHRAE 2019 Space Type]],'Raw Data - Occupancy'!$BD$7:$BD$85,0),MATCH("Ra (cfm/ft2)",'Raw Data - Occupancy'!$BD$7:$BI$7,0)),"")</f>
        <v/>
      </c>
      <c r="AM61" s="95" t="str">
        <f>IFERROR(INDEX('Raw Data - Occupancy'!$BD$7:$BI$85,MATCH(OccupancyAssumptions[[#This Row],[ASHRAE 2019 Space Type]],'Raw Data - Occupancy'!$BD$7:$BD$85,0),MATCH("#/1000 ft2 (#/100 m2)",'Raw Data - Occupancy'!$BD$7:$BI$7,0)),"")</f>
        <v/>
      </c>
      <c r="AN61" s="155" t="str">
        <f>IFERROR(OccupancyAssumptions[[#This Row],[ASHRAE 2019 Occupant Density
'[People/1000SF']]]*OccupancyAssumptions[[#This Row],[Area (sqft)]]/1000,"")</f>
        <v/>
      </c>
      <c r="AO61" s="156" t="str">
        <f>IF(OccupancyAssumptions[[#This Row],[ASHRAE 2019 Occupant Density
'[People/1000SF']]]="","",IF(OccupancyAssumptions[[#This Row],[ASHRAE 2019 Occupant Density
'[People/1000SF']]]&gt;=50,"YES","NO"))</f>
        <v/>
      </c>
      <c r="AP61" s="152" t="s">
        <v>214</v>
      </c>
      <c r="AQ61" s="154"/>
      <c r="AR61" s="154"/>
      <c r="AS61" s="471"/>
      <c r="AT61" s="471" t="str">
        <f>IFERROR(1000/OccupancyAssumptions[[#This Row],[Design Occupant Density '[SF/Person']]],"-")</f>
        <v>-</v>
      </c>
      <c r="AU61" s="156" t="str">
        <f>IF(OccupancyAssumptions[[#This Row],[Design Occupant Density
'[People/1000SF']]]="-","",IF(OccupancyAssumptions[[#This Row],[Design Occupant Density
'[People/1000SF']]]&gt;=50,"YES","NO"))</f>
        <v/>
      </c>
      <c r="AV61" s="26"/>
    </row>
    <row r="62" spans="2:48" x14ac:dyDescent="0.25">
      <c r="B62" s="18">
        <v>45</v>
      </c>
      <c r="C62" s="19" t="str">
        <f>IF('Master Room List'!R60="","",'Master Room List'!R60)</f>
        <v/>
      </c>
      <c r="D62" s="20" t="str">
        <f>IF(OccupancyAssumptions[[#This Row],[Space Type]]="","-",VLOOKUP(OccupancyAssumptions[[#This Row],[Space Type]],MasterRoomList_SpaceTypeSummary[[#All],[SpaceType]:[% of Total Area]],3,FALSE))</f>
        <v>-</v>
      </c>
      <c r="E62" s="152"/>
      <c r="F62" s="19" t="str">
        <f>IF(OccupancyAssumptions[[#This Row],[Space Type]]="","",INDEX('Raw Data - Occupancy'!$V$6:$Z$92,MATCH(OccupancyAssumptions[[#This Row],[Primary Function Area]],'Raw Data - Occupancy'!$V$6:$V$92,0),MATCH('Raw Data - Occupancy'!$W$6,'Raw Data - Occupancy'!$V$6:$Z$6,0)))</f>
        <v/>
      </c>
      <c r="G62" s="19" t="str">
        <f>IF(OccupancyAssumptions[[#This Row],[Space Type]]="","",INDEX('Raw Data - Occupancy'!$V$6:$Z$92,MATCH(OccupancyAssumptions[[#This Row],[Primary Function Area]],'Raw Data - Occupancy'!$V$6:$V$92,0),MATCH('Raw Data - Occupancy'!$X$6,'Raw Data - Occupancy'!$V$6:$Z$6,0)))</f>
        <v/>
      </c>
      <c r="H62" s="19" t="str">
        <f>IF(OccupancyAssumptions[[#This Row],[Space Type]]="","",15)</f>
        <v/>
      </c>
      <c r="I62" s="19" t="str">
        <f>IFERROR(INDEX('Raw Data - Occupancy'!$AW$7:$BB$85,MATCH(OccupancyAssumptions[[#This Row],[ASHRAE 2019 Space Type]],'Raw Data - Occupancy'!$AW$7:$AW$85,0),MATCH("#/1000 ft2 (#/100 m2)",'Raw Data - Occupancy'!$AW$7:$BB$7,0)),"")</f>
        <v/>
      </c>
      <c r="J62" s="153" t="str">
        <f>IFERROR(OccupancyAssumptions[[#This Row],[Occupant Density
'[People/1000SF']]]*OccupancyAssumptions[[#This Row],[Area (sqft)]]/1000,"")</f>
        <v/>
      </c>
      <c r="K62" s="20" t="str">
        <f>IF(OccupancyAssumptions[[#This Row],[Occupant Density
'[People/1000SF']]]="","",IF(OccupancyAssumptions[[#This Row],[Occupant Density
'[People/1000SF']]]&gt;=50,"YES","NO"))</f>
        <v/>
      </c>
      <c r="L62" s="152"/>
      <c r="M62" s="95" t="str">
        <f>IFERROR(INDEX('Raw Data - Occupancy'!$AB$7:$AG$85,MATCH(OccupancyAssumptions[[#This Row],[ASHRAE 2007 Space Type]],'Raw Data - Occupancy'!$AB$7:$AB$85,0),MATCH("Rp (CFM/per)",'Raw Data - Occupancy'!$AB$7:$AG$7,0)),"")</f>
        <v/>
      </c>
      <c r="N62" s="95" t="str">
        <f>IFERROR(INDEX('Raw Data - Occupancy'!$AB$7:$AG$85,MATCH(OccupancyAssumptions[[#This Row],[ASHRAE 2007 Space Type]],'Raw Data - Occupancy'!$AB$7:$AB$85,0),MATCH("Ra (cfm/ft2)",'Raw Data - Occupancy'!$AB$7:$AG$7,0)),"")</f>
        <v/>
      </c>
      <c r="O62" s="95" t="str">
        <f>IFERROR(INDEX('Raw Data - Occupancy'!$AB$7:$AG$85,MATCH(OccupancyAssumptions[[#This Row],[ASHRAE 2007 Space Type]],'Raw Data - Occupancy'!$AB$7:$AB$85,0),MATCH("#/1000 ft2 (#/100 m2)",'Raw Data - Occupancy'!$AB$7:$AG$7,0)),"")</f>
        <v/>
      </c>
      <c r="P62" s="153" t="str">
        <f>IFERROR(OccupancyAssumptions[[#This Row],[ASHRAE 2007 Occupant Density
'[People/1000SF']]]*OccupancyAssumptions[[#This Row],[Area (sqft)]]/1000,"")</f>
        <v/>
      </c>
      <c r="Q62" s="20" t="str">
        <f>IF(OccupancyAssumptions[[#This Row],[ASHRAE 2007 Occupant Density
'[People/1000SF']]]="","",IF(OccupancyAssumptions[[#This Row],[ASHRAE 2007 Occupant Density
'[People/1000SF']]]&gt;=50,"YES","NO"))</f>
        <v/>
      </c>
      <c r="R62" s="152"/>
      <c r="S62" s="95" t="str">
        <f>IFERROR(INDEX('Raw Data - Occupancy'!$AI$7:$AN$85,MATCH(OccupancyAssumptions[[#This Row],[ASHRAE 2010 Space Type]],'Raw Data - Occupancy'!$AI$7:$AI$85,0),MATCH("Rp (CFM/per)",'Raw Data - Occupancy'!$AI$7:$AN$7,0)),"")</f>
        <v/>
      </c>
      <c r="T62" s="95" t="str">
        <f>IFERROR(INDEX('Raw Data - Occupancy'!$AI$7:$AN$85,MATCH(OccupancyAssumptions[[#This Row],[ASHRAE 2010 Space Type]],'Raw Data - Occupancy'!$AI$7:$AI$85,0),MATCH("Ra (cfm/ft2)",'Raw Data - Occupancy'!$AI$7:$AN$7,0)),"")</f>
        <v/>
      </c>
      <c r="U62" s="95" t="str">
        <f>IFERROR(INDEX('Raw Data - Occupancy'!$AI$7:$AN$85,MATCH(OccupancyAssumptions[[#This Row],[ASHRAE 2010 Space Type]],'Raw Data - Occupancy'!$AI$7:$AI$85,0),MATCH("#/1000 ft2 (#/100 m2)",'Raw Data - Occupancy'!$AI$7:$AN$7,0)),"")</f>
        <v/>
      </c>
      <c r="V62" s="153" t="str">
        <f>IFERROR(OccupancyAssumptions[[#This Row],[ASHRAE 2010 Occupant Density
'[People/1000SF']]]*OccupancyAssumptions[[#This Row],[Area (sqft)]]/1000,"")</f>
        <v/>
      </c>
      <c r="W62" s="20" t="str">
        <f>IF(OccupancyAssumptions[[#This Row],[ASHRAE 2010 Occupant Density
'[People/1000SF']]]="","",IF(OccupancyAssumptions[[#This Row],[ASHRAE 2010 Occupant Density
'[People/1000SF']]]&gt;=50,"YES","NO"))</f>
        <v/>
      </c>
      <c r="X62" s="152"/>
      <c r="Y62" s="95" t="str">
        <f>IFERROR(INDEX('Raw Data - Occupancy'!$AP$7:$AU$85,MATCH(OccupancyAssumptions[[#This Row],[ASHRAE 2013 Space Type]],'Raw Data - Occupancy'!$AP$7:$AP$85,0),MATCH("Rp (CFM/per)",'Raw Data - Occupancy'!$AP$7:$AU$7,0)),"")</f>
        <v/>
      </c>
      <c r="Z62" s="95" t="str">
        <f>IFERROR(INDEX('Raw Data - Occupancy'!$AP$7:$AU$85,MATCH(OccupancyAssumptions[[#This Row],[ASHRAE 2013 Space Type]],'Raw Data - Occupancy'!$AP$7:$AP$85,0),MATCH("Ra (cfm/ft2)",'Raw Data - Occupancy'!$AP$7:$AU$7,0)),"")</f>
        <v/>
      </c>
      <c r="AA62" s="95" t="str">
        <f>IFERROR(INDEX('Raw Data - Occupancy'!$AP$7:$AU$85,MATCH(OccupancyAssumptions[[#This Row],[ASHRAE 2013 Space Type]],'Raw Data - Occupancy'!$AP$7:$AP$85,0),MATCH("#/1000 ft2 (#/100 m2)",'Raw Data - Occupancy'!$AP$7:$AU$7,0)),"")</f>
        <v/>
      </c>
      <c r="AB62" s="153" t="str">
        <f>IFERROR(OccupancyAssumptions[[#This Row],[ASHRAE 2013 Occupant Density
'[People/1000SF']]]*OccupancyAssumptions[[#This Row],[Area (sqft)]]/1000,"")</f>
        <v/>
      </c>
      <c r="AC62" s="20" t="str">
        <f>IF(OccupancyAssumptions[[#This Row],[ASHRAE 2013 Occupant Density
'[People/1000SF']]]="","",IF(OccupancyAssumptions[[#This Row],[ASHRAE 2013 Occupant Density
'[People/1000SF']]]&gt;=50,"YES","NO"))</f>
        <v/>
      </c>
      <c r="AD62" s="152"/>
      <c r="AE62" s="95" t="str">
        <f>IFERROR(INDEX('Raw Data - Occupancy'!$AW$7:$BB$85,MATCH(OccupancyAssumptions[[#This Row],[ASHRAE 2016 Space Type]],'Raw Data - Occupancy'!$AW$7:$AW$85,0),MATCH("Rp (CFM/per)",'Raw Data - Occupancy'!$AW$7:$BB$7,0)),"")</f>
        <v/>
      </c>
      <c r="AF62" s="95" t="str">
        <f>IFERROR(INDEX('Raw Data - Occupancy'!$AW$7:$BB$85,MATCH(OccupancyAssumptions[[#This Row],[ASHRAE 2016 Space Type]],'Raw Data - Occupancy'!$AW$7:$AW$85,0),MATCH("Ra (cfm/ft2)",'Raw Data - Occupancy'!$AW$7:$BB$7,0)),"")</f>
        <v/>
      </c>
      <c r="AG62" s="95" t="str">
        <f>IFERROR(INDEX('Raw Data - Occupancy'!$AW$7:$BB$85,MATCH(OccupancyAssumptions[[#This Row],[ASHRAE 2016 Space Type]],'Raw Data - Occupancy'!$AW$7:$AW$85,0),MATCH("#/1000 ft2 (#/100 m2)",'Raw Data - Occupancy'!$AW$7:$BB$7,0)),"")</f>
        <v/>
      </c>
      <c r="AH62" s="153" t="str">
        <f>IFERROR(OccupancyAssumptions[[#This Row],[ASHRAE 2016 Occupant Density
'[People/1000SF']]]*OccupancyAssumptions[[#This Row],[Area (sqft)]]/1000,"")</f>
        <v/>
      </c>
      <c r="AI62" s="20" t="str">
        <f>IF(OccupancyAssumptions[[#This Row],[ASHRAE 2016 Occupant Density
'[People/1000SF']]]="","",IF(OccupancyAssumptions[[#This Row],[ASHRAE 2016 Occupant Density
'[People/1000SF']]]&gt;=50,"YES","NO"))</f>
        <v/>
      </c>
      <c r="AJ62" s="152"/>
      <c r="AK62" s="95" t="str">
        <f>IFERROR(INDEX('Raw Data - Occupancy'!$BD$7:$BI$85,MATCH(OccupancyAssumptions[[#This Row],[ASHRAE 2019 Space Type]],'Raw Data - Occupancy'!$BD$7:$BD$85,0),MATCH("Rp (CFM/per)",'Raw Data - Occupancy'!$BD$7:$BI$7,0)),"")</f>
        <v/>
      </c>
      <c r="AL62" s="95" t="str">
        <f>IFERROR(INDEX('Raw Data - Occupancy'!$BD$7:$BI$85,MATCH(OccupancyAssumptions[[#This Row],[ASHRAE 2019 Space Type]],'Raw Data - Occupancy'!$BD$7:$BD$85,0),MATCH("Ra (cfm/ft2)",'Raw Data - Occupancy'!$BD$7:$BI$7,0)),"")</f>
        <v/>
      </c>
      <c r="AM62" s="95" t="str">
        <f>IFERROR(INDEX('Raw Data - Occupancy'!$BD$7:$BI$85,MATCH(OccupancyAssumptions[[#This Row],[ASHRAE 2019 Space Type]],'Raw Data - Occupancy'!$BD$7:$BD$85,0),MATCH("#/1000 ft2 (#/100 m2)",'Raw Data - Occupancy'!$BD$7:$BI$7,0)),"")</f>
        <v/>
      </c>
      <c r="AN62" s="155" t="str">
        <f>IFERROR(OccupancyAssumptions[[#This Row],[ASHRAE 2019 Occupant Density
'[People/1000SF']]]*OccupancyAssumptions[[#This Row],[Area (sqft)]]/1000,"")</f>
        <v/>
      </c>
      <c r="AO62" s="156" t="str">
        <f>IF(OccupancyAssumptions[[#This Row],[ASHRAE 2019 Occupant Density
'[People/1000SF']]]="","",IF(OccupancyAssumptions[[#This Row],[ASHRAE 2019 Occupant Density
'[People/1000SF']]]&gt;=50,"YES","NO"))</f>
        <v/>
      </c>
      <c r="AP62" s="152" t="s">
        <v>214</v>
      </c>
      <c r="AQ62" s="154"/>
      <c r="AR62" s="154"/>
      <c r="AS62" s="471"/>
      <c r="AT62" s="471" t="str">
        <f>IFERROR(1000/OccupancyAssumptions[[#This Row],[Design Occupant Density '[SF/Person']]],"-")</f>
        <v>-</v>
      </c>
      <c r="AU62" s="156" t="str">
        <f>IF(OccupancyAssumptions[[#This Row],[Design Occupant Density
'[People/1000SF']]]="-","",IF(OccupancyAssumptions[[#This Row],[Design Occupant Density
'[People/1000SF']]]&gt;=50,"YES","NO"))</f>
        <v/>
      </c>
      <c r="AV62" s="26"/>
    </row>
    <row r="63" spans="2:48" x14ac:dyDescent="0.25">
      <c r="B63" s="18">
        <v>46</v>
      </c>
      <c r="C63" s="19" t="str">
        <f>IF('Master Room List'!R61="","",'Master Room List'!R61)</f>
        <v/>
      </c>
      <c r="D63" s="20" t="str">
        <f>IF(OccupancyAssumptions[[#This Row],[Space Type]]="","-",VLOOKUP(OccupancyAssumptions[[#This Row],[Space Type]],MasterRoomList_SpaceTypeSummary[[#All],[SpaceType]:[% of Total Area]],3,FALSE))</f>
        <v>-</v>
      </c>
      <c r="E63" s="152"/>
      <c r="F63" s="19" t="str">
        <f>IF(OccupancyAssumptions[[#This Row],[Space Type]]="","",INDEX('Raw Data - Occupancy'!$V$6:$Z$92,MATCH(OccupancyAssumptions[[#This Row],[Primary Function Area]],'Raw Data - Occupancy'!$V$6:$V$92,0),MATCH('Raw Data - Occupancy'!$W$6,'Raw Data - Occupancy'!$V$6:$Z$6,0)))</f>
        <v/>
      </c>
      <c r="G63" s="19" t="str">
        <f>IF(OccupancyAssumptions[[#This Row],[Space Type]]="","",INDEX('Raw Data - Occupancy'!$V$6:$Z$92,MATCH(OccupancyAssumptions[[#This Row],[Primary Function Area]],'Raw Data - Occupancy'!$V$6:$V$92,0),MATCH('Raw Data - Occupancy'!$X$6,'Raw Data - Occupancy'!$V$6:$Z$6,0)))</f>
        <v/>
      </c>
      <c r="H63" s="19" t="str">
        <f>IF(OccupancyAssumptions[[#This Row],[Space Type]]="","",15)</f>
        <v/>
      </c>
      <c r="I63" s="19" t="str">
        <f>IFERROR(INDEX('Raw Data - Occupancy'!$AW$7:$BB$85,MATCH(OccupancyAssumptions[[#This Row],[ASHRAE 2019 Space Type]],'Raw Data - Occupancy'!$AW$7:$AW$85,0),MATCH("#/1000 ft2 (#/100 m2)",'Raw Data - Occupancy'!$AW$7:$BB$7,0)),"")</f>
        <v/>
      </c>
      <c r="J63" s="153" t="str">
        <f>IFERROR(OccupancyAssumptions[[#This Row],[Occupant Density
'[People/1000SF']]]*OccupancyAssumptions[[#This Row],[Area (sqft)]]/1000,"")</f>
        <v/>
      </c>
      <c r="K63" s="20" t="str">
        <f>IF(OccupancyAssumptions[[#This Row],[Occupant Density
'[People/1000SF']]]="","",IF(OccupancyAssumptions[[#This Row],[Occupant Density
'[People/1000SF']]]&gt;=50,"YES","NO"))</f>
        <v/>
      </c>
      <c r="L63" s="152"/>
      <c r="M63" s="95" t="str">
        <f>IFERROR(INDEX('Raw Data - Occupancy'!$AB$7:$AG$85,MATCH(OccupancyAssumptions[[#This Row],[ASHRAE 2007 Space Type]],'Raw Data - Occupancy'!$AB$7:$AB$85,0),MATCH("Rp (CFM/per)",'Raw Data - Occupancy'!$AB$7:$AG$7,0)),"")</f>
        <v/>
      </c>
      <c r="N63" s="95" t="str">
        <f>IFERROR(INDEX('Raw Data - Occupancy'!$AB$7:$AG$85,MATCH(OccupancyAssumptions[[#This Row],[ASHRAE 2007 Space Type]],'Raw Data - Occupancy'!$AB$7:$AB$85,0),MATCH("Ra (cfm/ft2)",'Raw Data - Occupancy'!$AB$7:$AG$7,0)),"")</f>
        <v/>
      </c>
      <c r="O63" s="95" t="str">
        <f>IFERROR(INDEX('Raw Data - Occupancy'!$AB$7:$AG$85,MATCH(OccupancyAssumptions[[#This Row],[ASHRAE 2007 Space Type]],'Raw Data - Occupancy'!$AB$7:$AB$85,0),MATCH("#/1000 ft2 (#/100 m2)",'Raw Data - Occupancy'!$AB$7:$AG$7,0)),"")</f>
        <v/>
      </c>
      <c r="P63" s="153" t="str">
        <f>IFERROR(OccupancyAssumptions[[#This Row],[ASHRAE 2007 Occupant Density
'[People/1000SF']]]*OccupancyAssumptions[[#This Row],[Area (sqft)]]/1000,"")</f>
        <v/>
      </c>
      <c r="Q63" s="20" t="str">
        <f>IF(OccupancyAssumptions[[#This Row],[ASHRAE 2007 Occupant Density
'[People/1000SF']]]="","",IF(OccupancyAssumptions[[#This Row],[ASHRAE 2007 Occupant Density
'[People/1000SF']]]&gt;=50,"YES","NO"))</f>
        <v/>
      </c>
      <c r="R63" s="152"/>
      <c r="S63" s="95" t="str">
        <f>IFERROR(INDEX('Raw Data - Occupancy'!$AI$7:$AN$85,MATCH(OccupancyAssumptions[[#This Row],[ASHRAE 2010 Space Type]],'Raw Data - Occupancy'!$AI$7:$AI$85,0),MATCH("Rp (CFM/per)",'Raw Data - Occupancy'!$AI$7:$AN$7,0)),"")</f>
        <v/>
      </c>
      <c r="T63" s="95" t="str">
        <f>IFERROR(INDEX('Raw Data - Occupancy'!$AI$7:$AN$85,MATCH(OccupancyAssumptions[[#This Row],[ASHRAE 2010 Space Type]],'Raw Data - Occupancy'!$AI$7:$AI$85,0),MATCH("Ra (cfm/ft2)",'Raw Data - Occupancy'!$AI$7:$AN$7,0)),"")</f>
        <v/>
      </c>
      <c r="U63" s="95" t="str">
        <f>IFERROR(INDEX('Raw Data - Occupancy'!$AI$7:$AN$85,MATCH(OccupancyAssumptions[[#This Row],[ASHRAE 2010 Space Type]],'Raw Data - Occupancy'!$AI$7:$AI$85,0),MATCH("#/1000 ft2 (#/100 m2)",'Raw Data - Occupancy'!$AI$7:$AN$7,0)),"")</f>
        <v/>
      </c>
      <c r="V63" s="153" t="str">
        <f>IFERROR(OccupancyAssumptions[[#This Row],[ASHRAE 2010 Occupant Density
'[People/1000SF']]]*OccupancyAssumptions[[#This Row],[Area (sqft)]]/1000,"")</f>
        <v/>
      </c>
      <c r="W63" s="20" t="str">
        <f>IF(OccupancyAssumptions[[#This Row],[ASHRAE 2010 Occupant Density
'[People/1000SF']]]="","",IF(OccupancyAssumptions[[#This Row],[ASHRAE 2010 Occupant Density
'[People/1000SF']]]&gt;=50,"YES","NO"))</f>
        <v/>
      </c>
      <c r="X63" s="152"/>
      <c r="Y63" s="95" t="str">
        <f>IFERROR(INDEX('Raw Data - Occupancy'!$AP$7:$AU$85,MATCH(OccupancyAssumptions[[#This Row],[ASHRAE 2013 Space Type]],'Raw Data - Occupancy'!$AP$7:$AP$85,0),MATCH("Rp (CFM/per)",'Raw Data - Occupancy'!$AP$7:$AU$7,0)),"")</f>
        <v/>
      </c>
      <c r="Z63" s="95" t="str">
        <f>IFERROR(INDEX('Raw Data - Occupancy'!$AP$7:$AU$85,MATCH(OccupancyAssumptions[[#This Row],[ASHRAE 2013 Space Type]],'Raw Data - Occupancy'!$AP$7:$AP$85,0),MATCH("Ra (cfm/ft2)",'Raw Data - Occupancy'!$AP$7:$AU$7,0)),"")</f>
        <v/>
      </c>
      <c r="AA63" s="95" t="str">
        <f>IFERROR(INDEX('Raw Data - Occupancy'!$AP$7:$AU$85,MATCH(OccupancyAssumptions[[#This Row],[ASHRAE 2013 Space Type]],'Raw Data - Occupancy'!$AP$7:$AP$85,0),MATCH("#/1000 ft2 (#/100 m2)",'Raw Data - Occupancy'!$AP$7:$AU$7,0)),"")</f>
        <v/>
      </c>
      <c r="AB63" s="153" t="str">
        <f>IFERROR(OccupancyAssumptions[[#This Row],[ASHRAE 2013 Occupant Density
'[People/1000SF']]]*OccupancyAssumptions[[#This Row],[Area (sqft)]]/1000,"")</f>
        <v/>
      </c>
      <c r="AC63" s="20" t="str">
        <f>IF(OccupancyAssumptions[[#This Row],[ASHRAE 2013 Occupant Density
'[People/1000SF']]]="","",IF(OccupancyAssumptions[[#This Row],[ASHRAE 2013 Occupant Density
'[People/1000SF']]]&gt;=50,"YES","NO"))</f>
        <v/>
      </c>
      <c r="AD63" s="152"/>
      <c r="AE63" s="95" t="str">
        <f>IFERROR(INDEX('Raw Data - Occupancy'!$AW$7:$BB$85,MATCH(OccupancyAssumptions[[#This Row],[ASHRAE 2016 Space Type]],'Raw Data - Occupancy'!$AW$7:$AW$85,0),MATCH("Rp (CFM/per)",'Raw Data - Occupancy'!$AW$7:$BB$7,0)),"")</f>
        <v/>
      </c>
      <c r="AF63" s="95" t="str">
        <f>IFERROR(INDEX('Raw Data - Occupancy'!$AW$7:$BB$85,MATCH(OccupancyAssumptions[[#This Row],[ASHRAE 2016 Space Type]],'Raw Data - Occupancy'!$AW$7:$AW$85,0),MATCH("Ra (cfm/ft2)",'Raw Data - Occupancy'!$AW$7:$BB$7,0)),"")</f>
        <v/>
      </c>
      <c r="AG63" s="95" t="str">
        <f>IFERROR(INDEX('Raw Data - Occupancy'!$AW$7:$BB$85,MATCH(OccupancyAssumptions[[#This Row],[ASHRAE 2016 Space Type]],'Raw Data - Occupancy'!$AW$7:$AW$85,0),MATCH("#/1000 ft2 (#/100 m2)",'Raw Data - Occupancy'!$AW$7:$BB$7,0)),"")</f>
        <v/>
      </c>
      <c r="AH63" s="153" t="str">
        <f>IFERROR(OccupancyAssumptions[[#This Row],[ASHRAE 2016 Occupant Density
'[People/1000SF']]]*OccupancyAssumptions[[#This Row],[Area (sqft)]]/1000,"")</f>
        <v/>
      </c>
      <c r="AI63" s="20" t="str">
        <f>IF(OccupancyAssumptions[[#This Row],[ASHRAE 2016 Occupant Density
'[People/1000SF']]]="","",IF(OccupancyAssumptions[[#This Row],[ASHRAE 2016 Occupant Density
'[People/1000SF']]]&gt;=50,"YES","NO"))</f>
        <v/>
      </c>
      <c r="AJ63" s="152"/>
      <c r="AK63" s="95" t="str">
        <f>IFERROR(INDEX('Raw Data - Occupancy'!$BD$7:$BI$85,MATCH(OccupancyAssumptions[[#This Row],[ASHRAE 2019 Space Type]],'Raw Data - Occupancy'!$BD$7:$BD$85,0),MATCH("Rp (CFM/per)",'Raw Data - Occupancy'!$BD$7:$BI$7,0)),"")</f>
        <v/>
      </c>
      <c r="AL63" s="95" t="str">
        <f>IFERROR(INDEX('Raw Data - Occupancy'!$BD$7:$BI$85,MATCH(OccupancyAssumptions[[#This Row],[ASHRAE 2019 Space Type]],'Raw Data - Occupancy'!$BD$7:$BD$85,0),MATCH("Ra (cfm/ft2)",'Raw Data - Occupancy'!$BD$7:$BI$7,0)),"")</f>
        <v/>
      </c>
      <c r="AM63" s="95" t="str">
        <f>IFERROR(INDEX('Raw Data - Occupancy'!$BD$7:$BI$85,MATCH(OccupancyAssumptions[[#This Row],[ASHRAE 2019 Space Type]],'Raw Data - Occupancy'!$BD$7:$BD$85,0),MATCH("#/1000 ft2 (#/100 m2)",'Raw Data - Occupancy'!$BD$7:$BI$7,0)),"")</f>
        <v/>
      </c>
      <c r="AN63" s="155" t="str">
        <f>IFERROR(OccupancyAssumptions[[#This Row],[ASHRAE 2019 Occupant Density
'[People/1000SF']]]*OccupancyAssumptions[[#This Row],[Area (sqft)]]/1000,"")</f>
        <v/>
      </c>
      <c r="AO63" s="156" t="str">
        <f>IF(OccupancyAssumptions[[#This Row],[ASHRAE 2019 Occupant Density
'[People/1000SF']]]="","",IF(OccupancyAssumptions[[#This Row],[ASHRAE 2019 Occupant Density
'[People/1000SF']]]&gt;=50,"YES","NO"))</f>
        <v/>
      </c>
      <c r="AP63" s="152" t="s">
        <v>214</v>
      </c>
      <c r="AQ63" s="154"/>
      <c r="AR63" s="154"/>
      <c r="AS63" s="471"/>
      <c r="AT63" s="471" t="str">
        <f>IFERROR(1000/OccupancyAssumptions[[#This Row],[Design Occupant Density '[SF/Person']]],"-")</f>
        <v>-</v>
      </c>
      <c r="AU63" s="156" t="str">
        <f>IF(OccupancyAssumptions[[#This Row],[Design Occupant Density
'[People/1000SF']]]="-","",IF(OccupancyAssumptions[[#This Row],[Design Occupant Density
'[People/1000SF']]]&gt;=50,"YES","NO"))</f>
        <v/>
      </c>
      <c r="AV63" s="26"/>
    </row>
    <row r="64" spans="2:48" x14ac:dyDescent="0.25">
      <c r="B64" s="18">
        <v>47</v>
      </c>
      <c r="C64" s="19" t="str">
        <f>IF('Master Room List'!R62="","",'Master Room List'!R62)</f>
        <v/>
      </c>
      <c r="D64" s="20" t="str">
        <f>IF(OccupancyAssumptions[[#This Row],[Space Type]]="","-",VLOOKUP(OccupancyAssumptions[[#This Row],[Space Type]],MasterRoomList_SpaceTypeSummary[[#All],[SpaceType]:[% of Total Area]],3,FALSE))</f>
        <v>-</v>
      </c>
      <c r="E64" s="152"/>
      <c r="F64" s="19" t="str">
        <f>IF(OccupancyAssumptions[[#This Row],[Space Type]]="","",INDEX('Raw Data - Occupancy'!$V$6:$Z$92,MATCH(OccupancyAssumptions[[#This Row],[Primary Function Area]],'Raw Data - Occupancy'!$V$6:$V$92,0),MATCH('Raw Data - Occupancy'!$W$6,'Raw Data - Occupancy'!$V$6:$Z$6,0)))</f>
        <v/>
      </c>
      <c r="G64" s="19" t="str">
        <f>IF(OccupancyAssumptions[[#This Row],[Space Type]]="","",INDEX('Raw Data - Occupancy'!$V$6:$Z$92,MATCH(OccupancyAssumptions[[#This Row],[Primary Function Area]],'Raw Data - Occupancy'!$V$6:$V$92,0),MATCH('Raw Data - Occupancy'!$X$6,'Raw Data - Occupancy'!$V$6:$Z$6,0)))</f>
        <v/>
      </c>
      <c r="H64" s="19" t="str">
        <f>IF(OccupancyAssumptions[[#This Row],[Space Type]]="","",15)</f>
        <v/>
      </c>
      <c r="I64" s="19" t="str">
        <f>IFERROR(INDEX('Raw Data - Occupancy'!$AW$7:$BB$85,MATCH(OccupancyAssumptions[[#This Row],[ASHRAE 2019 Space Type]],'Raw Data - Occupancy'!$AW$7:$AW$85,0),MATCH("#/1000 ft2 (#/100 m2)",'Raw Data - Occupancy'!$AW$7:$BB$7,0)),"")</f>
        <v/>
      </c>
      <c r="J64" s="153" t="str">
        <f>IFERROR(OccupancyAssumptions[[#This Row],[Occupant Density
'[People/1000SF']]]*OccupancyAssumptions[[#This Row],[Area (sqft)]]/1000,"")</f>
        <v/>
      </c>
      <c r="K64" s="20" t="str">
        <f>IF(OccupancyAssumptions[[#This Row],[Occupant Density
'[People/1000SF']]]="","",IF(OccupancyAssumptions[[#This Row],[Occupant Density
'[People/1000SF']]]&gt;=50,"YES","NO"))</f>
        <v/>
      </c>
      <c r="L64" s="152"/>
      <c r="M64" s="95" t="str">
        <f>IFERROR(INDEX('Raw Data - Occupancy'!$AB$7:$AG$85,MATCH(OccupancyAssumptions[[#This Row],[ASHRAE 2007 Space Type]],'Raw Data - Occupancy'!$AB$7:$AB$85,0),MATCH("Rp (CFM/per)",'Raw Data - Occupancy'!$AB$7:$AG$7,0)),"")</f>
        <v/>
      </c>
      <c r="N64" s="95" t="str">
        <f>IFERROR(INDEX('Raw Data - Occupancy'!$AB$7:$AG$85,MATCH(OccupancyAssumptions[[#This Row],[ASHRAE 2007 Space Type]],'Raw Data - Occupancy'!$AB$7:$AB$85,0),MATCH("Ra (cfm/ft2)",'Raw Data - Occupancy'!$AB$7:$AG$7,0)),"")</f>
        <v/>
      </c>
      <c r="O64" s="95" t="str">
        <f>IFERROR(INDEX('Raw Data - Occupancy'!$AB$7:$AG$85,MATCH(OccupancyAssumptions[[#This Row],[ASHRAE 2007 Space Type]],'Raw Data - Occupancy'!$AB$7:$AB$85,0),MATCH("#/1000 ft2 (#/100 m2)",'Raw Data - Occupancy'!$AB$7:$AG$7,0)),"")</f>
        <v/>
      </c>
      <c r="P64" s="153" t="str">
        <f>IFERROR(OccupancyAssumptions[[#This Row],[ASHRAE 2007 Occupant Density
'[People/1000SF']]]*OccupancyAssumptions[[#This Row],[Area (sqft)]]/1000,"")</f>
        <v/>
      </c>
      <c r="Q64" s="20" t="str">
        <f>IF(OccupancyAssumptions[[#This Row],[ASHRAE 2007 Occupant Density
'[People/1000SF']]]="","",IF(OccupancyAssumptions[[#This Row],[ASHRAE 2007 Occupant Density
'[People/1000SF']]]&gt;=50,"YES","NO"))</f>
        <v/>
      </c>
      <c r="R64" s="152"/>
      <c r="S64" s="95" t="str">
        <f>IFERROR(INDEX('Raw Data - Occupancy'!$AI$7:$AN$85,MATCH(OccupancyAssumptions[[#This Row],[ASHRAE 2010 Space Type]],'Raw Data - Occupancy'!$AI$7:$AI$85,0),MATCH("Rp (CFM/per)",'Raw Data - Occupancy'!$AI$7:$AN$7,0)),"")</f>
        <v/>
      </c>
      <c r="T64" s="95" t="str">
        <f>IFERROR(INDEX('Raw Data - Occupancy'!$AI$7:$AN$85,MATCH(OccupancyAssumptions[[#This Row],[ASHRAE 2010 Space Type]],'Raw Data - Occupancy'!$AI$7:$AI$85,0),MATCH("Ra (cfm/ft2)",'Raw Data - Occupancy'!$AI$7:$AN$7,0)),"")</f>
        <v/>
      </c>
      <c r="U64" s="95" t="str">
        <f>IFERROR(INDEX('Raw Data - Occupancy'!$AI$7:$AN$85,MATCH(OccupancyAssumptions[[#This Row],[ASHRAE 2010 Space Type]],'Raw Data - Occupancy'!$AI$7:$AI$85,0),MATCH("#/1000 ft2 (#/100 m2)",'Raw Data - Occupancy'!$AI$7:$AN$7,0)),"")</f>
        <v/>
      </c>
      <c r="V64" s="153" t="str">
        <f>IFERROR(OccupancyAssumptions[[#This Row],[ASHRAE 2010 Occupant Density
'[People/1000SF']]]*OccupancyAssumptions[[#This Row],[Area (sqft)]]/1000,"")</f>
        <v/>
      </c>
      <c r="W64" s="20" t="str">
        <f>IF(OccupancyAssumptions[[#This Row],[ASHRAE 2010 Occupant Density
'[People/1000SF']]]="","",IF(OccupancyAssumptions[[#This Row],[ASHRAE 2010 Occupant Density
'[People/1000SF']]]&gt;=50,"YES","NO"))</f>
        <v/>
      </c>
      <c r="X64" s="152"/>
      <c r="Y64" s="95" t="str">
        <f>IFERROR(INDEX('Raw Data - Occupancy'!$AP$7:$AU$85,MATCH(OccupancyAssumptions[[#This Row],[ASHRAE 2013 Space Type]],'Raw Data - Occupancy'!$AP$7:$AP$85,0),MATCH("Rp (CFM/per)",'Raw Data - Occupancy'!$AP$7:$AU$7,0)),"")</f>
        <v/>
      </c>
      <c r="Z64" s="95" t="str">
        <f>IFERROR(INDEX('Raw Data - Occupancy'!$AP$7:$AU$85,MATCH(OccupancyAssumptions[[#This Row],[ASHRAE 2013 Space Type]],'Raw Data - Occupancy'!$AP$7:$AP$85,0),MATCH("Ra (cfm/ft2)",'Raw Data - Occupancy'!$AP$7:$AU$7,0)),"")</f>
        <v/>
      </c>
      <c r="AA64" s="95" t="str">
        <f>IFERROR(INDEX('Raw Data - Occupancy'!$AP$7:$AU$85,MATCH(OccupancyAssumptions[[#This Row],[ASHRAE 2013 Space Type]],'Raw Data - Occupancy'!$AP$7:$AP$85,0),MATCH("#/1000 ft2 (#/100 m2)",'Raw Data - Occupancy'!$AP$7:$AU$7,0)),"")</f>
        <v/>
      </c>
      <c r="AB64" s="153" t="str">
        <f>IFERROR(OccupancyAssumptions[[#This Row],[ASHRAE 2013 Occupant Density
'[People/1000SF']]]*OccupancyAssumptions[[#This Row],[Area (sqft)]]/1000,"")</f>
        <v/>
      </c>
      <c r="AC64" s="20" t="str">
        <f>IF(OccupancyAssumptions[[#This Row],[ASHRAE 2013 Occupant Density
'[People/1000SF']]]="","",IF(OccupancyAssumptions[[#This Row],[ASHRAE 2013 Occupant Density
'[People/1000SF']]]&gt;=50,"YES","NO"))</f>
        <v/>
      </c>
      <c r="AD64" s="152"/>
      <c r="AE64" s="95" t="str">
        <f>IFERROR(INDEX('Raw Data - Occupancy'!$AW$7:$BB$85,MATCH(OccupancyAssumptions[[#This Row],[ASHRAE 2016 Space Type]],'Raw Data - Occupancy'!$AW$7:$AW$85,0),MATCH("Rp (CFM/per)",'Raw Data - Occupancy'!$AW$7:$BB$7,0)),"")</f>
        <v/>
      </c>
      <c r="AF64" s="95" t="str">
        <f>IFERROR(INDEX('Raw Data - Occupancy'!$AW$7:$BB$85,MATCH(OccupancyAssumptions[[#This Row],[ASHRAE 2016 Space Type]],'Raw Data - Occupancy'!$AW$7:$AW$85,0),MATCH("Ra (cfm/ft2)",'Raw Data - Occupancy'!$AW$7:$BB$7,0)),"")</f>
        <v/>
      </c>
      <c r="AG64" s="95" t="str">
        <f>IFERROR(INDEX('Raw Data - Occupancy'!$AW$7:$BB$85,MATCH(OccupancyAssumptions[[#This Row],[ASHRAE 2016 Space Type]],'Raw Data - Occupancy'!$AW$7:$AW$85,0),MATCH("#/1000 ft2 (#/100 m2)",'Raw Data - Occupancy'!$AW$7:$BB$7,0)),"")</f>
        <v/>
      </c>
      <c r="AH64" s="153" t="str">
        <f>IFERROR(OccupancyAssumptions[[#This Row],[ASHRAE 2016 Occupant Density
'[People/1000SF']]]*OccupancyAssumptions[[#This Row],[Area (sqft)]]/1000,"")</f>
        <v/>
      </c>
      <c r="AI64" s="20" t="str">
        <f>IF(OccupancyAssumptions[[#This Row],[ASHRAE 2016 Occupant Density
'[People/1000SF']]]="","",IF(OccupancyAssumptions[[#This Row],[ASHRAE 2016 Occupant Density
'[People/1000SF']]]&gt;=50,"YES","NO"))</f>
        <v/>
      </c>
      <c r="AJ64" s="152"/>
      <c r="AK64" s="95" t="str">
        <f>IFERROR(INDEX('Raw Data - Occupancy'!$BD$7:$BI$85,MATCH(OccupancyAssumptions[[#This Row],[ASHRAE 2019 Space Type]],'Raw Data - Occupancy'!$BD$7:$BD$85,0),MATCH("Rp (CFM/per)",'Raw Data - Occupancy'!$BD$7:$BI$7,0)),"")</f>
        <v/>
      </c>
      <c r="AL64" s="95" t="str">
        <f>IFERROR(INDEX('Raw Data - Occupancy'!$BD$7:$BI$85,MATCH(OccupancyAssumptions[[#This Row],[ASHRAE 2019 Space Type]],'Raw Data - Occupancy'!$BD$7:$BD$85,0),MATCH("Ra (cfm/ft2)",'Raw Data - Occupancy'!$BD$7:$BI$7,0)),"")</f>
        <v/>
      </c>
      <c r="AM64" s="95" t="str">
        <f>IFERROR(INDEX('Raw Data - Occupancy'!$BD$7:$BI$85,MATCH(OccupancyAssumptions[[#This Row],[ASHRAE 2019 Space Type]],'Raw Data - Occupancy'!$BD$7:$BD$85,0),MATCH("#/1000 ft2 (#/100 m2)",'Raw Data - Occupancy'!$BD$7:$BI$7,0)),"")</f>
        <v/>
      </c>
      <c r="AN64" s="155" t="str">
        <f>IFERROR(OccupancyAssumptions[[#This Row],[ASHRAE 2019 Occupant Density
'[People/1000SF']]]*OccupancyAssumptions[[#This Row],[Area (sqft)]]/1000,"")</f>
        <v/>
      </c>
      <c r="AO64" s="156" t="str">
        <f>IF(OccupancyAssumptions[[#This Row],[ASHRAE 2019 Occupant Density
'[People/1000SF']]]="","",IF(OccupancyAssumptions[[#This Row],[ASHRAE 2019 Occupant Density
'[People/1000SF']]]&gt;=50,"YES","NO"))</f>
        <v/>
      </c>
      <c r="AP64" s="152" t="s">
        <v>214</v>
      </c>
      <c r="AQ64" s="154"/>
      <c r="AR64" s="154"/>
      <c r="AS64" s="471"/>
      <c r="AT64" s="471" t="str">
        <f>IFERROR(1000/OccupancyAssumptions[[#This Row],[Design Occupant Density '[SF/Person']]],"-")</f>
        <v>-</v>
      </c>
      <c r="AU64" s="156" t="str">
        <f>IF(OccupancyAssumptions[[#This Row],[Design Occupant Density
'[People/1000SF']]]="-","",IF(OccupancyAssumptions[[#This Row],[Design Occupant Density
'[People/1000SF']]]&gt;=50,"YES","NO"))</f>
        <v/>
      </c>
      <c r="AV64" s="26"/>
    </row>
    <row r="65" spans="2:48" x14ac:dyDescent="0.25">
      <c r="B65" s="18">
        <v>48</v>
      </c>
      <c r="C65" s="19" t="str">
        <f>IF('Master Room List'!R63="","",'Master Room List'!R63)</f>
        <v/>
      </c>
      <c r="D65" s="20" t="str">
        <f>IF(OccupancyAssumptions[[#This Row],[Space Type]]="","-",VLOOKUP(OccupancyAssumptions[[#This Row],[Space Type]],MasterRoomList_SpaceTypeSummary[[#All],[SpaceType]:[% of Total Area]],3,FALSE))</f>
        <v>-</v>
      </c>
      <c r="E65" s="152"/>
      <c r="F65" s="19" t="str">
        <f>IF(OccupancyAssumptions[[#This Row],[Space Type]]="","",INDEX('Raw Data - Occupancy'!$V$6:$Z$92,MATCH(OccupancyAssumptions[[#This Row],[Primary Function Area]],'Raw Data - Occupancy'!$V$6:$V$92,0),MATCH('Raw Data - Occupancy'!$W$6,'Raw Data - Occupancy'!$V$6:$Z$6,0)))</f>
        <v/>
      </c>
      <c r="G65" s="19" t="str">
        <f>IF(OccupancyAssumptions[[#This Row],[Space Type]]="","",INDEX('Raw Data - Occupancy'!$V$6:$Z$92,MATCH(OccupancyAssumptions[[#This Row],[Primary Function Area]],'Raw Data - Occupancy'!$V$6:$V$92,0),MATCH('Raw Data - Occupancy'!$X$6,'Raw Data - Occupancy'!$V$6:$Z$6,0)))</f>
        <v/>
      </c>
      <c r="H65" s="19" t="str">
        <f>IF(OccupancyAssumptions[[#This Row],[Space Type]]="","",15)</f>
        <v/>
      </c>
      <c r="I65" s="19" t="str">
        <f>IFERROR(INDEX('Raw Data - Occupancy'!$AW$7:$BB$85,MATCH(OccupancyAssumptions[[#This Row],[ASHRAE 2019 Space Type]],'Raw Data - Occupancy'!$AW$7:$AW$85,0),MATCH("#/1000 ft2 (#/100 m2)",'Raw Data - Occupancy'!$AW$7:$BB$7,0)),"")</f>
        <v/>
      </c>
      <c r="J65" s="153" t="str">
        <f>IFERROR(OccupancyAssumptions[[#This Row],[Occupant Density
'[People/1000SF']]]*OccupancyAssumptions[[#This Row],[Area (sqft)]]/1000,"")</f>
        <v/>
      </c>
      <c r="K65" s="20" t="str">
        <f>IF(OccupancyAssumptions[[#This Row],[Occupant Density
'[People/1000SF']]]="","",IF(OccupancyAssumptions[[#This Row],[Occupant Density
'[People/1000SF']]]&gt;=50,"YES","NO"))</f>
        <v/>
      </c>
      <c r="L65" s="152"/>
      <c r="M65" s="95" t="str">
        <f>IFERROR(INDEX('Raw Data - Occupancy'!$AB$7:$AG$85,MATCH(OccupancyAssumptions[[#This Row],[ASHRAE 2007 Space Type]],'Raw Data - Occupancy'!$AB$7:$AB$85,0),MATCH("Rp (CFM/per)",'Raw Data - Occupancy'!$AB$7:$AG$7,0)),"")</f>
        <v/>
      </c>
      <c r="N65" s="95" t="str">
        <f>IFERROR(INDEX('Raw Data - Occupancy'!$AB$7:$AG$85,MATCH(OccupancyAssumptions[[#This Row],[ASHRAE 2007 Space Type]],'Raw Data - Occupancy'!$AB$7:$AB$85,0),MATCH("Ra (cfm/ft2)",'Raw Data - Occupancy'!$AB$7:$AG$7,0)),"")</f>
        <v/>
      </c>
      <c r="O65" s="95" t="str">
        <f>IFERROR(INDEX('Raw Data - Occupancy'!$AB$7:$AG$85,MATCH(OccupancyAssumptions[[#This Row],[ASHRAE 2007 Space Type]],'Raw Data - Occupancy'!$AB$7:$AB$85,0),MATCH("#/1000 ft2 (#/100 m2)",'Raw Data - Occupancy'!$AB$7:$AG$7,0)),"")</f>
        <v/>
      </c>
      <c r="P65" s="153" t="str">
        <f>IFERROR(OccupancyAssumptions[[#This Row],[ASHRAE 2007 Occupant Density
'[People/1000SF']]]*OccupancyAssumptions[[#This Row],[Area (sqft)]]/1000,"")</f>
        <v/>
      </c>
      <c r="Q65" s="20" t="str">
        <f>IF(OccupancyAssumptions[[#This Row],[ASHRAE 2007 Occupant Density
'[People/1000SF']]]="","",IF(OccupancyAssumptions[[#This Row],[ASHRAE 2007 Occupant Density
'[People/1000SF']]]&gt;=50,"YES","NO"))</f>
        <v/>
      </c>
      <c r="R65" s="152"/>
      <c r="S65" s="95" t="str">
        <f>IFERROR(INDEX('Raw Data - Occupancy'!$AI$7:$AN$85,MATCH(OccupancyAssumptions[[#This Row],[ASHRAE 2010 Space Type]],'Raw Data - Occupancy'!$AI$7:$AI$85,0),MATCH("Rp (CFM/per)",'Raw Data - Occupancy'!$AI$7:$AN$7,0)),"")</f>
        <v/>
      </c>
      <c r="T65" s="95" t="str">
        <f>IFERROR(INDEX('Raw Data - Occupancy'!$AI$7:$AN$85,MATCH(OccupancyAssumptions[[#This Row],[ASHRAE 2010 Space Type]],'Raw Data - Occupancy'!$AI$7:$AI$85,0),MATCH("Ra (cfm/ft2)",'Raw Data - Occupancy'!$AI$7:$AN$7,0)),"")</f>
        <v/>
      </c>
      <c r="U65" s="95" t="str">
        <f>IFERROR(INDEX('Raw Data - Occupancy'!$AI$7:$AN$85,MATCH(OccupancyAssumptions[[#This Row],[ASHRAE 2010 Space Type]],'Raw Data - Occupancy'!$AI$7:$AI$85,0),MATCH("#/1000 ft2 (#/100 m2)",'Raw Data - Occupancy'!$AI$7:$AN$7,0)),"")</f>
        <v/>
      </c>
      <c r="V65" s="153" t="str">
        <f>IFERROR(OccupancyAssumptions[[#This Row],[ASHRAE 2010 Occupant Density
'[People/1000SF']]]*OccupancyAssumptions[[#This Row],[Area (sqft)]]/1000,"")</f>
        <v/>
      </c>
      <c r="W65" s="20" t="str">
        <f>IF(OccupancyAssumptions[[#This Row],[ASHRAE 2010 Occupant Density
'[People/1000SF']]]="","",IF(OccupancyAssumptions[[#This Row],[ASHRAE 2010 Occupant Density
'[People/1000SF']]]&gt;=50,"YES","NO"))</f>
        <v/>
      </c>
      <c r="X65" s="152"/>
      <c r="Y65" s="95" t="str">
        <f>IFERROR(INDEX('Raw Data - Occupancy'!$AP$7:$AU$85,MATCH(OccupancyAssumptions[[#This Row],[ASHRAE 2013 Space Type]],'Raw Data - Occupancy'!$AP$7:$AP$85,0),MATCH("Rp (CFM/per)",'Raw Data - Occupancy'!$AP$7:$AU$7,0)),"")</f>
        <v/>
      </c>
      <c r="Z65" s="95" t="str">
        <f>IFERROR(INDEX('Raw Data - Occupancy'!$AP$7:$AU$85,MATCH(OccupancyAssumptions[[#This Row],[ASHRAE 2013 Space Type]],'Raw Data - Occupancy'!$AP$7:$AP$85,0),MATCH("Ra (cfm/ft2)",'Raw Data - Occupancy'!$AP$7:$AU$7,0)),"")</f>
        <v/>
      </c>
      <c r="AA65" s="95" t="str">
        <f>IFERROR(INDEX('Raw Data - Occupancy'!$AP$7:$AU$85,MATCH(OccupancyAssumptions[[#This Row],[ASHRAE 2013 Space Type]],'Raw Data - Occupancy'!$AP$7:$AP$85,0),MATCH("#/1000 ft2 (#/100 m2)",'Raw Data - Occupancy'!$AP$7:$AU$7,0)),"")</f>
        <v/>
      </c>
      <c r="AB65" s="153" t="str">
        <f>IFERROR(OccupancyAssumptions[[#This Row],[ASHRAE 2013 Occupant Density
'[People/1000SF']]]*OccupancyAssumptions[[#This Row],[Area (sqft)]]/1000,"")</f>
        <v/>
      </c>
      <c r="AC65" s="20" t="str">
        <f>IF(OccupancyAssumptions[[#This Row],[ASHRAE 2013 Occupant Density
'[People/1000SF']]]="","",IF(OccupancyAssumptions[[#This Row],[ASHRAE 2013 Occupant Density
'[People/1000SF']]]&gt;=50,"YES","NO"))</f>
        <v/>
      </c>
      <c r="AD65" s="152"/>
      <c r="AE65" s="95" t="str">
        <f>IFERROR(INDEX('Raw Data - Occupancy'!$AW$7:$BB$85,MATCH(OccupancyAssumptions[[#This Row],[ASHRAE 2016 Space Type]],'Raw Data - Occupancy'!$AW$7:$AW$85,0),MATCH("Rp (CFM/per)",'Raw Data - Occupancy'!$AW$7:$BB$7,0)),"")</f>
        <v/>
      </c>
      <c r="AF65" s="95" t="str">
        <f>IFERROR(INDEX('Raw Data - Occupancy'!$AW$7:$BB$85,MATCH(OccupancyAssumptions[[#This Row],[ASHRAE 2016 Space Type]],'Raw Data - Occupancy'!$AW$7:$AW$85,0),MATCH("Ra (cfm/ft2)",'Raw Data - Occupancy'!$AW$7:$BB$7,0)),"")</f>
        <v/>
      </c>
      <c r="AG65" s="95" t="str">
        <f>IFERROR(INDEX('Raw Data - Occupancy'!$AW$7:$BB$85,MATCH(OccupancyAssumptions[[#This Row],[ASHRAE 2016 Space Type]],'Raw Data - Occupancy'!$AW$7:$AW$85,0),MATCH("#/1000 ft2 (#/100 m2)",'Raw Data - Occupancy'!$AW$7:$BB$7,0)),"")</f>
        <v/>
      </c>
      <c r="AH65" s="153" t="str">
        <f>IFERROR(OccupancyAssumptions[[#This Row],[ASHRAE 2016 Occupant Density
'[People/1000SF']]]*OccupancyAssumptions[[#This Row],[Area (sqft)]]/1000,"")</f>
        <v/>
      </c>
      <c r="AI65" s="20" t="str">
        <f>IF(OccupancyAssumptions[[#This Row],[ASHRAE 2016 Occupant Density
'[People/1000SF']]]="","",IF(OccupancyAssumptions[[#This Row],[ASHRAE 2016 Occupant Density
'[People/1000SF']]]&gt;=50,"YES","NO"))</f>
        <v/>
      </c>
      <c r="AJ65" s="152"/>
      <c r="AK65" s="95" t="str">
        <f>IFERROR(INDEX('Raw Data - Occupancy'!$BD$7:$BI$85,MATCH(OccupancyAssumptions[[#This Row],[ASHRAE 2019 Space Type]],'Raw Data - Occupancy'!$BD$7:$BD$85,0),MATCH("Rp (CFM/per)",'Raw Data - Occupancy'!$BD$7:$BI$7,0)),"")</f>
        <v/>
      </c>
      <c r="AL65" s="95" t="str">
        <f>IFERROR(INDEX('Raw Data - Occupancy'!$BD$7:$BI$85,MATCH(OccupancyAssumptions[[#This Row],[ASHRAE 2019 Space Type]],'Raw Data - Occupancy'!$BD$7:$BD$85,0),MATCH("Ra (cfm/ft2)",'Raw Data - Occupancy'!$BD$7:$BI$7,0)),"")</f>
        <v/>
      </c>
      <c r="AM65" s="95" t="str">
        <f>IFERROR(INDEX('Raw Data - Occupancy'!$BD$7:$BI$85,MATCH(OccupancyAssumptions[[#This Row],[ASHRAE 2019 Space Type]],'Raw Data - Occupancy'!$BD$7:$BD$85,0),MATCH("#/1000 ft2 (#/100 m2)",'Raw Data - Occupancy'!$BD$7:$BI$7,0)),"")</f>
        <v/>
      </c>
      <c r="AN65" s="155" t="str">
        <f>IFERROR(OccupancyAssumptions[[#This Row],[ASHRAE 2019 Occupant Density
'[People/1000SF']]]*OccupancyAssumptions[[#This Row],[Area (sqft)]]/1000,"")</f>
        <v/>
      </c>
      <c r="AO65" s="156" t="str">
        <f>IF(OccupancyAssumptions[[#This Row],[ASHRAE 2019 Occupant Density
'[People/1000SF']]]="","",IF(OccupancyAssumptions[[#This Row],[ASHRAE 2019 Occupant Density
'[People/1000SF']]]&gt;=50,"YES","NO"))</f>
        <v/>
      </c>
      <c r="AP65" s="152" t="s">
        <v>214</v>
      </c>
      <c r="AQ65" s="154"/>
      <c r="AR65" s="154"/>
      <c r="AS65" s="471"/>
      <c r="AT65" s="471" t="str">
        <f>IFERROR(1000/OccupancyAssumptions[[#This Row],[Design Occupant Density '[SF/Person']]],"-")</f>
        <v>-</v>
      </c>
      <c r="AU65" s="156" t="str">
        <f>IF(OccupancyAssumptions[[#This Row],[Design Occupant Density
'[People/1000SF']]]="-","",IF(OccupancyAssumptions[[#This Row],[Design Occupant Density
'[People/1000SF']]]&gt;=50,"YES","NO"))</f>
        <v/>
      </c>
      <c r="AV65" s="26"/>
    </row>
    <row r="66" spans="2:48" x14ac:dyDescent="0.25">
      <c r="B66" s="18">
        <v>49</v>
      </c>
      <c r="C66" s="19" t="str">
        <f>IF('Master Room List'!R64="","",'Master Room List'!R64)</f>
        <v/>
      </c>
      <c r="D66" s="20" t="str">
        <f>IF(OccupancyAssumptions[[#This Row],[Space Type]]="","-",VLOOKUP(OccupancyAssumptions[[#This Row],[Space Type]],MasterRoomList_SpaceTypeSummary[[#All],[SpaceType]:[% of Total Area]],3,FALSE))</f>
        <v>-</v>
      </c>
      <c r="E66" s="152"/>
      <c r="F66" s="19" t="str">
        <f>IF(OccupancyAssumptions[[#This Row],[Space Type]]="","",INDEX('Raw Data - Occupancy'!$V$6:$Z$92,MATCH(OccupancyAssumptions[[#This Row],[Primary Function Area]],'Raw Data - Occupancy'!$V$6:$V$92,0),MATCH('Raw Data - Occupancy'!$W$6,'Raw Data - Occupancy'!$V$6:$Z$6,0)))</f>
        <v/>
      </c>
      <c r="G66" s="19" t="str">
        <f>IF(OccupancyAssumptions[[#This Row],[Space Type]]="","",INDEX('Raw Data - Occupancy'!$V$6:$Z$92,MATCH(OccupancyAssumptions[[#This Row],[Primary Function Area]],'Raw Data - Occupancy'!$V$6:$V$92,0),MATCH('Raw Data - Occupancy'!$X$6,'Raw Data - Occupancy'!$V$6:$Z$6,0)))</f>
        <v/>
      </c>
      <c r="H66" s="19" t="str">
        <f>IF(OccupancyAssumptions[[#This Row],[Space Type]]="","",15)</f>
        <v/>
      </c>
      <c r="I66" s="19" t="str">
        <f>IFERROR(INDEX('Raw Data - Occupancy'!$AW$7:$BB$85,MATCH(OccupancyAssumptions[[#This Row],[ASHRAE 2019 Space Type]],'Raw Data - Occupancy'!$AW$7:$AW$85,0),MATCH("#/1000 ft2 (#/100 m2)",'Raw Data - Occupancy'!$AW$7:$BB$7,0)),"")</f>
        <v/>
      </c>
      <c r="J66" s="153" t="str">
        <f>IFERROR(OccupancyAssumptions[[#This Row],[Occupant Density
'[People/1000SF']]]*OccupancyAssumptions[[#This Row],[Area (sqft)]]/1000,"")</f>
        <v/>
      </c>
      <c r="K66" s="20" t="str">
        <f>IF(OccupancyAssumptions[[#This Row],[Occupant Density
'[People/1000SF']]]="","",IF(OccupancyAssumptions[[#This Row],[Occupant Density
'[People/1000SF']]]&gt;=50,"YES","NO"))</f>
        <v/>
      </c>
      <c r="L66" s="152"/>
      <c r="M66" s="95" t="str">
        <f>IFERROR(INDEX('Raw Data - Occupancy'!$AB$7:$AG$85,MATCH(OccupancyAssumptions[[#This Row],[ASHRAE 2007 Space Type]],'Raw Data - Occupancy'!$AB$7:$AB$85,0),MATCH("Rp (CFM/per)",'Raw Data - Occupancy'!$AB$7:$AG$7,0)),"")</f>
        <v/>
      </c>
      <c r="N66" s="95" t="str">
        <f>IFERROR(INDEX('Raw Data - Occupancy'!$AB$7:$AG$85,MATCH(OccupancyAssumptions[[#This Row],[ASHRAE 2007 Space Type]],'Raw Data - Occupancy'!$AB$7:$AB$85,0),MATCH("Ra (cfm/ft2)",'Raw Data - Occupancy'!$AB$7:$AG$7,0)),"")</f>
        <v/>
      </c>
      <c r="O66" s="95" t="str">
        <f>IFERROR(INDEX('Raw Data - Occupancy'!$AB$7:$AG$85,MATCH(OccupancyAssumptions[[#This Row],[ASHRAE 2007 Space Type]],'Raw Data - Occupancy'!$AB$7:$AB$85,0),MATCH("#/1000 ft2 (#/100 m2)",'Raw Data - Occupancy'!$AB$7:$AG$7,0)),"")</f>
        <v/>
      </c>
      <c r="P66" s="153" t="str">
        <f>IFERROR(OccupancyAssumptions[[#This Row],[ASHRAE 2007 Occupant Density
'[People/1000SF']]]*OccupancyAssumptions[[#This Row],[Area (sqft)]]/1000,"")</f>
        <v/>
      </c>
      <c r="Q66" s="20" t="str">
        <f>IF(OccupancyAssumptions[[#This Row],[ASHRAE 2007 Occupant Density
'[People/1000SF']]]="","",IF(OccupancyAssumptions[[#This Row],[ASHRAE 2007 Occupant Density
'[People/1000SF']]]&gt;=50,"YES","NO"))</f>
        <v/>
      </c>
      <c r="R66" s="152"/>
      <c r="S66" s="95" t="str">
        <f>IFERROR(INDEX('Raw Data - Occupancy'!$AI$7:$AN$85,MATCH(OccupancyAssumptions[[#This Row],[ASHRAE 2010 Space Type]],'Raw Data - Occupancy'!$AI$7:$AI$85,0),MATCH("Rp (CFM/per)",'Raw Data - Occupancy'!$AI$7:$AN$7,0)),"")</f>
        <v/>
      </c>
      <c r="T66" s="95" t="str">
        <f>IFERROR(INDEX('Raw Data - Occupancy'!$AI$7:$AN$85,MATCH(OccupancyAssumptions[[#This Row],[ASHRAE 2010 Space Type]],'Raw Data - Occupancy'!$AI$7:$AI$85,0),MATCH("Ra (cfm/ft2)",'Raw Data - Occupancy'!$AI$7:$AN$7,0)),"")</f>
        <v/>
      </c>
      <c r="U66" s="95" t="str">
        <f>IFERROR(INDEX('Raw Data - Occupancy'!$AI$7:$AN$85,MATCH(OccupancyAssumptions[[#This Row],[ASHRAE 2010 Space Type]],'Raw Data - Occupancy'!$AI$7:$AI$85,0),MATCH("#/1000 ft2 (#/100 m2)",'Raw Data - Occupancy'!$AI$7:$AN$7,0)),"")</f>
        <v/>
      </c>
      <c r="V66" s="153" t="str">
        <f>IFERROR(OccupancyAssumptions[[#This Row],[ASHRAE 2010 Occupant Density
'[People/1000SF']]]*OccupancyAssumptions[[#This Row],[Area (sqft)]]/1000,"")</f>
        <v/>
      </c>
      <c r="W66" s="20" t="str">
        <f>IF(OccupancyAssumptions[[#This Row],[ASHRAE 2010 Occupant Density
'[People/1000SF']]]="","",IF(OccupancyAssumptions[[#This Row],[ASHRAE 2010 Occupant Density
'[People/1000SF']]]&gt;=50,"YES","NO"))</f>
        <v/>
      </c>
      <c r="X66" s="152"/>
      <c r="Y66" s="95" t="str">
        <f>IFERROR(INDEX('Raw Data - Occupancy'!$AP$7:$AU$85,MATCH(OccupancyAssumptions[[#This Row],[ASHRAE 2013 Space Type]],'Raw Data - Occupancy'!$AP$7:$AP$85,0),MATCH("Rp (CFM/per)",'Raw Data - Occupancy'!$AP$7:$AU$7,0)),"")</f>
        <v/>
      </c>
      <c r="Z66" s="95" t="str">
        <f>IFERROR(INDEX('Raw Data - Occupancy'!$AP$7:$AU$85,MATCH(OccupancyAssumptions[[#This Row],[ASHRAE 2013 Space Type]],'Raw Data - Occupancy'!$AP$7:$AP$85,0),MATCH("Ra (cfm/ft2)",'Raw Data - Occupancy'!$AP$7:$AU$7,0)),"")</f>
        <v/>
      </c>
      <c r="AA66" s="95" t="str">
        <f>IFERROR(INDEX('Raw Data - Occupancy'!$AP$7:$AU$85,MATCH(OccupancyAssumptions[[#This Row],[ASHRAE 2013 Space Type]],'Raw Data - Occupancy'!$AP$7:$AP$85,0),MATCH("#/1000 ft2 (#/100 m2)",'Raw Data - Occupancy'!$AP$7:$AU$7,0)),"")</f>
        <v/>
      </c>
      <c r="AB66" s="153" t="str">
        <f>IFERROR(OccupancyAssumptions[[#This Row],[ASHRAE 2013 Occupant Density
'[People/1000SF']]]*OccupancyAssumptions[[#This Row],[Area (sqft)]]/1000,"")</f>
        <v/>
      </c>
      <c r="AC66" s="20" t="str">
        <f>IF(OccupancyAssumptions[[#This Row],[ASHRAE 2013 Occupant Density
'[People/1000SF']]]="","",IF(OccupancyAssumptions[[#This Row],[ASHRAE 2013 Occupant Density
'[People/1000SF']]]&gt;=50,"YES","NO"))</f>
        <v/>
      </c>
      <c r="AD66" s="152"/>
      <c r="AE66" s="95" t="str">
        <f>IFERROR(INDEX('Raw Data - Occupancy'!$AW$7:$BB$85,MATCH(OccupancyAssumptions[[#This Row],[ASHRAE 2016 Space Type]],'Raw Data - Occupancy'!$AW$7:$AW$85,0),MATCH("Rp (CFM/per)",'Raw Data - Occupancy'!$AW$7:$BB$7,0)),"")</f>
        <v/>
      </c>
      <c r="AF66" s="95" t="str">
        <f>IFERROR(INDEX('Raw Data - Occupancy'!$AW$7:$BB$85,MATCH(OccupancyAssumptions[[#This Row],[ASHRAE 2016 Space Type]],'Raw Data - Occupancy'!$AW$7:$AW$85,0),MATCH("Ra (cfm/ft2)",'Raw Data - Occupancy'!$AW$7:$BB$7,0)),"")</f>
        <v/>
      </c>
      <c r="AG66" s="95" t="str">
        <f>IFERROR(INDEX('Raw Data - Occupancy'!$AW$7:$BB$85,MATCH(OccupancyAssumptions[[#This Row],[ASHRAE 2016 Space Type]],'Raw Data - Occupancy'!$AW$7:$AW$85,0),MATCH("#/1000 ft2 (#/100 m2)",'Raw Data - Occupancy'!$AW$7:$BB$7,0)),"")</f>
        <v/>
      </c>
      <c r="AH66" s="153" t="str">
        <f>IFERROR(OccupancyAssumptions[[#This Row],[ASHRAE 2016 Occupant Density
'[People/1000SF']]]*OccupancyAssumptions[[#This Row],[Area (sqft)]]/1000,"")</f>
        <v/>
      </c>
      <c r="AI66" s="20" t="str">
        <f>IF(OccupancyAssumptions[[#This Row],[ASHRAE 2016 Occupant Density
'[People/1000SF']]]="","",IF(OccupancyAssumptions[[#This Row],[ASHRAE 2016 Occupant Density
'[People/1000SF']]]&gt;=50,"YES","NO"))</f>
        <v/>
      </c>
      <c r="AJ66" s="152"/>
      <c r="AK66" s="95" t="str">
        <f>IFERROR(INDEX('Raw Data - Occupancy'!$BD$7:$BI$85,MATCH(OccupancyAssumptions[[#This Row],[ASHRAE 2019 Space Type]],'Raw Data - Occupancy'!$BD$7:$BD$85,0),MATCH("Rp (CFM/per)",'Raw Data - Occupancy'!$BD$7:$BI$7,0)),"")</f>
        <v/>
      </c>
      <c r="AL66" s="95" t="str">
        <f>IFERROR(INDEX('Raw Data - Occupancy'!$BD$7:$BI$85,MATCH(OccupancyAssumptions[[#This Row],[ASHRAE 2019 Space Type]],'Raw Data - Occupancy'!$BD$7:$BD$85,0),MATCH("Ra (cfm/ft2)",'Raw Data - Occupancy'!$BD$7:$BI$7,0)),"")</f>
        <v/>
      </c>
      <c r="AM66" s="95" t="str">
        <f>IFERROR(INDEX('Raw Data - Occupancy'!$BD$7:$BI$85,MATCH(OccupancyAssumptions[[#This Row],[ASHRAE 2019 Space Type]],'Raw Data - Occupancy'!$BD$7:$BD$85,0),MATCH("#/1000 ft2 (#/100 m2)",'Raw Data - Occupancy'!$BD$7:$BI$7,0)),"")</f>
        <v/>
      </c>
      <c r="AN66" s="155" t="str">
        <f>IFERROR(OccupancyAssumptions[[#This Row],[ASHRAE 2019 Occupant Density
'[People/1000SF']]]*OccupancyAssumptions[[#This Row],[Area (sqft)]]/1000,"")</f>
        <v/>
      </c>
      <c r="AO66" s="156" t="str">
        <f>IF(OccupancyAssumptions[[#This Row],[ASHRAE 2019 Occupant Density
'[People/1000SF']]]="","",IF(OccupancyAssumptions[[#This Row],[ASHRAE 2019 Occupant Density
'[People/1000SF']]]&gt;=50,"YES","NO"))</f>
        <v/>
      </c>
      <c r="AP66" s="152" t="s">
        <v>214</v>
      </c>
      <c r="AQ66" s="154"/>
      <c r="AR66" s="154"/>
      <c r="AS66" s="471"/>
      <c r="AT66" s="471" t="str">
        <f>IFERROR(1000/OccupancyAssumptions[[#This Row],[Design Occupant Density '[SF/Person']]],"-")</f>
        <v>-</v>
      </c>
      <c r="AU66" s="156" t="str">
        <f>IF(OccupancyAssumptions[[#This Row],[Design Occupant Density
'[People/1000SF']]]="-","",IF(OccupancyAssumptions[[#This Row],[Design Occupant Density
'[People/1000SF']]]&gt;=50,"YES","NO"))</f>
        <v/>
      </c>
      <c r="AV66" s="26"/>
    </row>
    <row r="67" spans="2:48" ht="15.75" thickBot="1" x14ac:dyDescent="0.3">
      <c r="B67" s="157">
        <v>50</v>
      </c>
      <c r="C67" s="158" t="str">
        <f>IF('Master Room List'!R65="","",'Master Room List'!R65)</f>
        <v/>
      </c>
      <c r="D67" s="159" t="str">
        <f>IF(OccupancyAssumptions[[#This Row],[Space Type]]="","-",VLOOKUP(OccupancyAssumptions[[#This Row],[Space Type]],MasterRoomList_SpaceTypeSummary[[#All],[SpaceType]:[% of Total Area]],3,FALSE))</f>
        <v>-</v>
      </c>
      <c r="E67" s="160"/>
      <c r="F67" s="158" t="str">
        <f>IF(OccupancyAssumptions[[#This Row],[Space Type]]="","",INDEX('Raw Data - Occupancy'!$V$6:$Z$92,MATCH(OccupancyAssumptions[[#This Row],[Primary Function Area]],'Raw Data - Occupancy'!$V$6:$V$92,0),MATCH('Raw Data - Occupancy'!$W$6,'Raw Data - Occupancy'!$V$6:$Z$6,0)))</f>
        <v/>
      </c>
      <c r="G67" s="19" t="str">
        <f>IF(OccupancyAssumptions[[#This Row],[Space Type]]="","",INDEX('Raw Data - Occupancy'!$V$6:$Z$92,MATCH(OccupancyAssumptions[[#This Row],[Primary Function Area]],'Raw Data - Occupancy'!$V$6:$V$92,0),MATCH('Raw Data - Occupancy'!$X$6,'Raw Data - Occupancy'!$V$6:$Z$6,0)))</f>
        <v/>
      </c>
      <c r="H67" s="19" t="str">
        <f>IF(OccupancyAssumptions[[#This Row],[Space Type]]="","",15)</f>
        <v/>
      </c>
      <c r="I67" s="19" t="str">
        <f>IFERROR(INDEX('Raw Data - Occupancy'!$AW$7:$BB$85,MATCH(OccupancyAssumptions[[#This Row],[ASHRAE 2019 Space Type]],'Raw Data - Occupancy'!$AW$7:$AW$85,0),MATCH("#/1000 ft2 (#/100 m2)",'Raw Data - Occupancy'!$AW$7:$BB$7,0)),"")</f>
        <v/>
      </c>
      <c r="J67" s="153" t="str">
        <f>IFERROR(OccupancyAssumptions[[#This Row],[Occupant Density
'[People/1000SF']]]*OccupancyAssumptions[[#This Row],[Area (sqft)]]/1000,"")</f>
        <v/>
      </c>
      <c r="K67" s="20" t="str">
        <f>IF(OccupancyAssumptions[[#This Row],[Occupant Density
'[People/1000SF']]]="","",IF(OccupancyAssumptions[[#This Row],[Occupant Density
'[People/1000SF']]]&gt;=50,"YES","NO"))</f>
        <v/>
      </c>
      <c r="L67" s="152"/>
      <c r="M67" s="95" t="str">
        <f>IFERROR(INDEX('Raw Data - Occupancy'!$AB$7:$AG$85,MATCH(OccupancyAssumptions[[#This Row],[ASHRAE 2007 Space Type]],'Raw Data - Occupancy'!$AB$7:$AB$85,0),MATCH("Rp (CFM/per)",'Raw Data - Occupancy'!$AB$7:$AG$7,0)),"")</f>
        <v/>
      </c>
      <c r="N67" s="95" t="str">
        <f>IFERROR(INDEX('Raw Data - Occupancy'!$AB$7:$AG$85,MATCH(OccupancyAssumptions[[#This Row],[ASHRAE 2007 Space Type]],'Raw Data - Occupancy'!$AB$7:$AB$85,0),MATCH("Ra (cfm/ft2)",'Raw Data - Occupancy'!$AB$7:$AG$7,0)),"")</f>
        <v/>
      </c>
      <c r="O67" s="95" t="str">
        <f>IFERROR(INDEX('Raw Data - Occupancy'!$AB$7:$AG$85,MATCH(OccupancyAssumptions[[#This Row],[ASHRAE 2007 Space Type]],'Raw Data - Occupancy'!$AB$7:$AB$85,0),MATCH("#/1000 ft2 (#/100 m2)",'Raw Data - Occupancy'!$AB$7:$AG$7,0)),"")</f>
        <v/>
      </c>
      <c r="P67" s="153" t="str">
        <f>IFERROR(OccupancyAssumptions[[#This Row],[ASHRAE 2007 Occupant Density
'[People/1000SF']]]*OccupancyAssumptions[[#This Row],[Area (sqft)]]/1000,"")</f>
        <v/>
      </c>
      <c r="Q67" s="20" t="str">
        <f>IF(OccupancyAssumptions[[#This Row],[ASHRAE 2007 Occupant Density
'[People/1000SF']]]="","",IF(OccupancyAssumptions[[#This Row],[ASHRAE 2007 Occupant Density
'[People/1000SF']]]&gt;=50,"YES","NO"))</f>
        <v/>
      </c>
      <c r="R67" s="152"/>
      <c r="S67" s="95" t="str">
        <f>IFERROR(INDEX('Raw Data - Occupancy'!$AI$7:$AN$85,MATCH(OccupancyAssumptions[[#This Row],[ASHRAE 2010 Space Type]],'Raw Data - Occupancy'!$AI$7:$AI$85,0),MATCH("Rp (CFM/per)",'Raw Data - Occupancy'!$AI$7:$AN$7,0)),"")</f>
        <v/>
      </c>
      <c r="T67" s="95" t="str">
        <f>IFERROR(INDEX('Raw Data - Occupancy'!$AI$7:$AN$85,MATCH(OccupancyAssumptions[[#This Row],[ASHRAE 2010 Space Type]],'Raw Data - Occupancy'!$AI$7:$AI$85,0),MATCH("Ra (cfm/ft2)",'Raw Data - Occupancy'!$AI$7:$AN$7,0)),"")</f>
        <v/>
      </c>
      <c r="U67" s="95" t="str">
        <f>IFERROR(INDEX('Raw Data - Occupancy'!$AI$7:$AN$85,MATCH(OccupancyAssumptions[[#This Row],[ASHRAE 2010 Space Type]],'Raw Data - Occupancy'!$AI$7:$AI$85,0),MATCH("#/1000 ft2 (#/100 m2)",'Raw Data - Occupancy'!$AI$7:$AN$7,0)),"")</f>
        <v/>
      </c>
      <c r="V67" s="153" t="str">
        <f>IFERROR(OccupancyAssumptions[[#This Row],[ASHRAE 2010 Occupant Density
'[People/1000SF']]]*OccupancyAssumptions[[#This Row],[Area (sqft)]]/1000,"")</f>
        <v/>
      </c>
      <c r="W67" s="20" t="str">
        <f>IF(OccupancyAssumptions[[#This Row],[ASHRAE 2010 Occupant Density
'[People/1000SF']]]="","",IF(OccupancyAssumptions[[#This Row],[ASHRAE 2010 Occupant Density
'[People/1000SF']]]&gt;=50,"YES","NO"))</f>
        <v/>
      </c>
      <c r="X67" s="152"/>
      <c r="Y67" s="95" t="str">
        <f>IFERROR(INDEX('Raw Data - Occupancy'!$AP$7:$AU$85,MATCH(OccupancyAssumptions[[#This Row],[ASHRAE 2013 Space Type]],'Raw Data - Occupancy'!$AP$7:$AP$85,0),MATCH("Rp (CFM/per)",'Raw Data - Occupancy'!$AP$7:$AU$7,0)),"")</f>
        <v/>
      </c>
      <c r="Z67" s="95" t="str">
        <f>IFERROR(INDEX('Raw Data - Occupancy'!$AP$7:$AU$85,MATCH(OccupancyAssumptions[[#This Row],[ASHRAE 2013 Space Type]],'Raw Data - Occupancy'!$AP$7:$AP$85,0),MATCH("Ra (cfm/ft2)",'Raw Data - Occupancy'!$AP$7:$AU$7,0)),"")</f>
        <v/>
      </c>
      <c r="AA67" s="95" t="str">
        <f>IFERROR(INDEX('Raw Data - Occupancy'!$AP$7:$AU$85,MATCH(OccupancyAssumptions[[#This Row],[ASHRAE 2013 Space Type]],'Raw Data - Occupancy'!$AP$7:$AP$85,0),MATCH("#/1000 ft2 (#/100 m2)",'Raw Data - Occupancy'!$AP$7:$AU$7,0)),"")</f>
        <v/>
      </c>
      <c r="AB67" s="153" t="str">
        <f>IFERROR(OccupancyAssumptions[[#This Row],[ASHRAE 2013 Occupant Density
'[People/1000SF']]]*OccupancyAssumptions[[#This Row],[Area (sqft)]]/1000,"")</f>
        <v/>
      </c>
      <c r="AC67" s="20" t="str">
        <f>IF(OccupancyAssumptions[[#This Row],[ASHRAE 2013 Occupant Density
'[People/1000SF']]]="","",IF(OccupancyAssumptions[[#This Row],[ASHRAE 2013 Occupant Density
'[People/1000SF']]]&gt;=50,"YES","NO"))</f>
        <v/>
      </c>
      <c r="AD67" s="152"/>
      <c r="AE67" s="95" t="str">
        <f>IFERROR(INDEX('Raw Data - Occupancy'!$AW$7:$BB$85,MATCH(OccupancyAssumptions[[#This Row],[ASHRAE 2016 Space Type]],'Raw Data - Occupancy'!$AW$7:$AW$85,0),MATCH("Rp (CFM/per)",'Raw Data - Occupancy'!$AW$7:$BB$7,0)),"")</f>
        <v/>
      </c>
      <c r="AF67" s="95" t="str">
        <f>IFERROR(INDEX('Raw Data - Occupancy'!$AW$7:$BB$85,MATCH(OccupancyAssumptions[[#This Row],[ASHRAE 2016 Space Type]],'Raw Data - Occupancy'!$AW$7:$AW$85,0),MATCH("Ra (cfm/ft2)",'Raw Data - Occupancy'!$AW$7:$BB$7,0)),"")</f>
        <v/>
      </c>
      <c r="AG67" s="95" t="str">
        <f>IFERROR(INDEX('Raw Data - Occupancy'!$AW$7:$BB$85,MATCH(OccupancyAssumptions[[#This Row],[ASHRAE 2016 Space Type]],'Raw Data - Occupancy'!$AW$7:$AW$85,0),MATCH("#/1000 ft2 (#/100 m2)",'Raw Data - Occupancy'!$AW$7:$BB$7,0)),"")</f>
        <v/>
      </c>
      <c r="AH67" s="153" t="str">
        <f>IFERROR(OccupancyAssumptions[[#This Row],[ASHRAE 2016 Occupant Density
'[People/1000SF']]]*OccupancyAssumptions[[#This Row],[Area (sqft)]]/1000,"")</f>
        <v/>
      </c>
      <c r="AI67" s="20" t="str">
        <f>IF(OccupancyAssumptions[[#This Row],[ASHRAE 2016 Occupant Density
'[People/1000SF']]]="","",IF(OccupancyAssumptions[[#This Row],[ASHRAE 2016 Occupant Density
'[People/1000SF']]]&gt;=50,"YES","NO"))</f>
        <v/>
      </c>
      <c r="AJ67" s="152"/>
      <c r="AK67" s="95" t="str">
        <f>IFERROR(INDEX('Raw Data - Occupancy'!$BD$7:$BI$85,MATCH(OccupancyAssumptions[[#This Row],[ASHRAE 2019 Space Type]],'Raw Data - Occupancy'!$BD$7:$BD$85,0),MATCH("Rp (CFM/per)",'Raw Data - Occupancy'!$BD$7:$BI$7,0)),"")</f>
        <v/>
      </c>
      <c r="AL67" s="95" t="str">
        <f>IFERROR(INDEX('Raw Data - Occupancy'!$BD$7:$BI$85,MATCH(OccupancyAssumptions[[#This Row],[ASHRAE 2019 Space Type]],'Raw Data - Occupancy'!$BD$7:$BD$85,0),MATCH("Ra (cfm/ft2)",'Raw Data - Occupancy'!$BD$7:$BI$7,0)),"")</f>
        <v/>
      </c>
      <c r="AM67" s="95" t="str">
        <f>IFERROR(INDEX('Raw Data - Occupancy'!$BD$7:$BI$85,MATCH(OccupancyAssumptions[[#This Row],[ASHRAE 2019 Space Type]],'Raw Data - Occupancy'!$BD$7:$BD$85,0),MATCH("#/1000 ft2 (#/100 m2)",'Raw Data - Occupancy'!$BD$7:$BI$7,0)),"")</f>
        <v/>
      </c>
      <c r="AN67" s="155" t="str">
        <f>IFERROR(OccupancyAssumptions[[#This Row],[ASHRAE 2019 Occupant Density
'[People/1000SF']]]*OccupancyAssumptions[[#This Row],[Area (sqft)]]/1000,"")</f>
        <v/>
      </c>
      <c r="AO67" s="156" t="str">
        <f>IF(OccupancyAssumptions[[#This Row],[ASHRAE 2019 Occupant Density
'[People/1000SF']]]="","",IF(OccupancyAssumptions[[#This Row],[ASHRAE 2019 Occupant Density
'[People/1000SF']]]&gt;=50,"YES","NO"))</f>
        <v/>
      </c>
      <c r="AP67" s="160" t="s">
        <v>214</v>
      </c>
      <c r="AQ67" s="161"/>
      <c r="AR67" s="161"/>
      <c r="AS67" s="472"/>
      <c r="AT67" s="472" t="str">
        <f>IFERROR(1000/OccupancyAssumptions[[#This Row],[Design Occupant Density '[SF/Person']]],"-")</f>
        <v>-</v>
      </c>
      <c r="AU67" s="470" t="str">
        <f>IF(OccupancyAssumptions[[#This Row],[Design Occupant Density
'[People/1000SF']]]="-","",IF(OccupancyAssumptions[[#This Row],[Design Occupant Density
'[People/1000SF']]]&gt;=50,"YES","NO"))</f>
        <v/>
      </c>
      <c r="AV67" s="40"/>
    </row>
    <row r="69" spans="2:48" x14ac:dyDescent="0.25">
      <c r="C69" t="s">
        <v>34</v>
      </c>
      <c r="D69" s="19">
        <f>SUM(OccupancyAssumptions[Area (sqft)])</f>
        <v>0</v>
      </c>
    </row>
  </sheetData>
  <mergeCells count="9">
    <mergeCell ref="B15:AV15"/>
    <mergeCell ref="B16:D16"/>
    <mergeCell ref="E16:K16"/>
    <mergeCell ref="AJ16:AO16"/>
    <mergeCell ref="AP16:AV16"/>
    <mergeCell ref="L16:Q16"/>
    <mergeCell ref="R16:W16"/>
    <mergeCell ref="X16:AC16"/>
    <mergeCell ref="AD16:AI16"/>
  </mergeCells>
  <phoneticPr fontId="49" type="noConversion"/>
  <pageMargins left="0.7" right="0.7" top="0.75" bottom="0.75" header="0.3" footer="0.3"/>
  <ignoredErrors>
    <ignoredError sqref="AK18:AO67 AE18:AI18" calculatedColumn="1"/>
  </ignoredErrors>
  <drawing r:id="rId1"/>
  <legacyDrawing r:id="rId2"/>
  <controls>
    <mc:AlternateContent xmlns:mc="http://schemas.openxmlformats.org/markup-compatibility/2006">
      <mc:Choice Requires="x14">
        <control shapeId="6164" r:id="rId3" name="Title242019OCC">
          <controlPr defaultSize="0" autoLine="0" r:id="rId4">
            <anchor moveWithCells="1">
              <from>
                <xdr:col>2</xdr:col>
                <xdr:colOff>57150</xdr:colOff>
                <xdr:row>7</xdr:row>
                <xdr:rowOff>19050</xdr:rowOff>
              </from>
              <to>
                <xdr:col>2</xdr:col>
                <xdr:colOff>2609850</xdr:colOff>
                <xdr:row>7</xdr:row>
                <xdr:rowOff>238125</xdr:rowOff>
              </to>
            </anchor>
          </controlPr>
        </control>
      </mc:Choice>
      <mc:Fallback>
        <control shapeId="6164" r:id="rId3" name="Title242019OCC"/>
      </mc:Fallback>
    </mc:AlternateContent>
    <mc:AlternateContent xmlns:mc="http://schemas.openxmlformats.org/markup-compatibility/2006">
      <mc:Choice Requires="x14">
        <control shapeId="6165" r:id="rId5" name="ASHRAE2007OCC">
          <controlPr defaultSize="0" autoLine="0" r:id="rId6">
            <anchor moveWithCells="1">
              <from>
                <xdr:col>2</xdr:col>
                <xdr:colOff>57150</xdr:colOff>
                <xdr:row>8</xdr:row>
                <xdr:rowOff>19050</xdr:rowOff>
              </from>
              <to>
                <xdr:col>2</xdr:col>
                <xdr:colOff>2609850</xdr:colOff>
                <xdr:row>8</xdr:row>
                <xdr:rowOff>238125</xdr:rowOff>
              </to>
            </anchor>
          </controlPr>
        </control>
      </mc:Choice>
      <mc:Fallback>
        <control shapeId="6165" r:id="rId5" name="ASHRAE2007OCC"/>
      </mc:Fallback>
    </mc:AlternateContent>
    <mc:AlternateContent xmlns:mc="http://schemas.openxmlformats.org/markup-compatibility/2006">
      <mc:Choice Requires="x14">
        <control shapeId="6166" r:id="rId7" name="ASHRAE2010OCC">
          <controlPr defaultSize="0" autoLine="0" r:id="rId8">
            <anchor moveWithCells="1">
              <from>
                <xdr:col>2</xdr:col>
                <xdr:colOff>57150</xdr:colOff>
                <xdr:row>9</xdr:row>
                <xdr:rowOff>19050</xdr:rowOff>
              </from>
              <to>
                <xdr:col>2</xdr:col>
                <xdr:colOff>2609850</xdr:colOff>
                <xdr:row>9</xdr:row>
                <xdr:rowOff>238125</xdr:rowOff>
              </to>
            </anchor>
          </controlPr>
        </control>
      </mc:Choice>
      <mc:Fallback>
        <control shapeId="6166" r:id="rId7" name="ASHRAE2010OCC"/>
      </mc:Fallback>
    </mc:AlternateContent>
    <mc:AlternateContent xmlns:mc="http://schemas.openxmlformats.org/markup-compatibility/2006">
      <mc:Choice Requires="x14">
        <control shapeId="6167" r:id="rId9" name="ASHRAE2013OCC">
          <controlPr defaultSize="0" autoLine="0" r:id="rId10">
            <anchor moveWithCells="1">
              <from>
                <xdr:col>2</xdr:col>
                <xdr:colOff>57150</xdr:colOff>
                <xdr:row>10</xdr:row>
                <xdr:rowOff>19050</xdr:rowOff>
              </from>
              <to>
                <xdr:col>2</xdr:col>
                <xdr:colOff>2609850</xdr:colOff>
                <xdr:row>10</xdr:row>
                <xdr:rowOff>238125</xdr:rowOff>
              </to>
            </anchor>
          </controlPr>
        </control>
      </mc:Choice>
      <mc:Fallback>
        <control shapeId="6167" r:id="rId9" name="ASHRAE2013OCC"/>
      </mc:Fallback>
    </mc:AlternateContent>
    <mc:AlternateContent xmlns:mc="http://schemas.openxmlformats.org/markup-compatibility/2006">
      <mc:Choice Requires="x14">
        <control shapeId="6168" r:id="rId11" name="ASHRAE2016OCC">
          <controlPr defaultSize="0" autoLine="0" r:id="rId12">
            <anchor moveWithCells="1">
              <from>
                <xdr:col>2</xdr:col>
                <xdr:colOff>57150</xdr:colOff>
                <xdr:row>11</xdr:row>
                <xdr:rowOff>19050</xdr:rowOff>
              </from>
              <to>
                <xdr:col>2</xdr:col>
                <xdr:colOff>2609850</xdr:colOff>
                <xdr:row>11</xdr:row>
                <xdr:rowOff>238125</xdr:rowOff>
              </to>
            </anchor>
          </controlPr>
        </control>
      </mc:Choice>
      <mc:Fallback>
        <control shapeId="6168" r:id="rId11" name="ASHRAE2016OCC"/>
      </mc:Fallback>
    </mc:AlternateContent>
    <mc:AlternateContent xmlns:mc="http://schemas.openxmlformats.org/markup-compatibility/2006">
      <mc:Choice Requires="x14">
        <control shapeId="6169" r:id="rId13" name="ASHRAE2019OCC">
          <controlPr defaultSize="0" autoLine="0" r:id="rId14">
            <anchor moveWithCells="1">
              <from>
                <xdr:col>2</xdr:col>
                <xdr:colOff>57150</xdr:colOff>
                <xdr:row>12</xdr:row>
                <xdr:rowOff>19050</xdr:rowOff>
              </from>
              <to>
                <xdr:col>2</xdr:col>
                <xdr:colOff>2609850</xdr:colOff>
                <xdr:row>12</xdr:row>
                <xdr:rowOff>238125</xdr:rowOff>
              </to>
            </anchor>
          </controlPr>
        </control>
      </mc:Choice>
      <mc:Fallback>
        <control shapeId="6169" r:id="rId13" name="ASHRAE2019OCC"/>
      </mc:Fallback>
    </mc:AlternateContent>
  </controls>
  <tableParts count="1">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90F5BF0A-FE24-4EDF-8584-F2F4A698D1AE}">
          <x14:formula1>
            <xm:f>'Raw Data - Occupancy'!$V$7:$V$92</xm:f>
          </x14:formula1>
          <xm:sqref>E18:E67</xm:sqref>
        </x14:dataValidation>
        <x14:dataValidation type="list" allowBlank="1" showInputMessage="1" showErrorMessage="1" xr:uid="{39353345-9111-4D47-A7A5-564CE0DE109B}">
          <x14:formula1>
            <xm:f>'Raw Data - Occupancy'!$AW$8:$AW$85</xm:f>
          </x14:formula1>
          <xm:sqref>AJ18:AJ67 X18:X67 R18:R67 L18:L67 AD18:AD67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B289F-5F93-4E97-9819-82604F42753C}">
  <sheetPr codeName="Sheet5">
    <tabColor theme="7" tint="0.79998168889431442"/>
  </sheetPr>
  <dimension ref="B1:AF71"/>
  <sheetViews>
    <sheetView topLeftCell="A5" zoomScale="90" zoomScaleNormal="90" workbookViewId="0">
      <pane xSplit="3" topLeftCell="S1" activePane="topRight" state="frozen"/>
      <selection activeCell="A7" sqref="A7"/>
      <selection pane="topRight" activeCell="A7" sqref="A7"/>
    </sheetView>
  </sheetViews>
  <sheetFormatPr defaultRowHeight="15" x14ac:dyDescent="0.25"/>
  <cols>
    <col min="1" max="1" width="2.7109375" customWidth="1"/>
    <col min="2" max="2" width="10.85546875" bestFit="1" customWidth="1"/>
    <col min="3" max="3" width="44.42578125" bestFit="1" customWidth="1"/>
    <col min="4" max="4" width="20.85546875" bestFit="1" customWidth="1"/>
    <col min="5" max="5" width="51.7109375" bestFit="1" customWidth="1"/>
    <col min="6" max="6" width="12.140625" customWidth="1"/>
    <col min="7" max="7" width="32.5703125" customWidth="1"/>
    <col min="8" max="8" width="20.7109375" customWidth="1"/>
    <col min="9" max="9" width="32.5703125" customWidth="1"/>
    <col min="10" max="10" width="20.7109375" customWidth="1"/>
    <col min="11" max="11" width="28" customWidth="1"/>
    <col min="12" max="12" width="40.28515625" bestFit="1" customWidth="1"/>
    <col min="13" max="13" width="11.85546875" customWidth="1"/>
    <col min="14" max="14" width="14.42578125" customWidth="1"/>
    <col min="15" max="15" width="43.5703125" hidden="1" customWidth="1"/>
    <col min="16" max="16" width="8.85546875" hidden="1" customWidth="1"/>
    <col min="17" max="17" width="13" hidden="1" customWidth="1"/>
    <col min="18" max="18" width="40.28515625" customWidth="1"/>
    <col min="19" max="19" width="9" customWidth="1"/>
    <col min="20" max="20" width="11.7109375" customWidth="1"/>
    <col min="21" max="21" width="36.7109375" hidden="1" customWidth="1"/>
    <col min="22" max="22" width="11.5703125" hidden="1" customWidth="1"/>
    <col min="23" max="23" width="13" hidden="1" customWidth="1"/>
    <col min="24" max="24" width="36.7109375" hidden="1" customWidth="1"/>
    <col min="25" max="25" width="9.140625" hidden="1" customWidth="1"/>
    <col min="26" max="26" width="13" hidden="1" customWidth="1"/>
    <col min="27" max="27" width="13.7109375" bestFit="1" customWidth="1"/>
    <col min="28" max="28" width="16.7109375" customWidth="1"/>
    <col min="29" max="29" width="14.7109375" bestFit="1" customWidth="1"/>
    <col min="30" max="30" width="21.7109375" bestFit="1" customWidth="1"/>
    <col min="31" max="31" width="12.85546875" bestFit="1" customWidth="1"/>
    <col min="32" max="32" width="55.28515625" customWidth="1"/>
  </cols>
  <sheetData>
    <row r="1" spans="2:28" ht="15.75" thickBot="1" x14ac:dyDescent="0.3">
      <c r="X1" t="s">
        <v>352</v>
      </c>
    </row>
    <row r="2" spans="2:28" x14ac:dyDescent="0.25">
      <c r="B2" s="4" t="s">
        <v>12</v>
      </c>
      <c r="C2" s="5"/>
      <c r="D2" s="5"/>
      <c r="E2" s="5"/>
      <c r="F2" s="5"/>
      <c r="G2" s="5"/>
      <c r="H2" s="5"/>
      <c r="I2" s="5"/>
      <c r="J2" s="5"/>
      <c r="K2" s="5"/>
      <c r="L2" s="5"/>
      <c r="M2" s="5"/>
      <c r="N2" s="5"/>
      <c r="O2" s="5"/>
      <c r="P2" s="6"/>
    </row>
    <row r="3" spans="2:28" x14ac:dyDescent="0.25">
      <c r="B3" s="117" t="s">
        <v>283</v>
      </c>
      <c r="C3" s="8"/>
      <c r="D3" s="8"/>
      <c r="E3" s="8"/>
      <c r="F3" s="8"/>
      <c r="G3" s="8"/>
      <c r="H3" s="8"/>
      <c r="I3" s="8"/>
      <c r="J3" s="8"/>
      <c r="K3" s="8"/>
      <c r="L3" s="8"/>
      <c r="M3" s="8"/>
      <c r="N3" s="8"/>
      <c r="O3" s="8"/>
      <c r="P3" s="9"/>
    </row>
    <row r="4" spans="2:28" x14ac:dyDescent="0.25">
      <c r="B4" s="7" t="s">
        <v>353</v>
      </c>
      <c r="C4" s="8"/>
      <c r="D4" s="8"/>
      <c r="E4" s="8"/>
      <c r="F4" s="8"/>
      <c r="G4" s="8"/>
      <c r="H4" s="8"/>
      <c r="I4" s="8"/>
      <c r="J4" s="8"/>
      <c r="K4" s="8"/>
      <c r="L4" s="8"/>
      <c r="M4" s="8"/>
      <c r="N4" s="8"/>
      <c r="O4" s="8"/>
      <c r="P4" s="9"/>
    </row>
    <row r="5" spans="2:28" x14ac:dyDescent="0.25">
      <c r="B5" s="7" t="s">
        <v>354</v>
      </c>
      <c r="C5" s="8"/>
      <c r="D5" s="8"/>
      <c r="E5" s="8"/>
      <c r="F5" s="8"/>
      <c r="G5" s="8"/>
      <c r="H5" s="8"/>
      <c r="I5" s="8"/>
      <c r="J5" s="8"/>
      <c r="K5" s="8"/>
      <c r="L5" s="8"/>
      <c r="M5" s="8"/>
      <c r="N5" s="8"/>
      <c r="O5" s="8"/>
      <c r="P5" s="9"/>
    </row>
    <row r="6" spans="2:28" x14ac:dyDescent="0.25">
      <c r="B6" s="7" t="s">
        <v>285</v>
      </c>
      <c r="C6" s="8"/>
      <c r="D6" s="8"/>
      <c r="E6" s="8"/>
      <c r="F6" s="8"/>
      <c r="G6" s="8"/>
      <c r="H6" s="8"/>
      <c r="I6" s="8"/>
      <c r="J6" s="8"/>
      <c r="K6" s="8"/>
      <c r="L6" s="8"/>
      <c r="M6" s="8"/>
      <c r="N6" s="8"/>
      <c r="O6" s="8"/>
      <c r="P6" s="9"/>
    </row>
    <row r="7" spans="2:28" ht="15.75" thickBot="1" x14ac:dyDescent="0.3">
      <c r="B7" s="108"/>
      <c r="C7" s="11"/>
      <c r="D7" s="11"/>
      <c r="E7" s="11"/>
      <c r="F7" s="11"/>
      <c r="G7" s="11"/>
      <c r="H7" s="11"/>
      <c r="I7" s="11"/>
      <c r="J7" s="11"/>
      <c r="K7" s="11"/>
      <c r="L7" s="11"/>
      <c r="M7" s="11"/>
      <c r="N7" s="11"/>
      <c r="O7" s="11"/>
      <c r="P7" s="12"/>
    </row>
    <row r="9" spans="2:28" ht="19.5" customHeight="1" x14ac:dyDescent="0.25"/>
    <row r="10" spans="2:28" ht="19.5" customHeight="1" x14ac:dyDescent="0.25"/>
    <row r="11" spans="2:28" ht="19.5" customHeight="1" x14ac:dyDescent="0.25"/>
    <row r="12" spans="2:28" ht="19.5" customHeight="1" x14ac:dyDescent="0.25"/>
    <row r="13" spans="2:28" ht="19.5" customHeight="1" x14ac:dyDescent="0.25"/>
    <row r="14" spans="2:28" ht="19.5" customHeight="1" x14ac:dyDescent="0.25">
      <c r="AB14">
        <f>MATCH(AA24,E24:Z24,0)</f>
        <v>9</v>
      </c>
    </row>
    <row r="15" spans="2:28" ht="15.75" thickBot="1" x14ac:dyDescent="0.3"/>
    <row r="16" spans="2:28" ht="15.75" hidden="1" thickBot="1" x14ac:dyDescent="0.3">
      <c r="F16" t="s">
        <v>288</v>
      </c>
      <c r="M16" t="s">
        <v>289</v>
      </c>
      <c r="P16" t="s">
        <v>290</v>
      </c>
      <c r="S16" t="s">
        <v>291</v>
      </c>
      <c r="V16" t="s">
        <v>292</v>
      </c>
      <c r="Y16" t="s">
        <v>293</v>
      </c>
    </row>
    <row r="17" spans="2:32" ht="15.75" thickBot="1" x14ac:dyDescent="0.3">
      <c r="B17" s="722" t="s">
        <v>355</v>
      </c>
      <c r="C17" s="723"/>
      <c r="D17" s="723"/>
      <c r="E17" s="723"/>
      <c r="F17" s="723"/>
      <c r="G17" s="723"/>
      <c r="H17" s="723"/>
      <c r="I17" s="723"/>
      <c r="J17" s="723"/>
      <c r="K17" s="723"/>
      <c r="L17" s="723"/>
      <c r="M17" s="723"/>
      <c r="N17" s="723"/>
      <c r="O17" s="723"/>
      <c r="P17" s="723"/>
      <c r="Q17" s="723"/>
      <c r="R17" s="723"/>
      <c r="S17" s="723"/>
      <c r="T17" s="723"/>
      <c r="U17" s="723"/>
      <c r="V17" s="723"/>
      <c r="W17" s="723"/>
      <c r="X17" s="723"/>
      <c r="Y17" s="723"/>
      <c r="Z17" s="723"/>
      <c r="AA17" s="723"/>
      <c r="AB17" s="723"/>
      <c r="AC17" s="723"/>
      <c r="AD17" s="723"/>
      <c r="AE17" s="723"/>
      <c r="AF17" s="724"/>
    </row>
    <row r="18" spans="2:32" x14ac:dyDescent="0.25">
      <c r="B18" s="725" t="s">
        <v>180</v>
      </c>
      <c r="C18" s="726"/>
      <c r="D18" s="726"/>
      <c r="E18" s="727" t="s">
        <v>288</v>
      </c>
      <c r="F18" s="667"/>
      <c r="G18" s="667"/>
      <c r="H18" s="667"/>
      <c r="I18" s="667"/>
      <c r="J18" s="667"/>
      <c r="K18" s="730"/>
      <c r="L18" s="185" t="s">
        <v>289</v>
      </c>
      <c r="M18" s="245" t="s">
        <v>289</v>
      </c>
      <c r="N18" s="246"/>
      <c r="O18" s="728" t="s">
        <v>290</v>
      </c>
      <c r="P18" s="729"/>
      <c r="Q18" s="731"/>
      <c r="R18" s="728" t="s">
        <v>291</v>
      </c>
      <c r="S18" s="729"/>
      <c r="T18" s="731"/>
      <c r="U18" s="667" t="s">
        <v>292</v>
      </c>
      <c r="V18" s="667"/>
      <c r="W18" s="730"/>
      <c r="X18" s="727" t="s">
        <v>293</v>
      </c>
      <c r="Y18" s="667"/>
      <c r="Z18" s="730"/>
      <c r="AA18" s="727" t="s">
        <v>205</v>
      </c>
      <c r="AB18" s="667"/>
      <c r="AC18" s="667"/>
      <c r="AD18" s="667"/>
      <c r="AE18" s="667"/>
      <c r="AF18" s="730"/>
    </row>
    <row r="19" spans="2:32" ht="45" x14ac:dyDescent="0.25">
      <c r="B19" s="14" t="s">
        <v>24</v>
      </c>
      <c r="C19" s="17" t="s">
        <v>30</v>
      </c>
      <c r="D19" s="147" t="s">
        <v>32</v>
      </c>
      <c r="E19" s="148" t="s">
        <v>294</v>
      </c>
      <c r="F19" s="149" t="s">
        <v>356</v>
      </c>
      <c r="G19" s="163" t="s">
        <v>357</v>
      </c>
      <c r="H19" s="149" t="s">
        <v>358</v>
      </c>
      <c r="I19" s="163" t="s">
        <v>359</v>
      </c>
      <c r="J19" s="149" t="s">
        <v>360</v>
      </c>
      <c r="K19" s="164" t="s">
        <v>361</v>
      </c>
      <c r="L19" s="148" t="s">
        <v>301</v>
      </c>
      <c r="M19" s="149" t="s">
        <v>362</v>
      </c>
      <c r="N19" s="164" t="s">
        <v>363</v>
      </c>
      <c r="O19" s="148" t="s">
        <v>307</v>
      </c>
      <c r="P19" s="149" t="s">
        <v>364</v>
      </c>
      <c r="Q19" s="164" t="s">
        <v>365</v>
      </c>
      <c r="R19" s="148" t="s">
        <v>313</v>
      </c>
      <c r="S19" s="149" t="s">
        <v>366</v>
      </c>
      <c r="T19" s="164" t="s">
        <v>367</v>
      </c>
      <c r="U19" s="148" t="s">
        <v>319</v>
      </c>
      <c r="V19" s="149" t="s">
        <v>368</v>
      </c>
      <c r="W19" s="149" t="s">
        <v>369</v>
      </c>
      <c r="X19" s="148" t="s">
        <v>325</v>
      </c>
      <c r="Y19" s="149" t="s">
        <v>370</v>
      </c>
      <c r="Z19" s="164" t="s">
        <v>371</v>
      </c>
      <c r="AA19" s="165" t="s">
        <v>372</v>
      </c>
      <c r="AB19" s="147" t="s">
        <v>373</v>
      </c>
      <c r="AC19" s="151" t="s">
        <v>374</v>
      </c>
      <c r="AD19" s="147" t="s">
        <v>375</v>
      </c>
      <c r="AE19" s="151" t="s">
        <v>376</v>
      </c>
      <c r="AF19" s="15" t="s">
        <v>337</v>
      </c>
    </row>
    <row r="20" spans="2:32" x14ac:dyDescent="0.25">
      <c r="B20" s="18">
        <v>1</v>
      </c>
      <c r="C20" s="19" t="str">
        <f>IF('Master Room List'!R16="","",'Master Room List'!R16)</f>
        <v/>
      </c>
      <c r="D20" s="19" t="str">
        <f>IF(LightingAssumptions[[#This Row],[SpaceType]]="","-",VLOOKUP(LightingAssumptions[[#This Row],[SpaceType]],MasterRoomList_SpaceTypeSummary[[#All],[SpaceType]:[Number of Spaces]],2,FALSE))</f>
        <v>-</v>
      </c>
      <c r="E20" s="152" t="s">
        <v>377</v>
      </c>
      <c r="F20" s="19">
        <f>IFERROR(VLOOKUP(E20,'Raw Data - Lighting'!$AG$3:$AH$77,2,FALSE),"")</f>
        <v>0.85</v>
      </c>
      <c r="G20" s="154" t="s">
        <v>214</v>
      </c>
      <c r="H20" s="19" t="str">
        <f>IFERROR(IF(OR(VLOOKUP($E20,'Raw Data - Lighting'!$AG$3:$AJ$76,3,FALSE)=$G20,VLOOKUP($E20,'Raw Data - Lighting'!$AG$3:$AJ$76,4,FALSE)=$G20),VLOOKUP($G20,'Raw Data - Lighting'!$AL$4:$AM$18,2,FALSE),IF($G20="-","","This Qualified Lighting System does not correspond with the Primary Function Area")),"")</f>
        <v/>
      </c>
      <c r="I20" s="154" t="s">
        <v>214</v>
      </c>
      <c r="J20" s="95" t="str">
        <f>IFERROR(IF(OR(VLOOKUP($E20,'Raw Data - Lighting'!$AG$3:$AJ$76,3,FALSE)=$I20,VLOOKUP($E20,'Raw Data - Lighting'!$AG$3:$AJ$76,4,FALSE)=$I20),VLOOKUP($I20,'Raw Data - Lighting'!$AL$4:$AM$18,2,FALSE),IF($I20="-","","This Qualified Lighting System does not correspond with the Primary Function Area")),"")</f>
        <v/>
      </c>
      <c r="K20" s="36">
        <f>IF(AND(G20="-",I20="-"),LightingAssumptions[[#This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0.85</v>
      </c>
      <c r="L20" s="152" t="s">
        <v>378</v>
      </c>
      <c r="M20" s="19">
        <f>IFERROR(VLOOKUP(LightingAssumptions[[#This Row],[ASHRAE 2007 Space Type]],'Raw Data - Lighting'!$C$4:$E$121,2,FALSE),"")</f>
        <v>1.3</v>
      </c>
      <c r="N20" s="36">
        <f>IFERROR(VLOOKUP(LightingAssumptions[[#This Row],[ASHRAE 2007 Space Type]],'Raw Data - Lighting'!$C$4:$E$121,3,FALSE),"")</f>
        <v>6</v>
      </c>
      <c r="O20" s="152"/>
      <c r="P20" s="19" t="str">
        <f>IFERROR(VLOOKUP(LightingAssumptions[[#This Row],[ASHRAE 2010 Space Type]],'Raw Data - Lighting'!$I$4:$K$121,2,FALSE),"")</f>
        <v/>
      </c>
      <c r="Q20" s="36" t="str">
        <f>IFERROR(VLOOKUP(LightingAssumptions[[#This Row],[ASHRAE 2010 Space Type]],'Raw Data - Lighting'!$I$4:$K$121,3,FALSE),"")</f>
        <v/>
      </c>
      <c r="R20" s="152" t="s">
        <v>378</v>
      </c>
      <c r="S20" s="19">
        <f>IFERROR(VLOOKUP(LightingAssumptions[[#This Row],[ASHRAE 2013 Space Type]],'Raw Data - Lighting'!$O$4:$Q$121,2,FALSE),"")</f>
        <v>1.23</v>
      </c>
      <c r="T20" s="36">
        <f>IFERROR(VLOOKUP(LightingAssumptions[[#This Row],[ASHRAE 2013 Space Type]],'Raw Data - Lighting'!$O$4:$Q$121,3,FALSE),"")</f>
        <v>6</v>
      </c>
      <c r="U20" s="154"/>
      <c r="V20" s="19" t="str">
        <f>IFERROR(VLOOKUP(LightingAssumptions[[#This Row],[ASHRAE 2016 Space Type]],'Raw Data - Lighting'!$U$4:$W$131,2,FALSE),"")</f>
        <v/>
      </c>
      <c r="W20" s="36" t="str">
        <f>IFERROR(VLOOKUP(LightingAssumptions[[#This Row],[ASHRAE 2016 Space Type]],'Raw Data - Lighting'!$U$4:$W$131,3,FALSE),"")</f>
        <v/>
      </c>
      <c r="X20" s="152"/>
      <c r="Y20" s="19" t="str">
        <f>IFERROR(VLOOKUP(LightingAssumptions[[#This Row],[ASHRAE 2019 Space Type]],'Raw Data - Lighting'!$AA$4:$AC$128,2,FALSE),"")</f>
        <v/>
      </c>
      <c r="Z20" s="36" t="str">
        <f>IFERROR(VLOOKUP(LightingAssumptions[[#This Row],[ASHRAE 2019 Space Type]],'Raw Data - Lighting'!$AA$4:$AC$128,3,FALSE),"")</f>
        <v/>
      </c>
      <c r="AA20"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0.85</v>
      </c>
      <c r="AB20" s="95" t="str">
        <f>IFERROR(IF(LightingAssumptions[[#This Row],[Min Code LPD 
'[W/sqft']]]="","",INDEX($E$16:$Z$20,1,MATCH(LightingAssumptions[[#This Row],[Min Code LPD 
'[W/sqft']]],LightingAssumptions[[#This Row],[Primary Function Area]:[RCR Threshold]],0))),"")</f>
        <v>Title-24 2019</v>
      </c>
      <c r="AC20" s="154">
        <f>LightingAssumptions[[#This Row],[Total Allowed LPD (W/sqft, Unless noted otherwise)]]</f>
        <v>0.85</v>
      </c>
      <c r="AD20" s="166">
        <f>IFERROR(IF(LightingAssumptions[[#This Row],[Design LPD 
'[W/sqft']]]="","",1-LightingAssumptions[[#This Row],[Design LPD 
'[W/sqft']]]/LightingAssumptions[[#This Row],[Min Code LPD 
'[W/sqft']]]),"")</f>
        <v>0</v>
      </c>
      <c r="AE20" s="154">
        <v>2</v>
      </c>
      <c r="AF20" s="462" t="s">
        <v>340</v>
      </c>
    </row>
    <row r="21" spans="2:32" x14ac:dyDescent="0.25">
      <c r="B21" s="18">
        <v>2</v>
      </c>
      <c r="C21" s="19" t="str">
        <f>IF('Master Room List'!R17="","",'Master Room List'!R17)</f>
        <v/>
      </c>
      <c r="D21" s="19" t="str">
        <f>IF(LightingAssumptions[[#This Row],[SpaceType]]="","-",VLOOKUP(LightingAssumptions[[#This Row],[SpaceType]],MasterRoomList_SpaceTypeSummary[[#All],[SpaceType]:[Number of Spaces]],2,FALSE))</f>
        <v>-</v>
      </c>
      <c r="E21" s="152" t="s">
        <v>379</v>
      </c>
      <c r="F21" s="19">
        <f>IFERROR(VLOOKUP(E21,'Raw Data - Lighting'!$AG$3:$AH$77,2,FALSE),"")</f>
        <v>0.6</v>
      </c>
      <c r="G21" s="154" t="s">
        <v>214</v>
      </c>
      <c r="H21" s="19">
        <f>IFERROR(IF(OR(VLOOKUP($E21,'Raw Data - Lighting'!$AG$3:$AJ$76,3,FALSE)=$G21,VLOOKUP($E21,'Raw Data - Lighting'!$AG$3:$AJ$76,4,FALSE)=$G21),VLOOKUP($G21,'Raw Data - Lighting'!$AL$4:$AM$18,2,FALSE),IF($G21="-","","This Qualified Lighting System does not correspond with the Primary Function Area")),"")</f>
        <v>0</v>
      </c>
      <c r="I21" s="154" t="s">
        <v>214</v>
      </c>
      <c r="J21" s="95">
        <f>IFERROR(IF(OR(VLOOKUP($E21,'Raw Data - Lighting'!$AG$3:$AJ$76,3,FALSE)=$I21,VLOOKUP($E21,'Raw Data - Lighting'!$AG$3:$AJ$76,4,FALSE)=$I21),VLOOKUP($I21,'Raw Data - Lighting'!$AL$4:$AM$18,2,FALSE),IF($I21="-","","This Qualified Lighting System does not correspond with the Primary Function Area")),"")</f>
        <v>0</v>
      </c>
      <c r="K21" s="36">
        <f>IF(AND(G21="-",I21="-"),LightingAssumptions[[#This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0.6</v>
      </c>
      <c r="L21" s="152" t="s">
        <v>380</v>
      </c>
      <c r="M21" s="19">
        <f>IFERROR(VLOOKUP(LightingAssumptions[[#This Row],[ASHRAE 2007 Space Type]],'Raw Data - Lighting'!$C$4:$E$121,2,FALSE),"")</f>
        <v>1</v>
      </c>
      <c r="N21" s="19" t="str">
        <f>IFERROR(VLOOKUP(LightingAssumptions[[#This Row],[ASHRAE 2007 Space Type]],'Raw Data - Lighting'!$C$4:$E$121,3,FALSE),"")</f>
        <v>Width &lt; 8ft</v>
      </c>
      <c r="O21" s="152"/>
      <c r="P21" s="19" t="str">
        <f>IFERROR(VLOOKUP(LightingAssumptions[[#This Row],[ASHRAE 2010 Space Type]],'Raw Data - Lighting'!$I$4:$K$121,2,FALSE),"")</f>
        <v/>
      </c>
      <c r="Q21" s="36" t="str">
        <f>IFERROR(VLOOKUP(LightingAssumptions[[#This Row],[ASHRAE 2010 Space Type]],'Raw Data - Lighting'!$I$4:$K$121,3,FALSE),"")</f>
        <v/>
      </c>
      <c r="R21" s="152" t="s">
        <v>380</v>
      </c>
      <c r="S21" s="19">
        <f>IFERROR(VLOOKUP(LightingAssumptions[[#This Row],[ASHRAE 2013 Space Type]],'Raw Data - Lighting'!$O$4:$Q$121,2,FALSE),"")</f>
        <v>0.99</v>
      </c>
      <c r="T21" s="36" t="str">
        <f>IFERROR(VLOOKUP(LightingAssumptions[[#This Row],[ASHRAE 2013 Space Type]],'Raw Data - Lighting'!$O$4:$Q$121,3,FALSE),"")</f>
        <v>Width &lt; 8ft</v>
      </c>
      <c r="U21" s="154"/>
      <c r="V21" s="19" t="str">
        <f>IFERROR(VLOOKUP(LightingAssumptions[[#This Row],[ASHRAE 2016 Space Type]],'Raw Data - Lighting'!$U$4:$W$131,2,FALSE),"")</f>
        <v/>
      </c>
      <c r="W21" s="19" t="str">
        <f>IFERROR(VLOOKUP(LightingAssumptions[[#This Row],[ASHRAE 2016 Space Type]],'Raw Data - Lighting'!$U$4:$W$131,3,FALSE),"")</f>
        <v/>
      </c>
      <c r="X21" s="152"/>
      <c r="Y21" s="19" t="str">
        <f>IFERROR(VLOOKUP(LightingAssumptions[[#This Row],[ASHRAE 2019 Space Type]],'Raw Data - Lighting'!$AA$4:$AC$128,2,FALSE),"")</f>
        <v/>
      </c>
      <c r="Z21" s="36" t="str">
        <f>IFERROR(VLOOKUP(LightingAssumptions[[#This Row],[ASHRAE 2019 Space Type]],'Raw Data - Lighting'!$AA$4:$AC$128,3,FALSE),"")</f>
        <v/>
      </c>
      <c r="AA21"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0.6</v>
      </c>
      <c r="AB21" s="95" t="str">
        <f>IFERROR(IF(LightingAssumptions[[#This Row],[Min Code LPD 
'[W/sqft']]]="","",INDEX($E$16:$Z$20,1,MATCH(LightingAssumptions[[#This Row],[Min Code LPD 
'[W/sqft']]],LightingAssumptions[[#This Row],[Primary Function Area]:[RCR Threshold]],0))),"")</f>
        <v>Title-24 2019</v>
      </c>
      <c r="AC21" s="154">
        <f>LightingAssumptions[[#This Row],[Total Allowed LPD (W/sqft, Unless noted otherwise)]]</f>
        <v>0.6</v>
      </c>
      <c r="AD21" s="166">
        <f>IFERROR(IF(LightingAssumptions[[#This Row],[Design LPD 
'[W/sqft']]]="","",1-LightingAssumptions[[#This Row],[Design LPD 
'[W/sqft']]]/LightingAssumptions[[#This Row],[Min Code LPD 
'[W/sqft']]]),"")</f>
        <v>0</v>
      </c>
      <c r="AE21" s="154">
        <v>0</v>
      </c>
      <c r="AF21" s="462"/>
    </row>
    <row r="22" spans="2:32" x14ac:dyDescent="0.25">
      <c r="B22" s="18">
        <v>3</v>
      </c>
      <c r="C22" s="19" t="str">
        <f>IF('Master Room List'!R18="","",'Master Room List'!R18)</f>
        <v/>
      </c>
      <c r="D22" s="19" t="str">
        <f>IF(LightingAssumptions[[#This Row],[SpaceType]]="","-",VLOOKUP(LightingAssumptions[[#This Row],[SpaceType]],MasterRoomList_SpaceTypeSummary[[#All],[SpaceType]:[Number of Spaces]],2,FALSE))</f>
        <v>-</v>
      </c>
      <c r="E22" s="152" t="s">
        <v>381</v>
      </c>
      <c r="F22" s="19">
        <f>IFERROR(VLOOKUP(E22,'Raw Data - Lighting'!$AG$3:$AH$77,2,FALSE),"")</f>
        <v>0.4</v>
      </c>
      <c r="G22" s="154" t="s">
        <v>214</v>
      </c>
      <c r="H22" s="19" t="str">
        <f>IFERROR(IF(OR(VLOOKUP($E22,'Raw Data - Lighting'!$AG$3:$AJ$76,3,FALSE)=$G22,VLOOKUP($E22,'Raw Data - Lighting'!$AG$3:$AJ$76,4,FALSE)=$G22),VLOOKUP($G22,'Raw Data - Lighting'!$AL$4:$AM$18,2,FALSE),IF($G22="-","","This Qualified Lighting System does not correspond with the Primary Function Area")),"")</f>
        <v/>
      </c>
      <c r="I22" s="154" t="s">
        <v>214</v>
      </c>
      <c r="J22" s="95" t="str">
        <f>IFERROR(IF(OR(VLOOKUP($E22,'Raw Data - Lighting'!$AG$3:$AJ$76,3,FALSE)=$I22,VLOOKUP($E22,'Raw Data - Lighting'!$AG$3:$AJ$76,4,FALSE)=$I22),VLOOKUP($I22,'Raw Data - Lighting'!$AL$4:$AM$18,2,FALSE),IF($I22="-","","This Qualified Lighting System does not correspond with the Primary Function Area")),"")</f>
        <v/>
      </c>
      <c r="K22" s="36">
        <f>IF(AND(G22="-",I22="-"),LightingAssumptions[[#This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0.4</v>
      </c>
      <c r="L22" s="152" t="s">
        <v>382</v>
      </c>
      <c r="M22" s="19">
        <f>IFERROR(VLOOKUP(LightingAssumptions[[#This Row],[ASHRAE 2007 Space Type]],'Raw Data - Lighting'!$C$4:$E$121,2,FALSE),"")</f>
        <v>1.5</v>
      </c>
      <c r="N22" s="19">
        <f>IFERROR(VLOOKUP(LightingAssumptions[[#This Row],[ASHRAE 2007 Space Type]],'Raw Data - Lighting'!$C$4:$E$121,3,FALSE),"")</f>
        <v>6</v>
      </c>
      <c r="O22" s="152"/>
      <c r="P22" s="19" t="str">
        <f>IFERROR(VLOOKUP(LightingAssumptions[[#This Row],[ASHRAE 2010 Space Type]],'Raw Data - Lighting'!$I$4:$K$121,2,FALSE),"")</f>
        <v/>
      </c>
      <c r="Q22" s="36" t="str">
        <f>IFERROR(VLOOKUP(LightingAssumptions[[#This Row],[ASHRAE 2010 Space Type]],'Raw Data - Lighting'!$I$4:$K$121,3,FALSE),"")</f>
        <v/>
      </c>
      <c r="R22" s="152" t="s">
        <v>382</v>
      </c>
      <c r="S22" s="19">
        <f>IFERROR(VLOOKUP(LightingAssumptions[[#This Row],[ASHRAE 2013 Space Type]],'Raw Data - Lighting'!$O$4:$Q$121,2,FALSE),"")</f>
        <v>0.42</v>
      </c>
      <c r="T22" s="36">
        <f>IFERROR(VLOOKUP(LightingAssumptions[[#This Row],[ASHRAE 2013 Space Type]],'Raw Data - Lighting'!$O$4:$Q$121,3,FALSE),"")</f>
        <v>6</v>
      </c>
      <c r="U22" s="154"/>
      <c r="V22" s="19" t="str">
        <f>IFERROR(VLOOKUP(LightingAssumptions[[#This Row],[ASHRAE 2016 Space Type]],'Raw Data - Lighting'!$U$4:$W$131,2,FALSE),"")</f>
        <v/>
      </c>
      <c r="W22" s="19" t="str">
        <f>IFERROR(VLOOKUP(LightingAssumptions[[#This Row],[ASHRAE 2016 Space Type]],'Raw Data - Lighting'!$U$4:$W$131,3,FALSE),"")</f>
        <v/>
      </c>
      <c r="X22" s="152"/>
      <c r="Y22" s="19" t="str">
        <f>IFERROR(VLOOKUP(LightingAssumptions[[#This Row],[ASHRAE 2019 Space Type]],'Raw Data - Lighting'!$AA$4:$AC$128,2,FALSE),"")</f>
        <v/>
      </c>
      <c r="Z22" s="36" t="str">
        <f>IFERROR(VLOOKUP(LightingAssumptions[[#This Row],[ASHRAE 2019 Space Type]],'Raw Data - Lighting'!$AA$4:$AC$128,3,FALSE),"")</f>
        <v/>
      </c>
      <c r="AA22"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0.4</v>
      </c>
      <c r="AB22" s="95" t="str">
        <f>IFERROR(IF(LightingAssumptions[[#This Row],[Min Code LPD 
'[W/sqft']]]="","",INDEX($E$16:$Z$20,1,MATCH(LightingAssumptions[[#This Row],[Min Code LPD 
'[W/sqft']]],LightingAssumptions[[#This Row],[Primary Function Area]:[RCR Threshold]],0))),"")</f>
        <v>Title-24 2019</v>
      </c>
      <c r="AC22" s="154">
        <f>LightingAssumptions[[#This Row],[Total Allowed LPD (W/sqft, Unless noted otherwise)]]</f>
        <v>0.4</v>
      </c>
      <c r="AD22" s="166">
        <f>IFERROR(IF(LightingAssumptions[[#This Row],[Design LPD 
'[W/sqft']]]="","",1-LightingAssumptions[[#This Row],[Design LPD 
'[W/sqft']]]/LightingAssumptions[[#This Row],[Min Code LPD 
'[W/sqft']]]),"")</f>
        <v>0</v>
      </c>
      <c r="AE22" s="154">
        <v>5</v>
      </c>
      <c r="AF22" s="462"/>
    </row>
    <row r="23" spans="2:32" x14ac:dyDescent="0.25">
      <c r="B23" s="18">
        <v>4</v>
      </c>
      <c r="C23" s="19" t="str">
        <f>IF('Master Room List'!R19="","",'Master Room List'!R19)</f>
        <v/>
      </c>
      <c r="D23" s="19" t="str">
        <f>IF(LightingAssumptions[[#This Row],[SpaceType]]="","-",VLOOKUP(LightingAssumptions[[#This Row],[SpaceType]],MasterRoomList_SpaceTypeSummary[[#All],[SpaceType]:[Number of Spaces]],2,FALSE))</f>
        <v>-</v>
      </c>
      <c r="E23" s="152" t="s">
        <v>383</v>
      </c>
      <c r="F23" s="19">
        <f>IFERROR(VLOOKUP(E23,'Raw Data - Lighting'!$AG$3:$AH$77,2,FALSE),"")</f>
        <v>1.1499999999999999</v>
      </c>
      <c r="G23" s="154" t="s">
        <v>214</v>
      </c>
      <c r="H23" s="19">
        <f>IFERROR(IF(OR(VLOOKUP($E23,'Raw Data - Lighting'!$AG$3:$AJ$76,3,FALSE)=$G23,VLOOKUP($E23,'Raw Data - Lighting'!$AG$3:$AJ$76,4,FALSE)=$G23),VLOOKUP($G23,'Raw Data - Lighting'!$AL$4:$AM$18,2,FALSE),IF($G23="-","","This Qualified Lighting System does not correspond with the Primary Function Area")),"")</f>
        <v>0</v>
      </c>
      <c r="I23" s="154" t="s">
        <v>214</v>
      </c>
      <c r="J23" s="95">
        <f>IFERROR(IF(OR(VLOOKUP($E23,'Raw Data - Lighting'!$AG$3:$AJ$76,3,FALSE)=$I23,VLOOKUP($E23,'Raw Data - Lighting'!$AG$3:$AJ$76,4,FALSE)=$I23),VLOOKUP($I23,'Raw Data - Lighting'!$AL$4:$AM$18,2,FALSE),IF($I23="-","","This Qualified Lighting System does not correspond with the Primary Function Area")),"")</f>
        <v>0</v>
      </c>
      <c r="K23" s="36">
        <f>IF(AND(G23="-",I23="-"),LightingAssumptions[[#This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1.1499999999999999</v>
      </c>
      <c r="L23" s="152" t="s">
        <v>384</v>
      </c>
      <c r="M23" s="19">
        <f>IFERROR(VLOOKUP(LightingAssumptions[[#This Row],[ASHRAE 2007 Space Type]],'Raw Data - Lighting'!$C$4:$E$121,2,FALSE),"")</f>
        <v>1.5</v>
      </c>
      <c r="N23" s="19">
        <f>IFERROR(VLOOKUP(LightingAssumptions[[#This Row],[ASHRAE 2007 Space Type]],'Raw Data - Lighting'!$C$4:$E$121,3,FALSE),"")</f>
        <v>8</v>
      </c>
      <c r="O23" s="152"/>
      <c r="P23" s="19" t="str">
        <f>IFERROR(VLOOKUP(LightingAssumptions[[#This Row],[ASHRAE 2010 Space Type]],'Raw Data - Lighting'!$I$4:$K$121,2,FALSE),"")</f>
        <v/>
      </c>
      <c r="Q23" s="36" t="str">
        <f>IFERROR(VLOOKUP(LightingAssumptions[[#This Row],[ASHRAE 2010 Space Type]],'Raw Data - Lighting'!$I$4:$K$121,3,FALSE),"")</f>
        <v/>
      </c>
      <c r="R23" s="152" t="s">
        <v>384</v>
      </c>
      <c r="S23" s="19">
        <f>IFERROR(VLOOKUP(LightingAssumptions[[#This Row],[ASHRAE 2013 Space Type]],'Raw Data - Lighting'!$O$4:$Q$121,2,FALSE),"")</f>
        <v>1.66</v>
      </c>
      <c r="T23" s="36">
        <f>IFERROR(VLOOKUP(LightingAssumptions[[#This Row],[ASHRAE 2013 Space Type]],'Raw Data - Lighting'!$O$4:$Q$121,3,FALSE),"")</f>
        <v>8</v>
      </c>
      <c r="U23" s="154"/>
      <c r="V23" s="19" t="str">
        <f>IFERROR(VLOOKUP(LightingAssumptions[[#This Row],[ASHRAE 2016 Space Type]],'Raw Data - Lighting'!$U$4:$W$131,2,FALSE),"")</f>
        <v/>
      </c>
      <c r="W23" s="19" t="str">
        <f>IFERROR(VLOOKUP(LightingAssumptions[[#This Row],[ASHRAE 2016 Space Type]],'Raw Data - Lighting'!$U$4:$W$131,3,FALSE),"")</f>
        <v/>
      </c>
      <c r="X23" s="152"/>
      <c r="Y23" s="19" t="str">
        <f>IFERROR(VLOOKUP(LightingAssumptions[[#This Row],[ASHRAE 2019 Space Type]],'Raw Data - Lighting'!$AA$4:$AC$128,2,FALSE),"")</f>
        <v/>
      </c>
      <c r="Z23" s="36" t="str">
        <f>IFERROR(VLOOKUP(LightingAssumptions[[#This Row],[ASHRAE 2019 Space Type]],'Raw Data - Lighting'!$AA$4:$AC$128,3,FALSE),"")</f>
        <v/>
      </c>
      <c r="AA23"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1.1499999999999999</v>
      </c>
      <c r="AB23" s="95" t="str">
        <f>IFERROR(IF(LightingAssumptions[[#This Row],[Min Code LPD 
'[W/sqft']]]="","",INDEX($E$16:$Z$20,1,MATCH(LightingAssumptions[[#This Row],[Min Code LPD 
'[W/sqft']]],LightingAssumptions[[#This Row],[Primary Function Area]:[RCR Threshold]],0))),"")</f>
        <v>Title-24 2019</v>
      </c>
      <c r="AC23" s="154">
        <f>LightingAssumptions[[#This Row],[Total Allowed LPD (W/sqft, Unless noted otherwise)]]</f>
        <v>1.1499999999999999</v>
      </c>
      <c r="AD23" s="166">
        <f>IFERROR(IF(LightingAssumptions[[#This Row],[Design LPD 
'[W/sqft']]]="","",1-LightingAssumptions[[#This Row],[Design LPD 
'[W/sqft']]]/LightingAssumptions[[#This Row],[Min Code LPD 
'[W/sqft']]]),"")</f>
        <v>0</v>
      </c>
      <c r="AE23" s="154">
        <v>2</v>
      </c>
      <c r="AF23" s="462"/>
    </row>
    <row r="24" spans="2:32" x14ac:dyDescent="0.25">
      <c r="B24" s="18">
        <v>5</v>
      </c>
      <c r="C24" s="19" t="str">
        <f>IF('Master Room List'!R20="","",'Master Room List'!R20)</f>
        <v/>
      </c>
      <c r="D24" s="19" t="str">
        <f>IF(LightingAssumptions[[#This Row],[SpaceType]]="","-",VLOOKUP(LightingAssumptions[[#This Row],[SpaceType]],MasterRoomList_SpaceTypeSummary[[#All],[SpaceType]:[Number of Spaces]],2,FALSE))</f>
        <v>-</v>
      </c>
      <c r="E24" s="152" t="s">
        <v>385</v>
      </c>
      <c r="F24" s="19">
        <f>IFERROR(VLOOKUP(E24,'Raw Data - Lighting'!$AG$3:$AH$77,2,FALSE),"")</f>
        <v>1</v>
      </c>
      <c r="G24" s="154" t="s">
        <v>214</v>
      </c>
      <c r="H24" s="19">
        <f>IFERROR(IF(OR(VLOOKUP($E24,'Raw Data - Lighting'!$AG$3:$AJ$76,3,FALSE)=$G24,VLOOKUP($E24,'Raw Data - Lighting'!$AG$3:$AJ$76,4,FALSE)=$G24),VLOOKUP($G24,'Raw Data - Lighting'!$AL$4:$AM$18,2,FALSE),IF($G24="-","","This Qualified Lighting System does not correspond with the Primary Function Area")),"")</f>
        <v>0</v>
      </c>
      <c r="I24" s="154" t="s">
        <v>214</v>
      </c>
      <c r="J24" s="95">
        <f>IFERROR(IF(OR(VLOOKUP($E24,'Raw Data - Lighting'!$AG$3:$AJ$76,3,FALSE)=$I24,VLOOKUP($E24,'Raw Data - Lighting'!$AG$3:$AJ$76,4,FALSE)=$I24),VLOOKUP($I24,'Raw Data - Lighting'!$AL$4:$AM$18,2,FALSE),IF($I24="-","","This Qualified Lighting System does not correspond with the Primary Function Area")),"")</f>
        <v>0</v>
      </c>
      <c r="K24" s="36">
        <f>IF(AND(G24="-",I24="-"),LightingAssumptions[[#This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1</v>
      </c>
      <c r="L24" s="152" t="s">
        <v>386</v>
      </c>
      <c r="M24" s="19">
        <f>IFERROR(VLOOKUP(LightingAssumptions[[#This Row],[ASHRAE 2007 Space Type]],'Raw Data - Lighting'!$C$4:$E$121,2,FALSE),"")</f>
        <v>0.4</v>
      </c>
      <c r="N24" s="19">
        <f>IFERROR(VLOOKUP(LightingAssumptions[[#This Row],[ASHRAE 2007 Space Type]],'Raw Data - Lighting'!$C$4:$E$121,3,FALSE),"")</f>
        <v>6</v>
      </c>
      <c r="O24" s="152"/>
      <c r="P24" s="19" t="str">
        <f>IFERROR(VLOOKUP(LightingAssumptions[[#This Row],[ASHRAE 2010 Space Type]],'Raw Data - Lighting'!$I$4:$K$121,2,FALSE),"")</f>
        <v/>
      </c>
      <c r="Q24" s="36" t="str">
        <f>IFERROR(VLOOKUP(LightingAssumptions[[#This Row],[ASHRAE 2010 Space Type]],'Raw Data - Lighting'!$I$4:$K$121,3,FALSE),"")</f>
        <v/>
      </c>
      <c r="R24" s="152" t="s">
        <v>387</v>
      </c>
      <c r="S24" s="19">
        <f>IFERROR(VLOOKUP(LightingAssumptions[[#This Row],[ASHRAE 2013 Space Type]],'Raw Data - Lighting'!$O$4:$Q$121,2,FALSE),"")</f>
        <v>1.51</v>
      </c>
      <c r="T24" s="36">
        <f>IFERROR(VLOOKUP(LightingAssumptions[[#This Row],[ASHRAE 2013 Space Type]],'Raw Data - Lighting'!$O$4:$Q$121,3,FALSE),"")</f>
        <v>6</v>
      </c>
      <c r="U24" s="154"/>
      <c r="V24" s="19" t="str">
        <f>IFERROR(VLOOKUP(LightingAssumptions[[#This Row],[ASHRAE 2016 Space Type]],'Raw Data - Lighting'!$U$4:$W$131,2,FALSE),"")</f>
        <v/>
      </c>
      <c r="W24" s="19" t="str">
        <f>IFERROR(VLOOKUP(LightingAssumptions[[#This Row],[ASHRAE 2016 Space Type]],'Raw Data - Lighting'!$U$4:$W$131,3,FALSE),"")</f>
        <v/>
      </c>
      <c r="X24" s="152"/>
      <c r="Y24" s="19" t="str">
        <f>IFERROR(VLOOKUP(LightingAssumptions[[#This Row],[ASHRAE 2019 Space Type]],'Raw Data - Lighting'!$AA$4:$AC$128,2,FALSE),"")</f>
        <v/>
      </c>
      <c r="Z24" s="36" t="str">
        <f>IFERROR(VLOOKUP(LightingAssumptions[[#This Row],[ASHRAE 2019 Space Type]],'Raw Data - Lighting'!$AA$4:$AC$128,3,FALSE),"")</f>
        <v/>
      </c>
      <c r="AA24"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0.4</v>
      </c>
      <c r="AB24" s="95" t="str">
        <f>IFERROR(IF(LightingAssumptions[[#This Row],[Min Code LPD 
'[W/sqft']]]="","",INDEX($E$16:$Z$20,1,MATCH(LightingAssumptions[[#This Row],[Min Code LPD 
'[W/sqft']]],LightingAssumptions[[#This Row],[Primary Function Area]:[RCR Threshold]],0))),"")</f>
        <v>ASHRAE 90.1-2007</v>
      </c>
      <c r="AC24" s="154">
        <f>LightingAssumptions[[#This Row],[Total Allowed LPD (W/sqft, Unless noted otherwise)]]</f>
        <v>1</v>
      </c>
      <c r="AD24" s="166">
        <f>IFERROR(IF(LightingAssumptions[[#This Row],[Design LPD 
'[W/sqft']]]="","",1-LightingAssumptions[[#This Row],[Design LPD 
'[W/sqft']]]/LightingAssumptions[[#This Row],[Min Code LPD 
'[W/sqft']]]),"")</f>
        <v>-1.5</v>
      </c>
      <c r="AE24" s="154">
        <v>6</v>
      </c>
      <c r="AF24" s="462"/>
    </row>
    <row r="25" spans="2:32" x14ac:dyDescent="0.25">
      <c r="B25" s="18">
        <v>6</v>
      </c>
      <c r="C25" s="19" t="str">
        <f>IF('Master Room List'!R21="","",'Master Room List'!R21)</f>
        <v/>
      </c>
      <c r="D25" s="19" t="str">
        <f>IF(LightingAssumptions[[#This Row],[SpaceType]]="","-",VLOOKUP(LightingAssumptions[[#This Row],[SpaceType]],MasterRoomList_SpaceTypeSummary[[#All],[SpaceType]:[Number of Spaces]],2,FALSE))</f>
        <v>-</v>
      </c>
      <c r="E25" s="152" t="s">
        <v>388</v>
      </c>
      <c r="F25" s="19">
        <f>IFERROR(VLOOKUP(E25,'Raw Data - Lighting'!$AG$3:$AH$77,2,FALSE),"")</f>
        <v>1</v>
      </c>
      <c r="G25" s="154" t="s">
        <v>214</v>
      </c>
      <c r="H25" s="19" t="str">
        <f>IFERROR(IF(OR(VLOOKUP($E25,'Raw Data - Lighting'!$AG$3:$AJ$76,3,FALSE)=$G25,VLOOKUP($E25,'Raw Data - Lighting'!$AG$3:$AJ$76,4,FALSE)=$G25),VLOOKUP($G25,'Raw Data - Lighting'!$AL$4:$AM$18,2,FALSE),IF($G25="-","","This Qualified Lighting System does not correspond with the Primary Function Area")),"")</f>
        <v/>
      </c>
      <c r="I25" s="154" t="s">
        <v>214</v>
      </c>
      <c r="J25" s="95" t="str">
        <f>IFERROR(IF(OR(VLOOKUP($E25,'Raw Data - Lighting'!$AG$3:$AJ$76,3,FALSE)=$I25,VLOOKUP($E25,'Raw Data - Lighting'!$AG$3:$AJ$76,4,FALSE)=$I25),VLOOKUP($I25,'Raw Data - Lighting'!$AL$4:$AM$18,2,FALSE),IF($I25="-","","This Qualified Lighting System does not correspond with the Primary Function Area")),"")</f>
        <v/>
      </c>
      <c r="K25" s="36">
        <f>IF(AND(G25="-",I25="-"),LightingAssumptions[[#This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1</v>
      </c>
      <c r="L25" s="152" t="s">
        <v>389</v>
      </c>
      <c r="M25" s="19">
        <f>IFERROR(VLOOKUP(LightingAssumptions[[#This Row],[ASHRAE 2007 Space Type]],'Raw Data - Lighting'!$C$4:$E$121,2,FALSE),"")</f>
        <v>1.4</v>
      </c>
      <c r="N25" s="19">
        <f>IFERROR(VLOOKUP(LightingAssumptions[[#This Row],[ASHRAE 2007 Space Type]],'Raw Data - Lighting'!$C$4:$E$121,3,FALSE),"")</f>
        <v>6</v>
      </c>
      <c r="O25" s="152"/>
      <c r="P25" s="19" t="str">
        <f>IFERROR(VLOOKUP(LightingAssumptions[[#This Row],[ASHRAE 2010 Space Type]],'Raw Data - Lighting'!$I$4:$K$121,2,FALSE),"")</f>
        <v/>
      </c>
      <c r="Q25" s="36" t="str">
        <f>IFERROR(VLOOKUP(LightingAssumptions[[#This Row],[ASHRAE 2010 Space Type]],'Raw Data - Lighting'!$I$4:$K$121,3,FALSE),"")</f>
        <v/>
      </c>
      <c r="R25" s="152" t="s">
        <v>390</v>
      </c>
      <c r="S25" s="19">
        <f>IFERROR(VLOOKUP(LightingAssumptions[[#This Row],[ASHRAE 2013 Space Type]],'Raw Data - Lighting'!$O$4:$Q$121,2,FALSE),"")</f>
        <v>1.81</v>
      </c>
      <c r="T25" s="36">
        <f>IFERROR(VLOOKUP(LightingAssumptions[[#This Row],[ASHRAE 2013 Space Type]],'Raw Data - Lighting'!$O$4:$Q$121,3,FALSE),"")</f>
        <v>6</v>
      </c>
      <c r="U25" s="154"/>
      <c r="V25" s="19" t="str">
        <f>IFERROR(VLOOKUP(LightingAssumptions[[#This Row],[ASHRAE 2016 Space Type]],'Raw Data - Lighting'!$U$4:$W$131,2,FALSE),"")</f>
        <v/>
      </c>
      <c r="W25" s="19" t="str">
        <f>IFERROR(VLOOKUP(LightingAssumptions[[#This Row],[ASHRAE 2016 Space Type]],'Raw Data - Lighting'!$U$4:$W$131,3,FALSE),"")</f>
        <v/>
      </c>
      <c r="X25" s="152"/>
      <c r="Y25" s="19" t="str">
        <f>IFERROR(VLOOKUP(LightingAssumptions[[#This Row],[ASHRAE 2019 Space Type]],'Raw Data - Lighting'!$AA$4:$AC$128,2,FALSE),"")</f>
        <v/>
      </c>
      <c r="Z25" s="36" t="str">
        <f>IFERROR(VLOOKUP(LightingAssumptions[[#This Row],[ASHRAE 2019 Space Type]],'Raw Data - Lighting'!$AA$4:$AC$128,3,FALSE),"")</f>
        <v/>
      </c>
      <c r="AA25"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1</v>
      </c>
      <c r="AB25" s="95" t="str">
        <f>IFERROR(IF(LightingAssumptions[[#This Row],[Min Code LPD 
'[W/sqft']]]="","",INDEX($E$16:$Z$20,1,MATCH(LightingAssumptions[[#This Row],[Min Code LPD 
'[W/sqft']]],LightingAssumptions[[#This Row],[Primary Function Area]:[RCR Threshold]],0))),"")</f>
        <v>Title-24 2019</v>
      </c>
      <c r="AC25" s="154">
        <f>LightingAssumptions[[#This Row],[Total Allowed LPD (W/sqft, Unless noted otherwise)]]</f>
        <v>1</v>
      </c>
      <c r="AD25" s="166">
        <f>IFERROR(IF(LightingAssumptions[[#This Row],[Design LPD 
'[W/sqft']]]="","",1-LightingAssumptions[[#This Row],[Design LPD 
'[W/sqft']]]/LightingAssumptions[[#This Row],[Min Code LPD 
'[W/sqft']]]),"")</f>
        <v>0</v>
      </c>
      <c r="AE25" s="154">
        <v>6</v>
      </c>
      <c r="AF25" s="462" t="s">
        <v>391</v>
      </c>
    </row>
    <row r="26" spans="2:32" x14ac:dyDescent="0.25">
      <c r="B26" s="18">
        <v>7</v>
      </c>
      <c r="C26" s="19" t="str">
        <f>IF('Master Room List'!R22="","",'Master Room List'!R22)</f>
        <v/>
      </c>
      <c r="D26" s="19" t="str">
        <f>IF(LightingAssumptions[[#This Row],[SpaceType]]="","-",VLOOKUP(LightingAssumptions[[#This Row],[SpaceType]],MasterRoomList_SpaceTypeSummary[[#All],[SpaceType]:[Number of Spaces]],2,FALSE))</f>
        <v>-</v>
      </c>
      <c r="E26" s="152" t="s">
        <v>392</v>
      </c>
      <c r="F26" s="19">
        <f>IFERROR(VLOOKUP(E26,'Raw Data - Lighting'!$AG$3:$AH$77,2,FALSE),"")</f>
        <v>0.85</v>
      </c>
      <c r="G26" s="154" t="s">
        <v>214</v>
      </c>
      <c r="H26" s="19" t="str">
        <f>IFERROR(IF(OR(VLOOKUP($E26,'Raw Data - Lighting'!$AG$3:$AJ$76,3,FALSE)=$G26,VLOOKUP($E26,'Raw Data - Lighting'!$AG$3:$AJ$76,4,FALSE)=$G26),VLOOKUP($G26,'Raw Data - Lighting'!$AL$4:$AM$18,2,FALSE),IF($G26="-","","This Qualified Lighting System does not correspond with the Primary Function Area")),"")</f>
        <v/>
      </c>
      <c r="I26" s="154" t="s">
        <v>214</v>
      </c>
      <c r="J26" s="95" t="str">
        <f>IFERROR(IF(OR(VLOOKUP($E26,'Raw Data - Lighting'!$AG$3:$AJ$76,3,FALSE)=$I26,VLOOKUP($E26,'Raw Data - Lighting'!$AG$3:$AJ$76,4,FALSE)=$I26),VLOOKUP($I26,'Raw Data - Lighting'!$AL$4:$AM$18,2,FALSE),IF($I26="-","","This Qualified Lighting System does not correspond with the Primary Function Area")),"")</f>
        <v/>
      </c>
      <c r="K26" s="36">
        <f>IF(AND(G26="-",I26="-"),LightingAssumptions[[#This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0.85</v>
      </c>
      <c r="L26" s="152" t="s">
        <v>393</v>
      </c>
      <c r="M26" s="19">
        <f>IFERROR(VLOOKUP(LightingAssumptions[[#This Row],[ASHRAE 2007 Space Type]],'Raw Data - Lighting'!$C$4:$E$121,2,FALSE),"")</f>
        <v>1.3</v>
      </c>
      <c r="N26" s="19">
        <f>IFERROR(VLOOKUP(LightingAssumptions[[#This Row],[ASHRAE 2007 Space Type]],'Raw Data - Lighting'!$C$4:$E$121,3,FALSE),"")</f>
        <v>4</v>
      </c>
      <c r="O26" s="152"/>
      <c r="P26" s="19" t="str">
        <f>IFERROR(VLOOKUP(LightingAssumptions[[#This Row],[ASHRAE 2010 Space Type]],'Raw Data - Lighting'!$I$4:$K$121,2,FALSE),"")</f>
        <v/>
      </c>
      <c r="Q26" s="36" t="str">
        <f>IFERROR(VLOOKUP(LightingAssumptions[[#This Row],[ASHRAE 2010 Space Type]],'Raw Data - Lighting'!$I$4:$K$121,3,FALSE),"")</f>
        <v/>
      </c>
      <c r="R26" s="152" t="s">
        <v>393</v>
      </c>
      <c r="S26" s="19">
        <f>IFERROR(VLOOKUP(LightingAssumptions[[#This Row],[ASHRAE 2013 Space Type]],'Raw Data - Lighting'!$O$4:$Q$121,2,FALSE),"")</f>
        <v>0.9</v>
      </c>
      <c r="T26" s="36">
        <f>IFERROR(VLOOKUP(LightingAssumptions[[#This Row],[ASHRAE 2013 Space Type]],'Raw Data - Lighting'!$O$4:$Q$121,3,FALSE),"")</f>
        <v>4</v>
      </c>
      <c r="U26" s="154"/>
      <c r="V26" s="19" t="str">
        <f>IFERROR(VLOOKUP(LightingAssumptions[[#This Row],[ASHRAE 2016 Space Type]],'Raw Data - Lighting'!$U$4:$W$131,2,FALSE),"")</f>
        <v/>
      </c>
      <c r="W26" s="19" t="str">
        <f>IFERROR(VLOOKUP(LightingAssumptions[[#This Row],[ASHRAE 2016 Space Type]],'Raw Data - Lighting'!$U$4:$W$131,3,FALSE),"")</f>
        <v/>
      </c>
      <c r="X26" s="152"/>
      <c r="Y26" s="19" t="str">
        <f>IFERROR(VLOOKUP(LightingAssumptions[[#This Row],[ASHRAE 2019 Space Type]],'Raw Data - Lighting'!$AA$4:$AC$128,2,FALSE),"")</f>
        <v/>
      </c>
      <c r="Z26" s="36" t="str">
        <f>IFERROR(VLOOKUP(LightingAssumptions[[#This Row],[ASHRAE 2019 Space Type]],'Raw Data - Lighting'!$AA$4:$AC$128,3,FALSE),"")</f>
        <v/>
      </c>
      <c r="AA26"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0.85</v>
      </c>
      <c r="AB26" s="95" t="str">
        <f>IFERROR(IF(LightingAssumptions[[#This Row],[Min Code LPD 
'[W/sqft']]]="","",INDEX($E$16:$Z$20,1,MATCH(LightingAssumptions[[#This Row],[Min Code LPD 
'[W/sqft']]],LightingAssumptions[[#This Row],[Primary Function Area]:[RCR Threshold]],0))),"")</f>
        <v>Title-24 2019</v>
      </c>
      <c r="AC26" s="154">
        <f>LightingAssumptions[[#This Row],[Total Allowed LPD (W/sqft, Unless noted otherwise)]]</f>
        <v>0.85</v>
      </c>
      <c r="AD26" s="166">
        <f>IFERROR(IF(LightingAssumptions[[#This Row],[Design LPD 
'[W/sqft']]]="","",1-LightingAssumptions[[#This Row],[Design LPD 
'[W/sqft']]]/LightingAssumptions[[#This Row],[Min Code LPD 
'[W/sqft']]]),"")</f>
        <v>0</v>
      </c>
      <c r="AE26" s="154">
        <v>0</v>
      </c>
      <c r="AF26" s="462"/>
    </row>
    <row r="27" spans="2:32" x14ac:dyDescent="0.25">
      <c r="B27" s="18">
        <v>8</v>
      </c>
      <c r="C27" s="19" t="str">
        <f>IF('Master Room List'!R23="","",'Master Room List'!R23)</f>
        <v/>
      </c>
      <c r="D27" s="19" t="str">
        <f>IF(LightingAssumptions[[#This Row],[SpaceType]]="","-",VLOOKUP(LightingAssumptions[[#This Row],[SpaceType]],MasterRoomList_SpaceTypeSummary[[#All],[SpaceType]:[Number of Spaces]],2,FALSE))</f>
        <v>-</v>
      </c>
      <c r="E27" s="152" t="s">
        <v>394</v>
      </c>
      <c r="F27" s="19">
        <f>IFERROR(VLOOKUP(E27,'Raw Data - Lighting'!$AG$3:$AH$77,2,FALSE),"")</f>
        <v>0.65</v>
      </c>
      <c r="G27" s="154" t="s">
        <v>214</v>
      </c>
      <c r="H27" s="19" t="str">
        <f>IFERROR(IF(OR(VLOOKUP($E27,'Raw Data - Lighting'!$AG$3:$AJ$76,3,FALSE)=$G27,VLOOKUP($E27,'Raw Data - Lighting'!$AG$3:$AJ$76,4,FALSE)=$G27),VLOOKUP($G27,'Raw Data - Lighting'!$AL$4:$AM$18,2,FALSE),IF($G27="-","","This Qualified Lighting System does not correspond with the Primary Function Area")),"")</f>
        <v/>
      </c>
      <c r="I27" s="154" t="s">
        <v>214</v>
      </c>
      <c r="J27" s="95" t="str">
        <f>IFERROR(IF(OR(VLOOKUP($E27,'Raw Data - Lighting'!$AG$3:$AJ$76,3,FALSE)=$I27,VLOOKUP($E27,'Raw Data - Lighting'!$AG$3:$AJ$76,4,FALSE)=$I27),VLOOKUP($I27,'Raw Data - Lighting'!$AL$4:$AM$18,2,FALSE),IF($I27="-","","This Qualified Lighting System does not correspond with the Primary Function Area")),"")</f>
        <v/>
      </c>
      <c r="K27" s="36">
        <f>IF(AND(G27="-",I27="-"),LightingAssumptions[[#This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0.65</v>
      </c>
      <c r="L27" s="152" t="s">
        <v>395</v>
      </c>
      <c r="M27" s="19">
        <f>IFERROR(VLOOKUP(LightingAssumptions[[#This Row],[ASHRAE 2007 Space Type]],'Raw Data - Lighting'!$C$4:$E$121,2,FALSE),"")</f>
        <v>0.8</v>
      </c>
      <c r="N27" s="19">
        <f>IFERROR(VLOOKUP(LightingAssumptions[[#This Row],[ASHRAE 2007 Space Type]],'Raw Data - Lighting'!$C$4:$E$121,3,FALSE),"")</f>
        <v>6</v>
      </c>
      <c r="O27" s="152"/>
      <c r="P27" s="19" t="str">
        <f>IFERROR(VLOOKUP(LightingAssumptions[[#This Row],[ASHRAE 2010 Space Type]],'Raw Data - Lighting'!$I$4:$K$121,2,FALSE),"")</f>
        <v/>
      </c>
      <c r="Q27" s="36" t="str">
        <f>IFERROR(VLOOKUP(LightingAssumptions[[#This Row],[ASHRAE 2010 Space Type]],'Raw Data - Lighting'!$I$4:$K$121,3,FALSE),"")</f>
        <v/>
      </c>
      <c r="R27" s="152" t="s">
        <v>396</v>
      </c>
      <c r="S27" s="19">
        <f>IFERROR(VLOOKUP(LightingAssumptions[[#This Row],[ASHRAE 2013 Space Type]],'Raw Data - Lighting'!$O$4:$Q$121,2,FALSE),"")</f>
        <v>0.92</v>
      </c>
      <c r="T27" s="36">
        <f>IFERROR(VLOOKUP(LightingAssumptions[[#This Row],[ASHRAE 2013 Space Type]],'Raw Data - Lighting'!$O$4:$Q$121,3,FALSE),"")</f>
        <v>6</v>
      </c>
      <c r="U27" s="154"/>
      <c r="V27" s="19" t="str">
        <f>IFERROR(VLOOKUP(LightingAssumptions[[#This Row],[ASHRAE 2016 Space Type]],'Raw Data - Lighting'!$U$4:$W$131,2,FALSE),"")</f>
        <v/>
      </c>
      <c r="W27" s="19" t="str">
        <f>IFERROR(VLOOKUP(LightingAssumptions[[#This Row],[ASHRAE 2016 Space Type]],'Raw Data - Lighting'!$U$4:$W$131,3,FALSE),"")</f>
        <v/>
      </c>
      <c r="X27" s="152"/>
      <c r="Y27" s="19" t="str">
        <f>IFERROR(VLOOKUP(LightingAssumptions[[#This Row],[ASHRAE 2019 Space Type]],'Raw Data - Lighting'!$AA$4:$AC$128,2,FALSE),"")</f>
        <v/>
      </c>
      <c r="Z27" s="36" t="str">
        <f>IFERROR(VLOOKUP(LightingAssumptions[[#This Row],[ASHRAE 2019 Space Type]],'Raw Data - Lighting'!$AA$4:$AC$128,3,FALSE),"")</f>
        <v/>
      </c>
      <c r="AA27"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0.65</v>
      </c>
      <c r="AB27" s="95" t="str">
        <f>IFERROR(IF(LightingAssumptions[[#This Row],[Min Code LPD 
'[W/sqft']]]="","",INDEX($E$16:$Z$20,1,MATCH(LightingAssumptions[[#This Row],[Min Code LPD 
'[W/sqft']]],LightingAssumptions[[#This Row],[Primary Function Area]:[RCR Threshold]],0))),"")</f>
        <v>Title-24 2019</v>
      </c>
      <c r="AC27" s="154">
        <f>LightingAssumptions[[#This Row],[Total Allowed LPD (W/sqft, Unless noted otherwise)]]</f>
        <v>0.65</v>
      </c>
      <c r="AD27" s="166">
        <f>IFERROR(IF(LightingAssumptions[[#This Row],[Design LPD 
'[W/sqft']]]="","",1-LightingAssumptions[[#This Row],[Design LPD 
'[W/sqft']]]/LightingAssumptions[[#This Row],[Min Code LPD 
'[W/sqft']]]),"")</f>
        <v>0</v>
      </c>
      <c r="AE27" s="154">
        <v>2</v>
      </c>
      <c r="AF27" s="462"/>
    </row>
    <row r="28" spans="2:32" x14ac:dyDescent="0.25">
      <c r="B28" s="18">
        <v>9</v>
      </c>
      <c r="C28" s="19" t="str">
        <f>IF('Master Room List'!R24="","",'Master Room List'!R24)</f>
        <v/>
      </c>
      <c r="D28" s="19" t="str">
        <f>IF(LightingAssumptions[[#This Row],[SpaceType]]="","-",VLOOKUP(LightingAssumptions[[#This Row],[SpaceType]],MasterRoomList_SpaceTypeSummary[[#All],[SpaceType]:[Number of Spaces]],2,FALSE))</f>
        <v>-</v>
      </c>
      <c r="E28" s="152" t="s">
        <v>397</v>
      </c>
      <c r="F28" s="19">
        <f>IFERROR(VLOOKUP(E28,'Raw Data - Lighting'!$AG$3:$AH$77,2,FALSE),"")</f>
        <v>0.65</v>
      </c>
      <c r="G28" s="154" t="s">
        <v>214</v>
      </c>
      <c r="H28" s="19" t="str">
        <f>IFERROR(IF(OR(VLOOKUP($E28,'Raw Data - Lighting'!$AG$3:$AJ$76,3,FALSE)=$G28,VLOOKUP($E28,'Raw Data - Lighting'!$AG$3:$AJ$76,4,FALSE)=$G28),VLOOKUP($G28,'Raw Data - Lighting'!$AL$4:$AM$18,2,FALSE),IF($G28="-","","This Qualified Lighting System does not correspond with the Primary Function Area")),"")</f>
        <v/>
      </c>
      <c r="I28" s="154" t="s">
        <v>214</v>
      </c>
      <c r="J28" s="95" t="str">
        <f>IFERROR(IF(OR(VLOOKUP($E28,'Raw Data - Lighting'!$AG$3:$AJ$76,3,FALSE)=$I28,VLOOKUP($E28,'Raw Data - Lighting'!$AG$3:$AJ$76,4,FALSE)=$I28),VLOOKUP($I28,'Raw Data - Lighting'!$AL$4:$AM$18,2,FALSE),IF($I28="-","","This Qualified Lighting System does not correspond with the Primary Function Area")),"")</f>
        <v/>
      </c>
      <c r="K28" s="36">
        <f>IF(AND(G28="-",I28="-"),LightingAssumptions[[#This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0.65</v>
      </c>
      <c r="L28" s="152" t="s">
        <v>398</v>
      </c>
      <c r="M28" s="19">
        <f>IFERROR(VLOOKUP(LightingAssumptions[[#This Row],[ASHRAE 2007 Space Type]],'Raw Data - Lighting'!$C$4:$E$121,2,FALSE),"")</f>
        <v>1.1000000000000001</v>
      </c>
      <c r="N28" s="19">
        <f>IFERROR(VLOOKUP(LightingAssumptions[[#This Row],[ASHRAE 2007 Space Type]],'Raw Data - Lighting'!$C$4:$E$121,3,FALSE),"")</f>
        <v>8</v>
      </c>
      <c r="O28" s="152"/>
      <c r="P28" s="19" t="str">
        <f>IFERROR(VLOOKUP(LightingAssumptions[[#This Row],[ASHRAE 2010 Space Type]],'Raw Data - Lighting'!$I$4:$K$121,2,FALSE),"")</f>
        <v/>
      </c>
      <c r="Q28" s="36" t="str">
        <f>IFERROR(VLOOKUP(LightingAssumptions[[#This Row],[ASHRAE 2010 Space Type]],'Raw Data - Lighting'!$I$4:$K$121,3,FALSE),"")</f>
        <v/>
      </c>
      <c r="R28" s="152" t="s">
        <v>399</v>
      </c>
      <c r="S28" s="19">
        <f>IFERROR(VLOOKUP(LightingAssumptions[[#This Row],[ASHRAE 2013 Space Type]],'Raw Data - Lighting'!$O$4:$Q$121,2,FALSE),"")</f>
        <v>1.1100000000000001</v>
      </c>
      <c r="T28" s="36">
        <f>IFERROR(VLOOKUP(LightingAssumptions[[#This Row],[ASHRAE 2013 Space Type]],'Raw Data - Lighting'!$O$4:$Q$121,3,FALSE),"")</f>
        <v>8</v>
      </c>
      <c r="U28" s="154"/>
      <c r="V28" s="19" t="str">
        <f>IFERROR(VLOOKUP(LightingAssumptions[[#This Row],[ASHRAE 2016 Space Type]],'Raw Data - Lighting'!$U$4:$W$131,2,FALSE),"")</f>
        <v/>
      </c>
      <c r="W28" s="19" t="str">
        <f>IFERROR(VLOOKUP(LightingAssumptions[[#This Row],[ASHRAE 2016 Space Type]],'Raw Data - Lighting'!$U$4:$W$131,3,FALSE),"")</f>
        <v/>
      </c>
      <c r="X28" s="152"/>
      <c r="Y28" s="19" t="str">
        <f>IFERROR(VLOOKUP(LightingAssumptions[[#This Row],[ASHRAE 2019 Space Type]],'Raw Data - Lighting'!$AA$4:$AC$128,2,FALSE),"")</f>
        <v/>
      </c>
      <c r="Z28" s="36" t="str">
        <f>IFERROR(VLOOKUP(LightingAssumptions[[#This Row],[ASHRAE 2019 Space Type]],'Raw Data - Lighting'!$AA$4:$AC$128,3,FALSE),"")</f>
        <v/>
      </c>
      <c r="AA28"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0.65</v>
      </c>
      <c r="AB28" s="95" t="str">
        <f>IFERROR(IF(LightingAssumptions[[#This Row],[Min Code LPD 
'[W/sqft']]]="","",INDEX($E$16:$Z$20,1,MATCH(LightingAssumptions[[#This Row],[Min Code LPD 
'[W/sqft']]],LightingAssumptions[[#This Row],[Primary Function Area]:[RCR Threshold]],0))),"")</f>
        <v>Title-24 2019</v>
      </c>
      <c r="AC28" s="154">
        <f>LightingAssumptions[[#This Row],[Total Allowed LPD (W/sqft, Unless noted otherwise)]]</f>
        <v>0.65</v>
      </c>
      <c r="AD28" s="166">
        <f>IFERROR(IF(LightingAssumptions[[#This Row],[Design LPD 
'[W/sqft']]]="","",1-LightingAssumptions[[#This Row],[Design LPD 
'[W/sqft']]]/LightingAssumptions[[#This Row],[Min Code LPD 
'[W/sqft']]]),"")</f>
        <v>0</v>
      </c>
      <c r="AE28" s="154">
        <v>2</v>
      </c>
      <c r="AF28" s="462"/>
    </row>
    <row r="29" spans="2:32" x14ac:dyDescent="0.25">
      <c r="B29" s="18">
        <v>10</v>
      </c>
      <c r="C29" s="19" t="str">
        <f>IF('Master Room List'!R25="","",'Master Room List'!R25)</f>
        <v/>
      </c>
      <c r="D29" s="19" t="str">
        <f>IF(LightingAssumptions[[#This Row],[SpaceType]]="","-",VLOOKUP(LightingAssumptions[[#This Row],[SpaceType]],MasterRoomList_SpaceTypeSummary[[#All],[SpaceType]:[Number of Spaces]],2,FALSE))</f>
        <v>-</v>
      </c>
      <c r="E29" s="152" t="s">
        <v>400</v>
      </c>
      <c r="F29" s="19">
        <f>IFERROR(VLOOKUP(E29,'Raw Data - Lighting'!$AG$3:$AH$77,2,FALSE),"")</f>
        <v>0.7</v>
      </c>
      <c r="G29" s="154" t="s">
        <v>214</v>
      </c>
      <c r="H29" s="19" t="str">
        <f>IFERROR(IF(OR(VLOOKUP($E29,'Raw Data - Lighting'!$AG$3:$AJ$76,3,FALSE)=$G29,VLOOKUP($E29,'Raw Data - Lighting'!$AG$3:$AJ$76,4,FALSE)=$G29),VLOOKUP($G29,'Raw Data - Lighting'!$AL$4:$AM$18,2,FALSE),IF($G29="-","","This Qualified Lighting System does not correspond with the Primary Function Area")),"")</f>
        <v/>
      </c>
      <c r="I29" s="154" t="s">
        <v>214</v>
      </c>
      <c r="J29" s="95" t="str">
        <f>IFERROR(IF(OR(VLOOKUP($E29,'Raw Data - Lighting'!$AG$3:$AJ$76,3,FALSE)=$I29,VLOOKUP($E29,'Raw Data - Lighting'!$AG$3:$AJ$76,4,FALSE)=$I29),VLOOKUP($I29,'Raw Data - Lighting'!$AL$4:$AM$18,2,FALSE),IF($I29="-","","This Qualified Lighting System does not correspond with the Primary Function Area")),"")</f>
        <v/>
      </c>
      <c r="K29" s="36">
        <f>IF(AND(G29="-",I29="-"),LightingAssumptions[[#This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0.7</v>
      </c>
      <c r="L29" s="152" t="s">
        <v>401</v>
      </c>
      <c r="M29" s="19">
        <f>IFERROR(VLOOKUP(LightingAssumptions[[#This Row],[ASHRAE 2007 Space Type]],'Raw Data - Lighting'!$C$4:$E$121,2,FALSE),"")</f>
        <v>1.1000000000000001</v>
      </c>
      <c r="N29" s="19">
        <f>IFERROR(VLOOKUP(LightingAssumptions[[#This Row],[ASHRAE 2007 Space Type]],'Raw Data - Lighting'!$C$4:$E$121,3,FALSE),"")</f>
        <v>4</v>
      </c>
      <c r="O29" s="152"/>
      <c r="P29" s="19" t="str">
        <f>IFERROR(VLOOKUP(LightingAssumptions[[#This Row],[ASHRAE 2010 Space Type]],'Raw Data - Lighting'!$I$4:$K$121,2,FALSE),"")</f>
        <v/>
      </c>
      <c r="Q29" s="36" t="str">
        <f>IFERROR(VLOOKUP(LightingAssumptions[[#This Row],[ASHRAE 2010 Space Type]],'Raw Data - Lighting'!$I$4:$K$121,3,FALSE),"")</f>
        <v/>
      </c>
      <c r="R29" s="152" t="s">
        <v>401</v>
      </c>
      <c r="S29" s="19">
        <f>IFERROR(VLOOKUP(LightingAssumptions[[#This Row],[ASHRAE 2013 Space Type]],'Raw Data - Lighting'!$O$4:$Q$121,2,FALSE),"")</f>
        <v>0.98</v>
      </c>
      <c r="T29" s="36">
        <f>IFERROR(VLOOKUP(LightingAssumptions[[#This Row],[ASHRAE 2013 Space Type]],'Raw Data - Lighting'!$O$4:$Q$121,3,FALSE),"")</f>
        <v>4</v>
      </c>
      <c r="U29" s="154"/>
      <c r="V29" s="19" t="str">
        <f>IFERROR(VLOOKUP(LightingAssumptions[[#This Row],[ASHRAE 2016 Space Type]],'Raw Data - Lighting'!$U$4:$W$131,2,FALSE),"")</f>
        <v/>
      </c>
      <c r="W29" s="19" t="str">
        <f>IFERROR(VLOOKUP(LightingAssumptions[[#This Row],[ASHRAE 2016 Space Type]],'Raw Data - Lighting'!$U$4:$W$131,3,FALSE),"")</f>
        <v/>
      </c>
      <c r="X29" s="152"/>
      <c r="Y29" s="19" t="str">
        <f>IFERROR(VLOOKUP(LightingAssumptions[[#This Row],[ASHRAE 2019 Space Type]],'Raw Data - Lighting'!$AA$4:$AC$128,2,FALSE),"")</f>
        <v/>
      </c>
      <c r="Z29" s="36" t="str">
        <f>IFERROR(VLOOKUP(LightingAssumptions[[#This Row],[ASHRAE 2019 Space Type]],'Raw Data - Lighting'!$AA$4:$AC$128,3,FALSE),"")</f>
        <v/>
      </c>
      <c r="AA29"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0.7</v>
      </c>
      <c r="AB29" s="95" t="str">
        <f>IFERROR(IF(LightingAssumptions[[#This Row],[Min Code LPD 
'[W/sqft']]]="","",INDEX($E$16:$Z$20,1,MATCH(LightingAssumptions[[#This Row],[Min Code LPD 
'[W/sqft']]],LightingAssumptions[[#This Row],[Primary Function Area]:[RCR Threshold]],0))),"")</f>
        <v>Title-24 2019</v>
      </c>
      <c r="AC29" s="154">
        <f>LightingAssumptions[[#This Row],[Total Allowed LPD (W/sqft, Unless noted otherwise)]]</f>
        <v>0.7</v>
      </c>
      <c r="AD29" s="166">
        <f>IFERROR(IF(LightingAssumptions[[#This Row],[Design LPD 
'[W/sqft']]]="","",1-LightingAssumptions[[#This Row],[Design LPD 
'[W/sqft']]]/LightingAssumptions[[#This Row],[Min Code LPD 
'[W/sqft']]]),"")</f>
        <v>0</v>
      </c>
      <c r="AE29" s="154">
        <v>2</v>
      </c>
      <c r="AF29" s="462"/>
    </row>
    <row r="30" spans="2:32" x14ac:dyDescent="0.25">
      <c r="B30" s="18">
        <v>11</v>
      </c>
      <c r="C30" s="19" t="str">
        <f>IF('Master Room List'!R26="","",'Master Room List'!R26)</f>
        <v/>
      </c>
      <c r="D30" s="19" t="str">
        <f>IF(LightingAssumptions[[#This Row],[SpaceType]]="","-",VLOOKUP(LightingAssumptions[[#This Row],[SpaceType]],MasterRoomList_SpaceTypeSummary[[#All],[SpaceType]:[Number of Spaces]],2,FALSE))</f>
        <v>-</v>
      </c>
      <c r="E30" s="152" t="s">
        <v>402</v>
      </c>
      <c r="F30" s="19">
        <f>IFERROR(VLOOKUP(E30,'Raw Data - Lighting'!$AG$3:$AH$77,2,FALSE),"")</f>
        <v>0.65</v>
      </c>
      <c r="G30" s="154" t="s">
        <v>214</v>
      </c>
      <c r="H30" s="19" t="str">
        <f>IFERROR(IF(OR(VLOOKUP($E30,'Raw Data - Lighting'!$AG$3:$AJ$76,3,FALSE)=$G30,VLOOKUP($E30,'Raw Data - Lighting'!$AG$3:$AJ$76,4,FALSE)=$G30),VLOOKUP($G30,'Raw Data - Lighting'!$AL$4:$AM$18,2,FALSE),IF($G30="-","","This Qualified Lighting System does not correspond with the Primary Function Area")),"")</f>
        <v/>
      </c>
      <c r="I30" s="154" t="s">
        <v>214</v>
      </c>
      <c r="J30" s="95" t="str">
        <f>IFERROR(IF(OR(VLOOKUP($E30,'Raw Data - Lighting'!$AG$3:$AJ$76,3,FALSE)=$I30,VLOOKUP($E30,'Raw Data - Lighting'!$AG$3:$AJ$76,4,FALSE)=$I30),VLOOKUP($I30,'Raw Data - Lighting'!$AL$4:$AM$18,2,FALSE),IF($I30="-","","This Qualified Lighting System does not correspond with the Primary Function Area")),"")</f>
        <v/>
      </c>
      <c r="K30" s="36">
        <f>IF(AND(G30="-",I30="-"),LightingAssumptions[[#This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0.65</v>
      </c>
      <c r="L30" s="152" t="s">
        <v>403</v>
      </c>
      <c r="M30" s="19">
        <f>IFERROR(VLOOKUP(LightingAssumptions[[#This Row],[ASHRAE 2007 Space Type]],'Raw Data - Lighting'!$C$4:$E$121,2,FALSE),"")</f>
        <v>0.9</v>
      </c>
      <c r="N30" s="19">
        <f>IFERROR(VLOOKUP(LightingAssumptions[[#This Row],[ASHRAE 2007 Space Type]],'Raw Data - Lighting'!$C$4:$E$121,3,FALSE),"")</f>
        <v>8</v>
      </c>
      <c r="O30" s="152"/>
      <c r="P30" s="19" t="str">
        <f>IFERROR(VLOOKUP(LightingAssumptions[[#This Row],[ASHRAE 2010 Space Type]],'Raw Data - Lighting'!$I$4:$K$121,2,FALSE),"")</f>
        <v/>
      </c>
      <c r="Q30" s="36" t="str">
        <f>IFERROR(VLOOKUP(LightingAssumptions[[#This Row],[ASHRAE 2010 Space Type]],'Raw Data - Lighting'!$I$4:$K$121,3,FALSE),"")</f>
        <v/>
      </c>
      <c r="R30" s="152" t="s">
        <v>403</v>
      </c>
      <c r="S30" s="19">
        <f>IFERROR(VLOOKUP(LightingAssumptions[[#This Row],[ASHRAE 2013 Space Type]],'Raw Data - Lighting'!$O$4:$Q$121,2,FALSE),"")</f>
        <v>0.98</v>
      </c>
      <c r="T30" s="36">
        <f>IFERROR(VLOOKUP(LightingAssumptions[[#This Row],[ASHRAE 2013 Space Type]],'Raw Data - Lighting'!$O$4:$Q$121,3,FALSE),"")</f>
        <v>8</v>
      </c>
      <c r="U30" s="154"/>
      <c r="V30" s="19" t="str">
        <f>IFERROR(VLOOKUP(LightingAssumptions[[#This Row],[ASHRAE 2016 Space Type]],'Raw Data - Lighting'!$U$4:$W$131,2,FALSE),"")</f>
        <v/>
      </c>
      <c r="W30" s="19" t="str">
        <f>IFERROR(VLOOKUP(LightingAssumptions[[#This Row],[ASHRAE 2016 Space Type]],'Raw Data - Lighting'!$U$4:$W$131,3,FALSE),"")</f>
        <v/>
      </c>
      <c r="X30" s="152"/>
      <c r="Y30" s="19" t="str">
        <f>IFERROR(VLOOKUP(LightingAssumptions[[#This Row],[ASHRAE 2019 Space Type]],'Raw Data - Lighting'!$AA$4:$AC$128,2,FALSE),"")</f>
        <v/>
      </c>
      <c r="Z30" s="36" t="str">
        <f>IFERROR(VLOOKUP(LightingAssumptions[[#This Row],[ASHRAE 2019 Space Type]],'Raw Data - Lighting'!$AA$4:$AC$128,3,FALSE),"")</f>
        <v/>
      </c>
      <c r="AA30"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0.65</v>
      </c>
      <c r="AB30" s="95" t="str">
        <f>IFERROR(IF(LightingAssumptions[[#This Row],[Min Code LPD 
'[W/sqft']]]="","",INDEX($E$16:$Z$20,1,MATCH(LightingAssumptions[[#This Row],[Min Code LPD 
'[W/sqft']]],LightingAssumptions[[#This Row],[Primary Function Area]:[RCR Threshold]],0))),"")</f>
        <v>Title-24 2019</v>
      </c>
      <c r="AC30" s="154">
        <f>LightingAssumptions[[#This Row],[Total Allowed LPD (W/sqft, Unless noted otherwise)]]</f>
        <v>0.65</v>
      </c>
      <c r="AD30" s="166">
        <f>IFERROR(IF(LightingAssumptions[[#This Row],[Design LPD 
'[W/sqft']]]="","",1-LightingAssumptions[[#This Row],[Design LPD 
'[W/sqft']]]/LightingAssumptions[[#This Row],[Min Code LPD 
'[W/sqft']]]),"")</f>
        <v>0</v>
      </c>
      <c r="AE30" s="154">
        <v>0</v>
      </c>
      <c r="AF30" s="462"/>
    </row>
    <row r="31" spans="2:32" x14ac:dyDescent="0.25">
      <c r="B31" s="18">
        <v>12</v>
      </c>
      <c r="C31" s="19" t="str">
        <f>IF('Master Room List'!R27="","",'Master Room List'!R27)</f>
        <v/>
      </c>
      <c r="D31" s="19" t="str">
        <f>IF(LightingAssumptions[[#This Row],[SpaceType]]="","-",VLOOKUP(LightingAssumptions[[#This Row],[SpaceType]],MasterRoomList_SpaceTypeSummary[[#All],[SpaceType]:[Number of Spaces]],2,FALSE))</f>
        <v>-</v>
      </c>
      <c r="E31" s="152" t="s">
        <v>404</v>
      </c>
      <c r="F31" s="19">
        <f>IFERROR(VLOOKUP(E31,'Raw Data - Lighting'!$AG$3:$AH$77,2,FALSE),"")</f>
        <v>0.5</v>
      </c>
      <c r="G31" s="154" t="s">
        <v>214</v>
      </c>
      <c r="H31" s="19" t="str">
        <f>IFERROR(IF(OR(VLOOKUP($E31,'Raw Data - Lighting'!$AG$3:$AJ$76,3,FALSE)=$G31,VLOOKUP($E31,'Raw Data - Lighting'!$AG$3:$AJ$76,4,FALSE)=$G31),VLOOKUP($G31,'Raw Data - Lighting'!$AL$4:$AM$18,2,FALSE),IF($G31="-","","This Qualified Lighting System does not correspond with the Primary Function Area")),"")</f>
        <v/>
      </c>
      <c r="I31" s="154" t="s">
        <v>214</v>
      </c>
      <c r="J31" s="95" t="str">
        <f>IFERROR(IF(OR(VLOOKUP($E31,'Raw Data - Lighting'!$AG$3:$AJ$76,3,FALSE)=$I31,VLOOKUP($E31,'Raw Data - Lighting'!$AG$3:$AJ$76,4,FALSE)=$I31),VLOOKUP($I31,'Raw Data - Lighting'!$AL$4:$AM$18,2,FALSE),IF($I31="-","","This Qualified Lighting System does not correspond with the Primary Function Area")),"")</f>
        <v/>
      </c>
      <c r="K31" s="36">
        <f>IF(AND(G31="-",I31="-"),LightingAssumptions[[#This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0.5</v>
      </c>
      <c r="L31" s="152" t="s">
        <v>405</v>
      </c>
      <c r="M31" s="19">
        <f>IFERROR(VLOOKUP(LightingAssumptions[[#This Row],[ASHRAE 2007 Space Type]],'Raw Data - Lighting'!$C$4:$E$121,2,FALSE),"")</f>
        <v>0.6</v>
      </c>
      <c r="N31" s="19">
        <f>IFERROR(VLOOKUP(LightingAssumptions[[#This Row],[ASHRAE 2007 Space Type]],'Raw Data - Lighting'!$C$4:$E$121,3,FALSE),"")</f>
        <v>10</v>
      </c>
      <c r="O31" s="152"/>
      <c r="P31" s="19" t="str">
        <f>IFERROR(VLOOKUP(LightingAssumptions[[#This Row],[ASHRAE 2010 Space Type]],'Raw Data - Lighting'!$I$4:$K$121,2,FALSE),"")</f>
        <v/>
      </c>
      <c r="Q31" s="36" t="str">
        <f>IFERROR(VLOOKUP(LightingAssumptions[[#This Row],[ASHRAE 2010 Space Type]],'Raw Data - Lighting'!$I$4:$K$121,3,FALSE),"")</f>
        <v/>
      </c>
      <c r="R31" s="152" t="s">
        <v>404</v>
      </c>
      <c r="S31" s="19">
        <f>IFERROR(VLOOKUP(LightingAssumptions[[#This Row],[ASHRAE 2013 Space Type]],'Raw Data - Lighting'!$O$4:$Q$121,2,FALSE),"")</f>
        <v>0.69</v>
      </c>
      <c r="T31" s="36">
        <f>IFERROR(VLOOKUP(LightingAssumptions[[#This Row],[ASHRAE 2013 Space Type]],'Raw Data - Lighting'!$O$4:$Q$121,3,FALSE),"")</f>
        <v>10</v>
      </c>
      <c r="U31" s="154"/>
      <c r="V31" s="19" t="str">
        <f>IFERROR(VLOOKUP(LightingAssumptions[[#This Row],[ASHRAE 2016 Space Type]],'Raw Data - Lighting'!$U$4:$W$131,2,FALSE),"")</f>
        <v/>
      </c>
      <c r="W31" s="19" t="str">
        <f>IFERROR(VLOOKUP(LightingAssumptions[[#This Row],[ASHRAE 2016 Space Type]],'Raw Data - Lighting'!$U$4:$W$131,3,FALSE),"")</f>
        <v/>
      </c>
      <c r="X31" s="152"/>
      <c r="Y31" s="19" t="str">
        <f>IFERROR(VLOOKUP(LightingAssumptions[[#This Row],[ASHRAE 2019 Space Type]],'Raw Data - Lighting'!$AA$4:$AC$128,2,FALSE),"")</f>
        <v/>
      </c>
      <c r="Z31" s="36" t="str">
        <f>IFERROR(VLOOKUP(LightingAssumptions[[#This Row],[ASHRAE 2019 Space Type]],'Raw Data - Lighting'!$AA$4:$AC$128,3,FALSE),"")</f>
        <v/>
      </c>
      <c r="AA31"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0.5</v>
      </c>
      <c r="AB31" s="95" t="str">
        <f>IFERROR(IF(LightingAssumptions[[#This Row],[Min Code LPD 
'[W/sqft']]]="","",INDEX($E$16:$Z$20,1,MATCH(LightingAssumptions[[#This Row],[Min Code LPD 
'[W/sqft']]],LightingAssumptions[[#This Row],[Primary Function Area]:[RCR Threshold]],0))),"")</f>
        <v>Title-24 2019</v>
      </c>
      <c r="AC31" s="154">
        <f>LightingAssumptions[[#This Row],[Total Allowed LPD (W/sqft, Unless noted otherwise)]]</f>
        <v>0.5</v>
      </c>
      <c r="AD31" s="166">
        <f>IFERROR(IF(LightingAssumptions[[#This Row],[Design LPD 
'[W/sqft']]]="","",1-LightingAssumptions[[#This Row],[Design LPD 
'[W/sqft']]]/LightingAssumptions[[#This Row],[Min Code LPD 
'[W/sqft']]]),"")</f>
        <v>0</v>
      </c>
      <c r="AE31" s="154">
        <v>0</v>
      </c>
      <c r="AF31" s="462"/>
    </row>
    <row r="32" spans="2:32" x14ac:dyDescent="0.25">
      <c r="B32" s="18">
        <v>13</v>
      </c>
      <c r="C32" s="19" t="str">
        <f>IF('Master Room List'!R28="","",'Master Room List'!R28)</f>
        <v/>
      </c>
      <c r="D32" s="19" t="str">
        <f>IF(LightingAssumptions[[#This Row],[SpaceType]]="","-",VLOOKUP(LightingAssumptions[[#This Row],[SpaceType]],MasterRoomList_SpaceTypeSummary[[#All],[SpaceType]:[Number of Spaces]],2,FALSE))</f>
        <v>-</v>
      </c>
      <c r="E32" s="152" t="s">
        <v>406</v>
      </c>
      <c r="F32" s="19">
        <f>IFERROR(VLOOKUP(E32,'Raw Data - Lighting'!$AG$3:$AH$77,2,FALSE),"")</f>
        <v>0.4</v>
      </c>
      <c r="G32" s="154" t="s">
        <v>214</v>
      </c>
      <c r="H32" s="19">
        <f>IFERROR(IF(OR(VLOOKUP($E32,'Raw Data - Lighting'!$AG$3:$AJ$76,3,FALSE)=$G32,VLOOKUP($E32,'Raw Data - Lighting'!$AG$3:$AJ$76,4,FALSE)=$G32),VLOOKUP($G32,'Raw Data - Lighting'!$AL$4:$AM$18,2,FALSE),IF($G32="-","","This Qualified Lighting System does not correspond with the Primary Function Area")),"")</f>
        <v>0</v>
      </c>
      <c r="I32" s="154" t="s">
        <v>214</v>
      </c>
      <c r="J32" s="95">
        <f>IFERROR(IF(OR(VLOOKUP($E32,'Raw Data - Lighting'!$AG$3:$AJ$76,3,FALSE)=$I32,VLOOKUP($E32,'Raw Data - Lighting'!$AG$3:$AJ$76,4,FALSE)=$I32),VLOOKUP($I32,'Raw Data - Lighting'!$AL$4:$AM$18,2,FALSE),IF($I32="-","","This Qualified Lighting System does not correspond with the Primary Function Area")),"")</f>
        <v>0</v>
      </c>
      <c r="K32" s="36">
        <f>IF(AND(G32="-",I32="-"),LightingAssumptions[[#This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0.4</v>
      </c>
      <c r="L32" s="152" t="s">
        <v>407</v>
      </c>
      <c r="M32" s="19">
        <f>IFERROR(VLOOKUP(LightingAssumptions[[#This Row],[ASHRAE 2007 Space Type]],'Raw Data - Lighting'!$C$4:$E$121,2,FALSE),"")</f>
        <v>0.3</v>
      </c>
      <c r="N32" s="19">
        <f>IFERROR(VLOOKUP(LightingAssumptions[[#This Row],[ASHRAE 2007 Space Type]],'Raw Data - Lighting'!$C$4:$E$121,3,FALSE),"")</f>
        <v>6</v>
      </c>
      <c r="O32" s="152"/>
      <c r="P32" s="19" t="str">
        <f>IFERROR(VLOOKUP(LightingAssumptions[[#This Row],[ASHRAE 2010 Space Type]],'Raw Data - Lighting'!$I$4:$K$121,2,FALSE),"")</f>
        <v/>
      </c>
      <c r="Q32" s="36" t="str">
        <f>IFERROR(VLOOKUP(LightingAssumptions[[#This Row],[ASHRAE 2010 Space Type]],'Raw Data - Lighting'!$I$4:$K$121,3,FALSE),"")</f>
        <v/>
      </c>
      <c r="R32" s="152" t="s">
        <v>408</v>
      </c>
      <c r="S32" s="19">
        <f>IFERROR(VLOOKUP(LightingAssumptions[[#This Row],[ASHRAE 2013 Space Type]],'Raw Data - Lighting'!$O$4:$Q$121,2,FALSE),"")</f>
        <v>1.24</v>
      </c>
      <c r="T32" s="36">
        <f>IFERROR(VLOOKUP(LightingAssumptions[[#This Row],[ASHRAE 2013 Space Type]],'Raw Data - Lighting'!$O$4:$Q$121,3,FALSE),"")</f>
        <v>9</v>
      </c>
      <c r="U32" s="154"/>
      <c r="V32" s="19" t="str">
        <f>IFERROR(VLOOKUP(LightingAssumptions[[#This Row],[ASHRAE 2016 Space Type]],'Raw Data - Lighting'!$U$4:$W$131,2,FALSE),"")</f>
        <v/>
      </c>
      <c r="W32" s="19" t="str">
        <f>IFERROR(VLOOKUP(LightingAssumptions[[#This Row],[ASHRAE 2016 Space Type]],'Raw Data - Lighting'!$U$4:$W$131,3,FALSE),"")</f>
        <v/>
      </c>
      <c r="X32" s="152"/>
      <c r="Y32" s="19" t="str">
        <f>IFERROR(VLOOKUP(LightingAssumptions[[#This Row],[ASHRAE 2019 Space Type]],'Raw Data - Lighting'!$AA$4:$AC$128,2,FALSE),"")</f>
        <v/>
      </c>
      <c r="Z32" s="36" t="str">
        <f>IFERROR(VLOOKUP(LightingAssumptions[[#This Row],[ASHRAE 2019 Space Type]],'Raw Data - Lighting'!$AA$4:$AC$128,3,FALSE),"")</f>
        <v/>
      </c>
      <c r="AA32"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0.3</v>
      </c>
      <c r="AB32" s="95" t="str">
        <f>IFERROR(IF(LightingAssumptions[[#This Row],[Min Code LPD 
'[W/sqft']]]="","",INDEX($E$16:$Z$20,1,MATCH(LightingAssumptions[[#This Row],[Min Code LPD 
'[W/sqft']]],LightingAssumptions[[#This Row],[Primary Function Area]:[RCR Threshold]],0))),"")</f>
        <v>ASHRAE 90.1-2007</v>
      </c>
      <c r="AC32" s="154">
        <f>LightingAssumptions[[#This Row],[Total Allowed LPD (W/sqft, Unless noted otherwise)]]</f>
        <v>0.4</v>
      </c>
      <c r="AD32" s="166">
        <f>IFERROR(IF(LightingAssumptions[[#This Row],[Design LPD 
'[W/sqft']]]="","",1-LightingAssumptions[[#This Row],[Design LPD 
'[W/sqft']]]/LightingAssumptions[[#This Row],[Min Code LPD 
'[W/sqft']]]),"")</f>
        <v>-0.33333333333333348</v>
      </c>
      <c r="AE32" s="154">
        <v>0</v>
      </c>
      <c r="AF32" s="462"/>
    </row>
    <row r="33" spans="2:32" x14ac:dyDescent="0.25">
      <c r="B33" s="18">
        <v>14</v>
      </c>
      <c r="C33" s="19" t="str">
        <f>IF('Master Room List'!R29="","",'Master Room List'!R29)</f>
        <v/>
      </c>
      <c r="D33" s="19" t="str">
        <f>IF(LightingAssumptions[[#This Row],[SpaceType]]="","-",VLOOKUP(LightingAssumptions[[#This Row],[SpaceType]],MasterRoomList_SpaceTypeSummary[[#All],[SpaceType]:[Number of Spaces]],2,FALSE))</f>
        <v>-</v>
      </c>
      <c r="E33" s="152" t="s">
        <v>214</v>
      </c>
      <c r="F33" s="19" t="str">
        <f>IFERROR(VLOOKUP(E33,'Raw Data - Lighting'!$AG$3:$AH$77,2,FALSE),"")</f>
        <v>-</v>
      </c>
      <c r="G33" s="154" t="s">
        <v>214</v>
      </c>
      <c r="H33" s="19" t="str">
        <f>IFERROR(IF(OR(VLOOKUP($E33,'Raw Data - Lighting'!$AG$3:$AJ$76,3,FALSE)=$G33,VLOOKUP($E33,'Raw Data - Lighting'!$AG$3:$AJ$76,4,FALSE)=$G33),VLOOKUP($G33,'Raw Data - Lighting'!$AL$4:$AM$18,2,FALSE),IF($G33="-","","This Qualified Lighting System does not correspond with the Primary Function Area")),"")</f>
        <v/>
      </c>
      <c r="I33" s="154" t="s">
        <v>214</v>
      </c>
      <c r="J33" s="95" t="str">
        <f>IFERROR(IF(OR(VLOOKUP($E33,'Raw Data - Lighting'!$AG$3:$AJ$76,3,FALSE)=$I33,VLOOKUP($E33,'Raw Data - Lighting'!$AG$3:$AJ$76,4,FALSE)=$I33),VLOOKUP($I33,'Raw Data - Lighting'!$AL$4:$AM$18,2,FALSE),IF($I33="-","","This Qualified Lighting System does not correspond with the Primary Function Area")),"")</f>
        <v/>
      </c>
      <c r="K33" s="36" t="str">
        <f>IF(AND(G33="-",I33="-"),LightingAssumptions[[#This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v>
      </c>
      <c r="L33" s="152" t="s">
        <v>214</v>
      </c>
      <c r="M33" s="19" t="str">
        <f>IFERROR(VLOOKUP(LightingAssumptions[[#This Row],[ASHRAE 2007 Space Type]],'Raw Data - Lighting'!$C$4:$E$121,2,FALSE),"")</f>
        <v>-</v>
      </c>
      <c r="N33" s="19" t="str">
        <f>IFERROR(VLOOKUP(LightingAssumptions[[#This Row],[ASHRAE 2007 Space Type]],'Raw Data - Lighting'!$C$4:$E$121,3,FALSE),"")</f>
        <v>-</v>
      </c>
      <c r="O33" s="152"/>
      <c r="P33" s="19" t="str">
        <f>IFERROR(VLOOKUP(LightingAssumptions[[#This Row],[ASHRAE 2010 Space Type]],'Raw Data - Lighting'!$I$4:$K$121,2,FALSE),"")</f>
        <v/>
      </c>
      <c r="Q33" s="36" t="str">
        <f>IFERROR(VLOOKUP(LightingAssumptions[[#This Row],[ASHRAE 2010 Space Type]],'Raw Data - Lighting'!$I$4:$K$121,3,FALSE),"")</f>
        <v/>
      </c>
      <c r="R33" s="152" t="s">
        <v>214</v>
      </c>
      <c r="S33" s="19" t="str">
        <f>IFERROR(VLOOKUP(LightingAssumptions[[#This Row],[ASHRAE 2013 Space Type]],'Raw Data - Lighting'!$O$4:$Q$121,2,FALSE),"")</f>
        <v>-</v>
      </c>
      <c r="T33" s="36" t="str">
        <f>IFERROR(VLOOKUP(LightingAssumptions[[#This Row],[ASHRAE 2013 Space Type]],'Raw Data - Lighting'!$O$4:$Q$121,3,FALSE),"")</f>
        <v>-</v>
      </c>
      <c r="U33" s="154"/>
      <c r="V33" s="19" t="str">
        <f>IFERROR(VLOOKUP(LightingAssumptions[[#This Row],[ASHRAE 2016 Space Type]],'Raw Data - Lighting'!$U$4:$W$131,2,FALSE),"")</f>
        <v/>
      </c>
      <c r="W33" s="19" t="str">
        <f>IFERROR(VLOOKUP(LightingAssumptions[[#This Row],[ASHRAE 2016 Space Type]],'Raw Data - Lighting'!$U$4:$W$131,3,FALSE),"")</f>
        <v/>
      </c>
      <c r="X33" s="152"/>
      <c r="Y33" s="19" t="str">
        <f>IFERROR(VLOOKUP(LightingAssumptions[[#This Row],[ASHRAE 2019 Space Type]],'Raw Data - Lighting'!$AA$4:$AC$128,2,FALSE),"")</f>
        <v/>
      </c>
      <c r="Z33" s="36" t="str">
        <f>IFERROR(VLOOKUP(LightingAssumptions[[#This Row],[ASHRAE 2019 Space Type]],'Raw Data - Lighting'!$AA$4:$AC$128,3,FALSE),"")</f>
        <v/>
      </c>
      <c r="AA33"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33" s="95" t="str">
        <f>IFERROR(IF(LightingAssumptions[[#This Row],[Min Code LPD 
'[W/sqft']]]="","",INDEX($E$16:$Z$20,1,MATCH(LightingAssumptions[[#This Row],[Min Code LPD 
'[W/sqft']]],LightingAssumptions[[#This Row],[Primary Function Area]:[RCR Threshold]],0))),"")</f>
        <v/>
      </c>
      <c r="AC33" s="154" t="str">
        <f>LightingAssumptions[[#This Row],[Total Allowed LPD (W/sqft, Unless noted otherwise)]]</f>
        <v>-</v>
      </c>
      <c r="AD33" s="166" t="str">
        <f>IFERROR(IF(LightingAssumptions[[#This Row],[Design LPD 
'[W/sqft']]]="","",1-LightingAssumptions[[#This Row],[Design LPD 
'[W/sqft']]]/LightingAssumptions[[#This Row],[Min Code LPD 
'[W/sqft']]]),"")</f>
        <v/>
      </c>
      <c r="AE33" s="154">
        <v>0</v>
      </c>
      <c r="AF33" s="462"/>
    </row>
    <row r="34" spans="2:32" x14ac:dyDescent="0.25">
      <c r="B34" s="18">
        <v>15</v>
      </c>
      <c r="C34" s="19" t="str">
        <f>IF('Master Room List'!R30="","",'Master Room List'!R30)</f>
        <v/>
      </c>
      <c r="D34" s="19" t="str">
        <f>IF(LightingAssumptions[[#This Row],[SpaceType]]="","-",VLOOKUP(LightingAssumptions[[#This Row],[SpaceType]],MasterRoomList_SpaceTypeSummary[[#All],[SpaceType]:[Number of Spaces]],2,FALSE))</f>
        <v>-</v>
      </c>
      <c r="E34" s="152" t="s">
        <v>409</v>
      </c>
      <c r="F34" s="19">
        <f>IFERROR(VLOOKUP(E34,'Raw Data - Lighting'!$AG$3:$AH$77,2,FALSE),"")</f>
        <v>0.5</v>
      </c>
      <c r="G34" s="154" t="s">
        <v>214</v>
      </c>
      <c r="H34" s="19">
        <f>IFERROR(IF(OR(VLOOKUP($E34,'Raw Data - Lighting'!$AG$3:$AJ$76,3,FALSE)=$G34,VLOOKUP($E34,'Raw Data - Lighting'!$AG$3:$AJ$76,4,FALSE)=$G34),VLOOKUP($G34,'Raw Data - Lighting'!$AL$4:$AM$18,2,FALSE),IF($G34="-","","This Qualified Lighting System does not correspond with the Primary Function Area")),"")</f>
        <v>0</v>
      </c>
      <c r="I34" s="154" t="s">
        <v>214</v>
      </c>
      <c r="J34" s="95">
        <f>IFERROR(IF(OR(VLOOKUP($E34,'Raw Data - Lighting'!$AG$3:$AJ$76,3,FALSE)=$I34,VLOOKUP($E34,'Raw Data - Lighting'!$AG$3:$AJ$76,4,FALSE)=$I34),VLOOKUP($I34,'Raw Data - Lighting'!$AL$4:$AM$18,2,FALSE),IF($I34="-","","This Qualified Lighting System does not correspond with the Primary Function Area")),"")</f>
        <v>0</v>
      </c>
      <c r="K34" s="36">
        <f>IF(AND(G34="-",I34="-"),LightingAssumptions[[#This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0.5</v>
      </c>
      <c r="L34" s="152" t="s">
        <v>398</v>
      </c>
      <c r="M34" s="19">
        <f>IFERROR(VLOOKUP(LightingAssumptions[[#This Row],[ASHRAE 2007 Space Type]],'Raw Data - Lighting'!$C$4:$E$121,2,FALSE),"")</f>
        <v>1.1000000000000001</v>
      </c>
      <c r="N34" s="19">
        <f>IFERROR(VLOOKUP(LightingAssumptions[[#This Row],[ASHRAE 2007 Space Type]],'Raw Data - Lighting'!$C$4:$E$121,3,FALSE),"")</f>
        <v>8</v>
      </c>
      <c r="O34" s="152"/>
      <c r="P34" s="19" t="str">
        <f>IFERROR(VLOOKUP(LightingAssumptions[[#This Row],[ASHRAE 2010 Space Type]],'Raw Data - Lighting'!$I$4:$K$121,2,FALSE),"")</f>
        <v/>
      </c>
      <c r="Q34" s="36" t="str">
        <f>IFERROR(VLOOKUP(LightingAssumptions[[#This Row],[ASHRAE 2010 Space Type]],'Raw Data - Lighting'!$I$4:$K$121,3,FALSE),"")</f>
        <v/>
      </c>
      <c r="R34" s="152" t="s">
        <v>399</v>
      </c>
      <c r="S34" s="19">
        <f>IFERROR(VLOOKUP(LightingAssumptions[[#This Row],[ASHRAE 2013 Space Type]],'Raw Data - Lighting'!$O$4:$Q$121,2,FALSE),"")</f>
        <v>1.1100000000000001</v>
      </c>
      <c r="T34" s="36">
        <f>IFERROR(VLOOKUP(LightingAssumptions[[#This Row],[ASHRAE 2013 Space Type]],'Raw Data - Lighting'!$O$4:$Q$121,3,FALSE),"")</f>
        <v>8</v>
      </c>
      <c r="U34" s="154"/>
      <c r="V34" s="19" t="str">
        <f>IFERROR(VLOOKUP(LightingAssumptions[[#This Row],[ASHRAE 2016 Space Type]],'Raw Data - Lighting'!$U$4:$W$131,2,FALSE),"")</f>
        <v/>
      </c>
      <c r="W34" s="19" t="str">
        <f>IFERROR(VLOOKUP(LightingAssumptions[[#This Row],[ASHRAE 2016 Space Type]],'Raw Data - Lighting'!$U$4:$W$131,3,FALSE),"")</f>
        <v/>
      </c>
      <c r="X34" s="152"/>
      <c r="Y34" s="19" t="str">
        <f>IFERROR(VLOOKUP(LightingAssumptions[[#This Row],[ASHRAE 2019 Space Type]],'Raw Data - Lighting'!$AA$4:$AC$128,2,FALSE),"")</f>
        <v/>
      </c>
      <c r="Z34" s="36" t="str">
        <f>IFERROR(VLOOKUP(LightingAssumptions[[#This Row],[ASHRAE 2019 Space Type]],'Raw Data - Lighting'!$AA$4:$AC$128,3,FALSE),"")</f>
        <v/>
      </c>
      <c r="AA34"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0.5</v>
      </c>
      <c r="AB34" s="95" t="str">
        <f>IFERROR(IF(LightingAssumptions[[#This Row],[Min Code LPD 
'[W/sqft']]]="","",INDEX($E$16:$Z$20,1,MATCH(LightingAssumptions[[#This Row],[Min Code LPD 
'[W/sqft']]],LightingAssumptions[[#This Row],[Primary Function Area]:[RCR Threshold]],0))),"")</f>
        <v>Title-24 2019</v>
      </c>
      <c r="AC34" s="154">
        <f>LightingAssumptions[[#This Row],[Total Allowed LPD (W/sqft, Unless noted otherwise)]]</f>
        <v>0.5</v>
      </c>
      <c r="AD34" s="166">
        <f>IFERROR(IF(LightingAssumptions[[#This Row],[Design LPD 
'[W/sqft']]]="","",1-LightingAssumptions[[#This Row],[Design LPD 
'[W/sqft']]]/LightingAssumptions[[#This Row],[Min Code LPD 
'[W/sqft']]]),"")</f>
        <v>0</v>
      </c>
      <c r="AE34" s="154">
        <v>5</v>
      </c>
      <c r="AF34" s="462"/>
    </row>
    <row r="35" spans="2:32" x14ac:dyDescent="0.25">
      <c r="B35" s="18">
        <v>16</v>
      </c>
      <c r="C35" s="19" t="str">
        <f>IF('Master Room List'!R31="","",'Master Room List'!R31)</f>
        <v/>
      </c>
      <c r="D35" s="19" t="str">
        <f>IF(LightingAssumptions[[#This Row],[SpaceType]]="","-",VLOOKUP(LightingAssumptions[[#This Row],[SpaceType]],MasterRoomList_SpaceTypeSummary[[#All],[SpaceType]:[Number of Spaces]],2,FALSE))</f>
        <v>-</v>
      </c>
      <c r="E35" s="152" t="s">
        <v>383</v>
      </c>
      <c r="F35" s="19">
        <f>IFERROR(VLOOKUP(E35,'Raw Data - Lighting'!$AG$3:$AH$77,2,FALSE),"")</f>
        <v>1.1499999999999999</v>
      </c>
      <c r="G35" s="154" t="s">
        <v>214</v>
      </c>
      <c r="H35" s="19">
        <f>IFERROR(IF(OR(VLOOKUP($E35,'Raw Data - Lighting'!$AG$3:$AJ$76,3,FALSE)=$G35,VLOOKUP($E35,'Raw Data - Lighting'!$AG$3:$AJ$76,4,FALSE)=$G35),VLOOKUP($G35,'Raw Data - Lighting'!$AL$4:$AM$18,2,FALSE),IF($G35="-","","This Qualified Lighting System does not correspond with the Primary Function Area")),"")</f>
        <v>0</v>
      </c>
      <c r="I35" s="154" t="s">
        <v>214</v>
      </c>
      <c r="J35" s="95">
        <f>IFERROR(IF(OR(VLOOKUP($E35,'Raw Data - Lighting'!$AG$3:$AJ$76,3,FALSE)=$I35,VLOOKUP($E35,'Raw Data - Lighting'!$AG$3:$AJ$76,4,FALSE)=$I35),VLOOKUP($I35,'Raw Data - Lighting'!$AL$4:$AM$18,2,FALSE),IF($I35="-","","This Qualified Lighting System does not correspond with the Primary Function Area")),"")</f>
        <v>0</v>
      </c>
      <c r="K35" s="36">
        <f>IF(AND(G35="-",I35="-"),LightingAssumptions[[#This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1.1499999999999999</v>
      </c>
      <c r="L35" s="152" t="s">
        <v>384</v>
      </c>
      <c r="M35" s="19">
        <f>IFERROR(VLOOKUP(LightingAssumptions[[#This Row],[ASHRAE 2007 Space Type]],'Raw Data - Lighting'!$C$4:$E$121,2,FALSE),"")</f>
        <v>1.5</v>
      </c>
      <c r="N35" s="19">
        <f>IFERROR(VLOOKUP(LightingAssumptions[[#This Row],[ASHRAE 2007 Space Type]],'Raw Data - Lighting'!$C$4:$E$121,3,FALSE),"")</f>
        <v>8</v>
      </c>
      <c r="O35" s="152"/>
      <c r="P35" s="19" t="str">
        <f>IFERROR(VLOOKUP(LightingAssumptions[[#This Row],[ASHRAE 2010 Space Type]],'Raw Data - Lighting'!$I$4:$K$121,2,FALSE),"")</f>
        <v/>
      </c>
      <c r="Q35" s="36" t="str">
        <f>IFERROR(VLOOKUP(LightingAssumptions[[#This Row],[ASHRAE 2010 Space Type]],'Raw Data - Lighting'!$I$4:$K$121,3,FALSE),"")</f>
        <v/>
      </c>
      <c r="R35" s="152" t="s">
        <v>384</v>
      </c>
      <c r="S35" s="19">
        <f>IFERROR(VLOOKUP(LightingAssumptions[[#This Row],[ASHRAE 2013 Space Type]],'Raw Data - Lighting'!$O$4:$Q$121,2,FALSE),"")</f>
        <v>1.66</v>
      </c>
      <c r="T35" s="36">
        <f>IFERROR(VLOOKUP(LightingAssumptions[[#This Row],[ASHRAE 2013 Space Type]],'Raw Data - Lighting'!$O$4:$Q$121,3,FALSE),"")</f>
        <v>8</v>
      </c>
      <c r="U35" s="154"/>
      <c r="V35" s="19" t="str">
        <f>IFERROR(VLOOKUP(LightingAssumptions[[#This Row],[ASHRAE 2016 Space Type]],'Raw Data - Lighting'!$U$4:$W$131,2,FALSE),"")</f>
        <v/>
      </c>
      <c r="W35" s="19" t="str">
        <f>IFERROR(VLOOKUP(LightingAssumptions[[#This Row],[ASHRAE 2016 Space Type]],'Raw Data - Lighting'!$U$4:$W$131,3,FALSE),"")</f>
        <v/>
      </c>
      <c r="X35" s="152"/>
      <c r="Y35" s="19" t="str">
        <f>IFERROR(VLOOKUP(LightingAssumptions[[#This Row],[ASHRAE 2019 Space Type]],'Raw Data - Lighting'!$AA$4:$AC$128,2,FALSE),"")</f>
        <v/>
      </c>
      <c r="Z35" s="36" t="str">
        <f>IFERROR(VLOOKUP(LightingAssumptions[[#This Row],[ASHRAE 2019 Space Type]],'Raw Data - Lighting'!$AA$4:$AC$128,3,FALSE),"")</f>
        <v/>
      </c>
      <c r="AA35"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1.1499999999999999</v>
      </c>
      <c r="AB35" s="95" t="str">
        <f>IFERROR(IF(LightingAssumptions[[#This Row],[Min Code LPD 
'[W/sqft']]]="","",INDEX($E$16:$Z$20,1,MATCH(LightingAssumptions[[#This Row],[Min Code LPD 
'[W/sqft']]],LightingAssumptions[[#This Row],[Primary Function Area]:[RCR Threshold]],0))),"")</f>
        <v>Title-24 2019</v>
      </c>
      <c r="AC35" s="154">
        <f>LightingAssumptions[[#This Row],[Total Allowed LPD (W/sqft, Unless noted otherwise)]]</f>
        <v>1.1499999999999999</v>
      </c>
      <c r="AD35" s="166">
        <f>IFERROR(IF(LightingAssumptions[[#This Row],[Design LPD 
'[W/sqft']]]="","",1-LightingAssumptions[[#This Row],[Design LPD 
'[W/sqft']]]/LightingAssumptions[[#This Row],[Min Code LPD 
'[W/sqft']]]),"")</f>
        <v>0</v>
      </c>
      <c r="AE35" s="154">
        <v>1.5</v>
      </c>
      <c r="AF35" s="462"/>
    </row>
    <row r="36" spans="2:32" x14ac:dyDescent="0.25">
      <c r="B36" s="18">
        <v>17</v>
      </c>
      <c r="C36" s="19" t="str">
        <f>IF('Master Room List'!R32="","",'Master Room List'!R32)</f>
        <v/>
      </c>
      <c r="D36" s="19" t="str">
        <f>IF(LightingAssumptions[[#This Row],[SpaceType]]="","-",VLOOKUP(LightingAssumptions[[#This Row],[SpaceType]],MasterRoomList_SpaceTypeSummary[[#All],[SpaceType]:[Number of Spaces]],2,FALSE))</f>
        <v>-</v>
      </c>
      <c r="E36" s="152" t="s">
        <v>381</v>
      </c>
      <c r="F36" s="19">
        <f>IFERROR(VLOOKUP(E36,'Raw Data - Lighting'!$AG$3:$AH$77,2,FALSE),"")</f>
        <v>0.4</v>
      </c>
      <c r="G36" s="154" t="s">
        <v>214</v>
      </c>
      <c r="H36" s="19" t="str">
        <f>IFERROR(IF(OR(VLOOKUP($E36,'Raw Data - Lighting'!$AG$3:$AJ$76,3,FALSE)=$G36,VLOOKUP($E36,'Raw Data - Lighting'!$AG$3:$AJ$76,4,FALSE)=$G36),VLOOKUP($G36,'Raw Data - Lighting'!$AL$4:$AM$18,2,FALSE),IF($G36="-","","This Qualified Lighting System does not correspond with the Primary Function Area")),"")</f>
        <v/>
      </c>
      <c r="I36" s="154" t="s">
        <v>214</v>
      </c>
      <c r="J36" s="95" t="str">
        <f>IFERROR(IF(OR(VLOOKUP($E36,'Raw Data - Lighting'!$AG$3:$AJ$76,3,FALSE)=$I36,VLOOKUP($E36,'Raw Data - Lighting'!$AG$3:$AJ$76,4,FALSE)=$I36),VLOOKUP($I36,'Raw Data - Lighting'!$AL$4:$AM$18,2,FALSE),IF($I36="-","","This Qualified Lighting System does not correspond with the Primary Function Area")),"")</f>
        <v/>
      </c>
      <c r="K36" s="36">
        <f>IF(AND(G36="-",I36="-"),LightingAssumptions[[#This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0.4</v>
      </c>
      <c r="L36" s="152" t="s">
        <v>382</v>
      </c>
      <c r="M36" s="19">
        <f>IFERROR(VLOOKUP(LightingAssumptions[[#This Row],[ASHRAE 2007 Space Type]],'Raw Data - Lighting'!$C$4:$E$121,2,FALSE),"")</f>
        <v>1.5</v>
      </c>
      <c r="N36" s="19">
        <f>IFERROR(VLOOKUP(LightingAssumptions[[#This Row],[ASHRAE 2007 Space Type]],'Raw Data - Lighting'!$C$4:$E$121,3,FALSE),"")</f>
        <v>6</v>
      </c>
      <c r="O36" s="152"/>
      <c r="P36" s="19" t="str">
        <f>IFERROR(VLOOKUP(LightingAssumptions[[#This Row],[ASHRAE 2010 Space Type]],'Raw Data - Lighting'!$I$4:$K$121,2,FALSE),"")</f>
        <v/>
      </c>
      <c r="Q36" s="36" t="str">
        <f>IFERROR(VLOOKUP(LightingAssumptions[[#This Row],[ASHRAE 2010 Space Type]],'Raw Data - Lighting'!$I$4:$K$121,3,FALSE),"")</f>
        <v/>
      </c>
      <c r="R36" s="152" t="s">
        <v>382</v>
      </c>
      <c r="S36" s="19">
        <f>IFERROR(VLOOKUP(LightingAssumptions[[#This Row],[ASHRAE 2013 Space Type]],'Raw Data - Lighting'!$O$4:$Q$121,2,FALSE),"")</f>
        <v>0.42</v>
      </c>
      <c r="T36" s="36">
        <f>IFERROR(VLOOKUP(LightingAssumptions[[#This Row],[ASHRAE 2013 Space Type]],'Raw Data - Lighting'!$O$4:$Q$121,3,FALSE),"")</f>
        <v>6</v>
      </c>
      <c r="U36" s="154"/>
      <c r="V36" s="19" t="str">
        <f>IFERROR(VLOOKUP(LightingAssumptions[[#This Row],[ASHRAE 2016 Space Type]],'Raw Data - Lighting'!$U$4:$W$131,2,FALSE),"")</f>
        <v/>
      </c>
      <c r="W36" s="19" t="str">
        <f>IFERROR(VLOOKUP(LightingAssumptions[[#This Row],[ASHRAE 2016 Space Type]],'Raw Data - Lighting'!$U$4:$W$131,3,FALSE),"")</f>
        <v/>
      </c>
      <c r="X36" s="152"/>
      <c r="Y36" s="19" t="str">
        <f>IFERROR(VLOOKUP(LightingAssumptions[[#This Row],[ASHRAE 2019 Space Type]],'Raw Data - Lighting'!$AA$4:$AC$128,2,FALSE),"")</f>
        <v/>
      </c>
      <c r="Z36" s="36" t="str">
        <f>IFERROR(VLOOKUP(LightingAssumptions[[#This Row],[ASHRAE 2019 Space Type]],'Raw Data - Lighting'!$AA$4:$AC$128,3,FALSE),"")</f>
        <v/>
      </c>
      <c r="AA36"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0.4</v>
      </c>
      <c r="AB36" s="95" t="str">
        <f>IFERROR(IF(LightingAssumptions[[#This Row],[Min Code LPD 
'[W/sqft']]]="","",INDEX($E$16:$Z$20,1,MATCH(LightingAssumptions[[#This Row],[Min Code LPD 
'[W/sqft']]],LightingAssumptions[[#This Row],[Primary Function Area]:[RCR Threshold]],0))),"")</f>
        <v>Title-24 2019</v>
      </c>
      <c r="AC36" s="154">
        <f>LightingAssumptions[[#This Row],[Total Allowed LPD (W/sqft, Unless noted otherwise)]]</f>
        <v>0.4</v>
      </c>
      <c r="AD36" s="166">
        <f>IFERROR(IF(LightingAssumptions[[#This Row],[Design LPD 
'[W/sqft']]]="","",1-LightingAssumptions[[#This Row],[Design LPD 
'[W/sqft']]]/LightingAssumptions[[#This Row],[Min Code LPD 
'[W/sqft']]]),"")</f>
        <v>0</v>
      </c>
      <c r="AE36" s="154">
        <v>20</v>
      </c>
      <c r="AF36" s="462"/>
    </row>
    <row r="37" spans="2:32" x14ac:dyDescent="0.25">
      <c r="B37" s="18">
        <v>18</v>
      </c>
      <c r="C37" s="19" t="str">
        <f>IF('Master Room List'!R33="","",'Master Room List'!R33)</f>
        <v/>
      </c>
      <c r="D37" s="19" t="str">
        <f>IF(LightingAssumptions[[#This Row],[SpaceType]]="","-",VLOOKUP(LightingAssumptions[[#This Row],[SpaceType]],MasterRoomList_SpaceTypeSummary[[#All],[SpaceType]:[Number of Spaces]],2,FALSE))</f>
        <v>-</v>
      </c>
      <c r="E37" s="152" t="s">
        <v>381</v>
      </c>
      <c r="F37" s="19">
        <f>IFERROR(VLOOKUP(E37,'Raw Data - Lighting'!$AG$3:$AH$77,2,FALSE),"")</f>
        <v>0.4</v>
      </c>
      <c r="G37" s="154" t="s">
        <v>214</v>
      </c>
      <c r="H37" s="19" t="str">
        <f>IFERROR(IF(OR(VLOOKUP($E37,'Raw Data - Lighting'!$AG$3:$AJ$76,3,FALSE)=$G37,VLOOKUP($E37,'Raw Data - Lighting'!$AG$3:$AJ$76,4,FALSE)=$G37),VLOOKUP($G37,'Raw Data - Lighting'!$AL$4:$AM$18,2,FALSE),IF($G37="-","","This Qualified Lighting System does not correspond with the Primary Function Area")),"")</f>
        <v/>
      </c>
      <c r="I37" s="154" t="s">
        <v>214</v>
      </c>
      <c r="J37" s="95" t="str">
        <f>IFERROR(IF(OR(VLOOKUP($E37,'Raw Data - Lighting'!$AG$3:$AJ$76,3,FALSE)=$I37,VLOOKUP($E37,'Raw Data - Lighting'!$AG$3:$AJ$76,4,FALSE)=$I37),VLOOKUP($I37,'Raw Data - Lighting'!$AL$4:$AM$18,2,FALSE),IF($I37="-","","This Qualified Lighting System does not correspond with the Primary Function Area")),"")</f>
        <v/>
      </c>
      <c r="K37" s="36">
        <f>IF(AND(G37="-",I37="-"),LightingAssumptions[[#This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0.4</v>
      </c>
      <c r="L37" s="152" t="s">
        <v>382</v>
      </c>
      <c r="M37" s="19">
        <f>IFERROR(VLOOKUP(LightingAssumptions[[#This Row],[ASHRAE 2007 Space Type]],'Raw Data - Lighting'!$C$4:$E$121,2,FALSE),"")</f>
        <v>1.5</v>
      </c>
      <c r="N37" s="19">
        <f>IFERROR(VLOOKUP(LightingAssumptions[[#This Row],[ASHRAE 2007 Space Type]],'Raw Data - Lighting'!$C$4:$E$121,3,FALSE),"")</f>
        <v>6</v>
      </c>
      <c r="O37" s="152"/>
      <c r="P37" s="19" t="str">
        <f>IFERROR(VLOOKUP(LightingAssumptions[[#This Row],[ASHRAE 2010 Space Type]],'Raw Data - Lighting'!$I$4:$K$121,2,FALSE),"")</f>
        <v/>
      </c>
      <c r="Q37" s="36" t="str">
        <f>IFERROR(VLOOKUP(LightingAssumptions[[#This Row],[ASHRAE 2010 Space Type]],'Raw Data - Lighting'!$I$4:$K$121,3,FALSE),"")</f>
        <v/>
      </c>
      <c r="R37" s="152" t="s">
        <v>382</v>
      </c>
      <c r="S37" s="19">
        <f>IFERROR(VLOOKUP(LightingAssumptions[[#This Row],[ASHRAE 2013 Space Type]],'Raw Data - Lighting'!$O$4:$Q$121,2,FALSE),"")</f>
        <v>0.42</v>
      </c>
      <c r="T37" s="36">
        <f>IFERROR(VLOOKUP(LightingAssumptions[[#This Row],[ASHRAE 2013 Space Type]],'Raw Data - Lighting'!$O$4:$Q$121,3,FALSE),"")</f>
        <v>6</v>
      </c>
      <c r="U37" s="154"/>
      <c r="V37" s="19" t="str">
        <f>IFERROR(VLOOKUP(LightingAssumptions[[#This Row],[ASHRAE 2016 Space Type]],'Raw Data - Lighting'!$U$4:$W$131,2,FALSE),"")</f>
        <v/>
      </c>
      <c r="W37" s="19" t="str">
        <f>IFERROR(VLOOKUP(LightingAssumptions[[#This Row],[ASHRAE 2016 Space Type]],'Raw Data - Lighting'!$U$4:$W$131,3,FALSE),"")</f>
        <v/>
      </c>
      <c r="X37" s="152"/>
      <c r="Y37" s="19" t="str">
        <f>IFERROR(VLOOKUP(LightingAssumptions[[#This Row],[ASHRAE 2019 Space Type]],'Raw Data - Lighting'!$AA$4:$AC$128,2,FALSE),"")</f>
        <v/>
      </c>
      <c r="Z37" s="36" t="str">
        <f>IFERROR(VLOOKUP(LightingAssumptions[[#This Row],[ASHRAE 2019 Space Type]],'Raw Data - Lighting'!$AA$4:$AC$128,3,FALSE),"")</f>
        <v/>
      </c>
      <c r="AA37"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0.4</v>
      </c>
      <c r="AB37" s="95" t="str">
        <f>IFERROR(IF(LightingAssumptions[[#This Row],[Min Code LPD 
'[W/sqft']]]="","",INDEX($E$16:$Z$20,1,MATCH(LightingAssumptions[[#This Row],[Min Code LPD 
'[W/sqft']]],LightingAssumptions[[#This Row],[Primary Function Area]:[RCR Threshold]],0))),"")</f>
        <v>Title-24 2019</v>
      </c>
      <c r="AC37" s="154">
        <f>LightingAssumptions[[#This Row],[Total Allowed LPD (W/sqft, Unless noted otherwise)]]</f>
        <v>0.4</v>
      </c>
      <c r="AD37" s="166">
        <f>IFERROR(IF(LightingAssumptions[[#This Row],[Design LPD 
'[W/sqft']]]="","",1-LightingAssumptions[[#This Row],[Design LPD 
'[W/sqft']]]/LightingAssumptions[[#This Row],[Min Code LPD 
'[W/sqft']]]),"")</f>
        <v>0</v>
      </c>
      <c r="AE37" s="154">
        <v>3</v>
      </c>
      <c r="AF37" s="462"/>
    </row>
    <row r="38" spans="2:32" x14ac:dyDescent="0.25">
      <c r="B38" s="18">
        <v>19</v>
      </c>
      <c r="C38" s="19" t="str">
        <f>IF('Master Room List'!R34="","",'Master Room List'!R34)</f>
        <v/>
      </c>
      <c r="D38" s="19" t="str">
        <f>IF(LightingAssumptions[[#This Row],[SpaceType]]="","-",VLOOKUP(LightingAssumptions[[#This Row],[SpaceType]],MasterRoomList_SpaceTypeSummary[[#All],[SpaceType]:[Number of Spaces]],2,FALSE))</f>
        <v>-</v>
      </c>
      <c r="E38" s="152" t="s">
        <v>410</v>
      </c>
      <c r="F38" s="19">
        <f>IFERROR(VLOOKUP(E38,'Raw Data - Lighting'!$AG$3:$AH$77,2,FALSE),"")</f>
        <v>1</v>
      </c>
      <c r="G38" s="154" t="s">
        <v>214</v>
      </c>
      <c r="H38" s="19" t="str">
        <f>IFERROR(IF(OR(VLOOKUP($E38,'Raw Data - Lighting'!$AG$3:$AJ$76,3,FALSE)=$G38,VLOOKUP($E38,'Raw Data - Lighting'!$AG$3:$AJ$76,4,FALSE)=$G38),VLOOKUP($G38,'Raw Data - Lighting'!$AL$4:$AM$18,2,FALSE),IF($G38="-","","This Qualified Lighting System does not correspond with the Primary Function Area")),"")</f>
        <v/>
      </c>
      <c r="I38" s="154" t="s">
        <v>214</v>
      </c>
      <c r="J38" s="95" t="str">
        <f>IFERROR(IF(OR(VLOOKUP($E38,'Raw Data - Lighting'!$AG$3:$AJ$76,3,FALSE)=$I38,VLOOKUP($E38,'Raw Data - Lighting'!$AG$3:$AJ$76,4,FALSE)=$I38),VLOOKUP($I38,'Raw Data - Lighting'!$AL$4:$AM$18,2,FALSE),IF($I38="-","","This Qualified Lighting System does not correspond with the Primary Function Area")),"")</f>
        <v/>
      </c>
      <c r="K38" s="36">
        <f>IF(AND(G38="-",I38="-"),LightingAssumptions[[#This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1</v>
      </c>
      <c r="L38" s="152" t="s">
        <v>411</v>
      </c>
      <c r="M38" s="19">
        <f>IFERROR(VLOOKUP(LightingAssumptions[[#This Row],[ASHRAE 2007 Space Type]],'Raw Data - Lighting'!$C$4:$E$121,2,FALSE),"")</f>
        <v>1.7</v>
      </c>
      <c r="N38" s="19">
        <f>IFERROR(VLOOKUP(LightingAssumptions[[#This Row],[ASHRAE 2007 Space Type]],'Raw Data - Lighting'!$C$4:$E$121,3,FALSE),"")</f>
        <v>6</v>
      </c>
      <c r="O38" s="152"/>
      <c r="P38" s="19" t="str">
        <f>IFERROR(VLOOKUP(LightingAssumptions[[#This Row],[ASHRAE 2010 Space Type]],'Raw Data - Lighting'!$I$4:$K$121,2,FALSE),"")</f>
        <v/>
      </c>
      <c r="Q38" s="36" t="str">
        <f>IFERROR(VLOOKUP(LightingAssumptions[[#This Row],[ASHRAE 2010 Space Type]],'Raw Data - Lighting'!$I$4:$K$121,3,FALSE),"")</f>
        <v/>
      </c>
      <c r="R38" s="152" t="s">
        <v>411</v>
      </c>
      <c r="S38" s="19">
        <f>IFERROR(VLOOKUP(LightingAssumptions[[#This Row],[ASHRAE 2013 Space Type]],'Raw Data - Lighting'!$O$4:$Q$121,2,FALSE),"")</f>
        <v>1.44</v>
      </c>
      <c r="T38" s="36">
        <f>IFERROR(VLOOKUP(LightingAssumptions[[#This Row],[ASHRAE 2013 Space Type]],'Raw Data - Lighting'!$O$4:$Q$121,3,FALSE),"")</f>
        <v>6</v>
      </c>
      <c r="U38" s="154"/>
      <c r="V38" s="19" t="str">
        <f>IFERROR(VLOOKUP(LightingAssumptions[[#This Row],[ASHRAE 2016 Space Type]],'Raw Data - Lighting'!$U$4:$W$131,2,FALSE),"")</f>
        <v/>
      </c>
      <c r="W38" s="19" t="str">
        <f>IFERROR(VLOOKUP(LightingAssumptions[[#This Row],[ASHRAE 2016 Space Type]],'Raw Data - Lighting'!$U$4:$W$131,3,FALSE),"")</f>
        <v/>
      </c>
      <c r="X38" s="152"/>
      <c r="Y38" s="19" t="str">
        <f>IFERROR(VLOOKUP(LightingAssumptions[[#This Row],[ASHRAE 2019 Space Type]],'Raw Data - Lighting'!$AA$4:$AC$128,2,FALSE),"")</f>
        <v/>
      </c>
      <c r="Z38" s="36" t="str">
        <f>IFERROR(VLOOKUP(LightingAssumptions[[#This Row],[ASHRAE 2019 Space Type]],'Raw Data - Lighting'!$AA$4:$AC$128,3,FALSE),"")</f>
        <v/>
      </c>
      <c r="AA38"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1</v>
      </c>
      <c r="AB38" s="95" t="str">
        <f>IFERROR(IF(LightingAssumptions[[#This Row],[Min Code LPD 
'[W/sqft']]]="","",INDEX($E$16:$Z$20,1,MATCH(LightingAssumptions[[#This Row],[Min Code LPD 
'[W/sqft']]],LightingAssumptions[[#This Row],[Primary Function Area]:[RCR Threshold]],0))),"")</f>
        <v>Title-24 2019</v>
      </c>
      <c r="AC38" s="154">
        <f>LightingAssumptions[[#This Row],[Total Allowed LPD (W/sqft, Unless noted otherwise)]]</f>
        <v>1</v>
      </c>
      <c r="AD38" s="166">
        <f>IFERROR(IF(LightingAssumptions[[#This Row],[Design LPD 
'[W/sqft']]]="","",1-LightingAssumptions[[#This Row],[Design LPD 
'[W/sqft']]]/LightingAssumptions[[#This Row],[Min Code LPD 
'[W/sqft']]]),"")</f>
        <v>0</v>
      </c>
      <c r="AE38" s="154">
        <v>2</v>
      </c>
      <c r="AF38" s="462"/>
    </row>
    <row r="39" spans="2:32" x14ac:dyDescent="0.25">
      <c r="B39" s="18">
        <v>20</v>
      </c>
      <c r="C39" s="19" t="str">
        <f>IF('Master Room List'!R35="","",'Master Room List'!R35)</f>
        <v/>
      </c>
      <c r="D39" s="19" t="str">
        <f>IF(LightingAssumptions[[#This Row],[SpaceType]]="","-",VLOOKUP(LightingAssumptions[[#This Row],[SpaceType]],MasterRoomList_SpaceTypeSummary[[#All],[SpaceType]:[Number of Spaces]],2,FALSE))</f>
        <v>-</v>
      </c>
      <c r="E39" s="152" t="s">
        <v>394</v>
      </c>
      <c r="F39" s="19">
        <f>IFERROR(VLOOKUP(E39,'Raw Data - Lighting'!$AG$3:$AH$77,2,FALSE),"")</f>
        <v>0.65</v>
      </c>
      <c r="G39" s="154" t="s">
        <v>214</v>
      </c>
      <c r="H39" s="19" t="str">
        <f>IFERROR(IF(OR(VLOOKUP($E39,'Raw Data - Lighting'!$AG$3:$AJ$76,3,FALSE)=$G39,VLOOKUP($E39,'Raw Data - Lighting'!$AG$3:$AJ$76,4,FALSE)=$G39),VLOOKUP($G39,'Raw Data - Lighting'!$AL$4:$AM$18,2,FALSE),IF($G39="-","","This Qualified Lighting System does not correspond with the Primary Function Area")),"")</f>
        <v/>
      </c>
      <c r="I39" s="154" t="s">
        <v>214</v>
      </c>
      <c r="J39" s="95" t="str">
        <f>IFERROR(IF(OR(VLOOKUP($E39,'Raw Data - Lighting'!$AG$3:$AJ$76,3,FALSE)=$I39,VLOOKUP($E39,'Raw Data - Lighting'!$AG$3:$AJ$76,4,FALSE)=$I39),VLOOKUP($I39,'Raw Data - Lighting'!$AL$4:$AM$18,2,FALSE),IF($I39="-","","This Qualified Lighting System does not correspond with the Primary Function Area")),"")</f>
        <v/>
      </c>
      <c r="K39" s="36">
        <f>IF(AND(G39="-",I39="-"),LightingAssumptions[[#This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0.65</v>
      </c>
      <c r="L39" s="152" t="s">
        <v>393</v>
      </c>
      <c r="M39" s="19">
        <f>IFERROR(VLOOKUP(LightingAssumptions[[#This Row],[ASHRAE 2007 Space Type]],'Raw Data - Lighting'!$C$4:$E$121,2,FALSE),"")</f>
        <v>1.3</v>
      </c>
      <c r="N39" s="19">
        <f>IFERROR(VLOOKUP(LightingAssumptions[[#This Row],[ASHRAE 2007 Space Type]],'Raw Data - Lighting'!$C$4:$E$121,3,FALSE),"")</f>
        <v>4</v>
      </c>
      <c r="O39" s="152"/>
      <c r="P39" s="19" t="str">
        <f>IFERROR(VLOOKUP(LightingAssumptions[[#This Row],[ASHRAE 2010 Space Type]],'Raw Data - Lighting'!$I$4:$K$121,2,FALSE),"")</f>
        <v/>
      </c>
      <c r="Q39" s="36" t="str">
        <f>IFERROR(VLOOKUP(LightingAssumptions[[#This Row],[ASHRAE 2010 Space Type]],'Raw Data - Lighting'!$I$4:$K$121,3,FALSE),"")</f>
        <v/>
      </c>
      <c r="R39" s="152" t="s">
        <v>393</v>
      </c>
      <c r="S39" s="19">
        <f>IFERROR(VLOOKUP(LightingAssumptions[[#This Row],[ASHRAE 2013 Space Type]],'Raw Data - Lighting'!$O$4:$Q$121,2,FALSE),"")</f>
        <v>0.9</v>
      </c>
      <c r="T39" s="36">
        <f>IFERROR(VLOOKUP(LightingAssumptions[[#This Row],[ASHRAE 2013 Space Type]],'Raw Data - Lighting'!$O$4:$Q$121,3,FALSE),"")</f>
        <v>4</v>
      </c>
      <c r="U39" s="154"/>
      <c r="V39" s="19" t="str">
        <f>IFERROR(VLOOKUP(LightingAssumptions[[#This Row],[ASHRAE 2016 Space Type]],'Raw Data - Lighting'!$U$4:$W$131,2,FALSE),"")</f>
        <v/>
      </c>
      <c r="W39" s="19" t="str">
        <f>IFERROR(VLOOKUP(LightingAssumptions[[#This Row],[ASHRAE 2016 Space Type]],'Raw Data - Lighting'!$U$4:$W$131,3,FALSE),"")</f>
        <v/>
      </c>
      <c r="X39" s="152"/>
      <c r="Y39" s="19" t="str">
        <f>IFERROR(VLOOKUP(LightingAssumptions[[#This Row],[ASHRAE 2019 Space Type]],'Raw Data - Lighting'!$AA$4:$AC$128,2,FALSE),"")</f>
        <v/>
      </c>
      <c r="Z39" s="36" t="str">
        <f>IFERROR(VLOOKUP(LightingAssumptions[[#This Row],[ASHRAE 2019 Space Type]],'Raw Data - Lighting'!$AA$4:$AC$128,3,FALSE),"")</f>
        <v/>
      </c>
      <c r="AA39" s="473">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0.65</v>
      </c>
      <c r="AB39" s="95" t="str">
        <f>IFERROR(IF(LightingAssumptions[[#This Row],[Min Code LPD 
'[W/sqft']]]="","",INDEX($E$16:$Z$20,1,MATCH(LightingAssumptions[[#This Row],[Min Code LPD 
'[W/sqft']]],LightingAssumptions[[#This Row],[Primary Function Area]:[RCR Threshold]],0))),"")</f>
        <v>Title-24 2019</v>
      </c>
      <c r="AC39" s="154">
        <f>LightingAssumptions[[#This Row],[Total Allowed LPD (W/sqft, Unless noted otherwise)]]</f>
        <v>0.65</v>
      </c>
      <c r="AD39" s="166">
        <f>IFERROR(IF(LightingAssumptions[[#This Row],[Design LPD 
'[W/sqft']]]="","",1-LightingAssumptions[[#This Row],[Design LPD 
'[W/sqft']]]/LightingAssumptions[[#This Row],[Min Code LPD 
'[W/sqft']]]),"")</f>
        <v>0</v>
      </c>
      <c r="AE39" s="154">
        <v>0</v>
      </c>
      <c r="AF39" s="462"/>
    </row>
    <row r="40" spans="2:32" x14ac:dyDescent="0.25">
      <c r="B40" s="18">
        <v>21</v>
      </c>
      <c r="C40" s="19" t="str">
        <f>IF('Master Room List'!R36="","",'Master Room List'!R36)</f>
        <v/>
      </c>
      <c r="D40" s="19" t="str">
        <f>IF(LightingAssumptions[[#This Row],[SpaceType]]="","-",VLOOKUP(LightingAssumptions[[#This Row],[SpaceType]],MasterRoomList_SpaceTypeSummary[[#All],[SpaceType]:[Number of Spaces]],2,FALSE))</f>
        <v>-</v>
      </c>
      <c r="E40" s="152"/>
      <c r="F40" s="19" t="str">
        <f>IFERROR(VLOOKUP(E40,'Raw Data - Lighting'!$AG$3:$AH$77,2,FALSE),"")</f>
        <v/>
      </c>
      <c r="G40" s="154" t="s">
        <v>214</v>
      </c>
      <c r="H40" s="19" t="str">
        <f>IFERROR(IF(OR(VLOOKUP($E40,'Raw Data - Lighting'!$AG$3:$AJ$76,3,FALSE)=$G40,VLOOKUP($E40,'Raw Data - Lighting'!$AG$3:$AJ$76,4,FALSE)=$G40),VLOOKUP($G40,'Raw Data - Lighting'!$AL$4:$AM$18,2,FALSE),IF($G40="-","","This Qualified Lighting System does not correspond with the Primary Function Area")),"")</f>
        <v/>
      </c>
      <c r="I40" s="154" t="s">
        <v>214</v>
      </c>
      <c r="J40" s="95" t="str">
        <f>IFERROR(IF(OR(VLOOKUP($E40,'Raw Data - Lighting'!$AG$3:$AJ$76,3,FALSE)=$I40,VLOOKUP($E40,'Raw Data - Lighting'!$AG$3:$AJ$76,4,FALSE)=$I40),VLOOKUP($I40,'Raw Data - Lighting'!$AL$4:$AM$18,2,FALSE),IF($I40="-","","This Qualified Lighting System does not correspond with the Primary Function Area")),"")</f>
        <v/>
      </c>
      <c r="K40" s="36" t="str">
        <f>IF(AND(G40="-",I40="-"),LightingAssumptions[[#This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0" s="19"/>
      <c r="M40" s="19" t="str">
        <f>IFERROR(VLOOKUP(LightingAssumptions[[#This Row],[ASHRAE 2007 Space Type]],'Raw Data - Lighting'!$C$4:$E$121,2,FALSE),"")</f>
        <v/>
      </c>
      <c r="N40" s="19" t="str">
        <f>IFERROR(VLOOKUP(LightingAssumptions[[#This Row],[ASHRAE 2007 Space Type]],'Raw Data - Lighting'!$C$4:$E$121,3,FALSE),"")</f>
        <v/>
      </c>
      <c r="O40" s="152"/>
      <c r="P40" s="19" t="str">
        <f>IFERROR(VLOOKUP(LightingAssumptions[[#This Row],[ASHRAE 2010 Space Type]],'Raw Data - Lighting'!$I$4:$K$121,2,FALSE),"")</f>
        <v/>
      </c>
      <c r="Q40" s="36" t="str">
        <f>IFERROR(VLOOKUP(LightingAssumptions[[#This Row],[ASHRAE 2010 Space Type]],'Raw Data - Lighting'!$I$4:$K$121,3,FALSE),"")</f>
        <v/>
      </c>
      <c r="R40" s="152"/>
      <c r="S40" s="19" t="str">
        <f>IFERROR(VLOOKUP(LightingAssumptions[[#This Row],[ASHRAE 2013 Space Type]],'Raw Data - Lighting'!$O$4:$Q$121,2,FALSE),"")</f>
        <v/>
      </c>
      <c r="T40" s="36" t="str">
        <f>IFERROR(VLOOKUP(LightingAssumptions[[#This Row],[ASHRAE 2013 Space Type]],'Raw Data - Lighting'!$O$4:$Q$121,3,FALSE),"")</f>
        <v/>
      </c>
      <c r="U40" s="154"/>
      <c r="V40" s="19" t="str">
        <f>IFERROR(VLOOKUP(LightingAssumptions[[#This Row],[ASHRAE 2016 Space Type]],'Raw Data - Lighting'!$U$4:$W$131,2,FALSE),"")</f>
        <v/>
      </c>
      <c r="W40" s="19" t="str">
        <f>IFERROR(VLOOKUP(LightingAssumptions[[#This Row],[ASHRAE 2016 Space Type]],'Raw Data - Lighting'!$U$4:$W$131,3,FALSE),"")</f>
        <v/>
      </c>
      <c r="X40" s="152"/>
      <c r="Y40" s="19" t="str">
        <f>IFERROR(VLOOKUP(LightingAssumptions[[#This Row],[ASHRAE 2019 Space Type]],'Raw Data - Lighting'!$AA$4:$AC$128,2,FALSE),"")</f>
        <v/>
      </c>
      <c r="Z40" s="36" t="str">
        <f>IFERROR(VLOOKUP(LightingAssumptions[[#This Row],[ASHRAE 2019 Space Type]],'Raw Data - Lighting'!$AA$4:$AC$128,3,FALSE),"")</f>
        <v/>
      </c>
      <c r="AA40"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0" s="95" t="str">
        <f>IFERROR(IF(LightingAssumptions[[#This Row],[Min Code LPD 
'[W/sqft']]]="","",INDEX($E$16:$Z$20,1,MATCH(LightingAssumptions[[#This Row],[Min Code LPD 
'[W/sqft']]],LightingAssumptions[[#This Row],[Primary Function Area]:[RCR Threshold]],0))),"")</f>
        <v/>
      </c>
      <c r="AC40" s="154"/>
      <c r="AD40" s="166" t="str">
        <f>IFERROR(IF(LightingAssumptions[[#This Row],[Design LPD 
'[W/sqft']]]="","",1-LightingAssumptions[[#This Row],[Design LPD 
'[W/sqft']]]/LightingAssumptions[[#This Row],[Min Code LPD 
'[W/sqft']]]),"")</f>
        <v/>
      </c>
      <c r="AE40" s="154"/>
      <c r="AF40" s="462"/>
    </row>
    <row r="41" spans="2:32" x14ac:dyDescent="0.25">
      <c r="B41" s="18">
        <v>22</v>
      </c>
      <c r="C41" s="19" t="str">
        <f>IF('Master Room List'!R37="","",'Master Room List'!R37)</f>
        <v/>
      </c>
      <c r="D41" s="19" t="str">
        <f>IF(LightingAssumptions[[#This Row],[SpaceType]]="","-",VLOOKUP(LightingAssumptions[[#This Row],[SpaceType]],MasterRoomList_SpaceTypeSummary[[#All],[SpaceType]:[Number of Spaces]],2,FALSE))</f>
        <v>-</v>
      </c>
      <c r="E41" s="152"/>
      <c r="F41" s="19" t="str">
        <f>IFERROR(VLOOKUP(E41,'Raw Data - Lighting'!$AG$3:$AH$77,2,FALSE),"")</f>
        <v/>
      </c>
      <c r="G41" s="154" t="s">
        <v>214</v>
      </c>
      <c r="H41" s="19" t="str">
        <f>IFERROR(IF(OR(VLOOKUP($E41,'Raw Data - Lighting'!$AG$3:$AJ$76,3,FALSE)=$G41,VLOOKUP($E41,'Raw Data - Lighting'!$AG$3:$AJ$76,4,FALSE)=$G41),VLOOKUP($G41,'Raw Data - Lighting'!$AL$4:$AM$18,2,FALSE),IF($G41="-","","This Qualified Lighting System does not correspond with the Primary Function Area")),"")</f>
        <v/>
      </c>
      <c r="I41" s="154" t="s">
        <v>214</v>
      </c>
      <c r="J41" s="95" t="str">
        <f>IFERROR(IF(OR(VLOOKUP($E41,'Raw Data - Lighting'!$AG$3:$AJ$76,3,FALSE)=$I41,VLOOKUP($E41,'Raw Data - Lighting'!$AG$3:$AJ$76,4,FALSE)=$I41),VLOOKUP($I41,'Raw Data - Lighting'!$AL$4:$AM$18,2,FALSE),IF($I41="-","","This Qualified Lighting System does not correspond with the Primary Function Area")),"")</f>
        <v/>
      </c>
      <c r="K41" s="36" t="str">
        <f>IF(AND(G41="-",I41="-"),LightingAssumptions[[#This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1" s="19"/>
      <c r="M41" s="19" t="str">
        <f>IFERROR(VLOOKUP(LightingAssumptions[[#This Row],[ASHRAE 2007 Space Type]],'Raw Data - Lighting'!$C$4:$E$121,2,FALSE),"")</f>
        <v/>
      </c>
      <c r="N41" s="19" t="str">
        <f>IFERROR(VLOOKUP(LightingAssumptions[[#This Row],[ASHRAE 2007 Space Type]],'Raw Data - Lighting'!$C$4:$E$121,3,FALSE),"")</f>
        <v/>
      </c>
      <c r="O41" s="152"/>
      <c r="P41" s="19" t="str">
        <f>IFERROR(VLOOKUP(LightingAssumptions[[#This Row],[ASHRAE 2010 Space Type]],'Raw Data - Lighting'!$I$4:$K$121,2,FALSE),"")</f>
        <v/>
      </c>
      <c r="Q41" s="36" t="str">
        <f>IFERROR(VLOOKUP(LightingAssumptions[[#This Row],[ASHRAE 2010 Space Type]],'Raw Data - Lighting'!$I$4:$K$121,3,FALSE),"")</f>
        <v/>
      </c>
      <c r="R41" s="152"/>
      <c r="S41" s="19" t="str">
        <f>IFERROR(VLOOKUP(LightingAssumptions[[#This Row],[ASHRAE 2013 Space Type]],'Raw Data - Lighting'!$O$4:$Q$121,2,FALSE),"")</f>
        <v/>
      </c>
      <c r="T41" s="36" t="str">
        <f>IFERROR(VLOOKUP(LightingAssumptions[[#This Row],[ASHRAE 2013 Space Type]],'Raw Data - Lighting'!$O$4:$Q$121,3,FALSE),"")</f>
        <v/>
      </c>
      <c r="U41" s="154"/>
      <c r="V41" s="19" t="str">
        <f>IFERROR(VLOOKUP(LightingAssumptions[[#This Row],[ASHRAE 2016 Space Type]],'Raw Data - Lighting'!$U$4:$W$131,2,FALSE),"")</f>
        <v/>
      </c>
      <c r="W41" s="19" t="str">
        <f>IFERROR(VLOOKUP(LightingAssumptions[[#This Row],[ASHRAE 2016 Space Type]],'Raw Data - Lighting'!$U$4:$W$131,3,FALSE),"")</f>
        <v/>
      </c>
      <c r="X41" s="152"/>
      <c r="Y41" s="19" t="str">
        <f>IFERROR(VLOOKUP(LightingAssumptions[[#This Row],[ASHRAE 2019 Space Type]],'Raw Data - Lighting'!$AA$4:$AC$128,2,FALSE),"")</f>
        <v/>
      </c>
      <c r="Z41" s="36" t="str">
        <f>IFERROR(VLOOKUP(LightingAssumptions[[#This Row],[ASHRAE 2019 Space Type]],'Raw Data - Lighting'!$AA$4:$AC$128,3,FALSE),"")</f>
        <v/>
      </c>
      <c r="AA41"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1" s="95" t="str">
        <f>IFERROR(IF(LightingAssumptions[[#This Row],[Min Code LPD 
'[W/sqft']]]="","",INDEX($E$16:$Z$20,1,MATCH(LightingAssumptions[[#This Row],[Min Code LPD 
'[W/sqft']]],LightingAssumptions[[#This Row],[Primary Function Area]:[RCR Threshold]],0))),"")</f>
        <v/>
      </c>
      <c r="AC41" s="154"/>
      <c r="AD41" s="166" t="str">
        <f>IFERROR(IF(LightingAssumptions[[#This Row],[Design LPD 
'[W/sqft']]]="","",1-LightingAssumptions[[#This Row],[Design LPD 
'[W/sqft']]]/LightingAssumptions[[#This Row],[Min Code LPD 
'[W/sqft']]]),"")</f>
        <v/>
      </c>
      <c r="AE41" s="154"/>
      <c r="AF41" s="462"/>
    </row>
    <row r="42" spans="2:32" x14ac:dyDescent="0.25">
      <c r="B42" s="18">
        <v>23</v>
      </c>
      <c r="C42" s="19" t="str">
        <f>IF('Master Room List'!R38="","",'Master Room List'!R38)</f>
        <v/>
      </c>
      <c r="D42" s="19" t="str">
        <f>IF(LightingAssumptions[[#This Row],[SpaceType]]="","-",VLOOKUP(LightingAssumptions[[#This Row],[SpaceType]],MasterRoomList_SpaceTypeSummary[[#All],[SpaceType]:[Number of Spaces]],2,FALSE))</f>
        <v>-</v>
      </c>
      <c r="E42" s="152"/>
      <c r="F42" s="19" t="str">
        <f>IFERROR(VLOOKUP(E42,'Raw Data - Lighting'!$AG$3:$AH$77,2,FALSE),"")</f>
        <v/>
      </c>
      <c r="G42" s="154" t="s">
        <v>214</v>
      </c>
      <c r="H42" s="19" t="str">
        <f>IFERROR(IF(OR(VLOOKUP($E42,'Raw Data - Lighting'!$AG$3:$AJ$76,3,FALSE)=$G42,VLOOKUP($E42,'Raw Data - Lighting'!$AG$3:$AJ$76,4,FALSE)=$G42),VLOOKUP($G42,'Raw Data - Lighting'!$AL$4:$AM$18,2,FALSE),IF($G42="-","","This Qualified Lighting System does not correspond with the Primary Function Area")),"")</f>
        <v/>
      </c>
      <c r="I42" s="154" t="s">
        <v>214</v>
      </c>
      <c r="J42" s="95" t="str">
        <f>IFERROR(IF(OR(VLOOKUP($E42,'Raw Data - Lighting'!$AG$3:$AJ$76,3,FALSE)=$I42,VLOOKUP($E42,'Raw Data - Lighting'!$AG$3:$AJ$76,4,FALSE)=$I42),VLOOKUP($I42,'Raw Data - Lighting'!$AL$4:$AM$18,2,FALSE),IF($I42="-","","This Qualified Lighting System does not correspond with the Primary Function Area")),"")</f>
        <v/>
      </c>
      <c r="K42" s="36" t="str">
        <f>IF(AND(G42="-",I42="-"),LightingAssumptions[[#This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2" s="19"/>
      <c r="M42" s="19" t="str">
        <f>IFERROR(VLOOKUP(LightingAssumptions[[#This Row],[ASHRAE 2007 Space Type]],'Raw Data - Lighting'!$C$4:$E$121,2,FALSE),"")</f>
        <v/>
      </c>
      <c r="N42" s="19" t="str">
        <f>IFERROR(VLOOKUP(LightingAssumptions[[#This Row],[ASHRAE 2007 Space Type]],'Raw Data - Lighting'!$C$4:$E$121,3,FALSE),"")</f>
        <v/>
      </c>
      <c r="O42" s="152"/>
      <c r="P42" s="19" t="str">
        <f>IFERROR(VLOOKUP(LightingAssumptions[[#This Row],[ASHRAE 2010 Space Type]],'Raw Data - Lighting'!$I$4:$K$121,2,FALSE),"")</f>
        <v/>
      </c>
      <c r="Q42" s="36" t="str">
        <f>IFERROR(VLOOKUP(LightingAssumptions[[#This Row],[ASHRAE 2010 Space Type]],'Raw Data - Lighting'!$I$4:$K$121,3,FALSE),"")</f>
        <v/>
      </c>
      <c r="R42" s="152"/>
      <c r="S42" s="19" t="str">
        <f>IFERROR(VLOOKUP(LightingAssumptions[[#This Row],[ASHRAE 2013 Space Type]],'Raw Data - Lighting'!$O$4:$Q$121,2,FALSE),"")</f>
        <v/>
      </c>
      <c r="T42" s="36" t="str">
        <f>IFERROR(VLOOKUP(LightingAssumptions[[#This Row],[ASHRAE 2013 Space Type]],'Raw Data - Lighting'!$O$4:$Q$121,3,FALSE),"")</f>
        <v/>
      </c>
      <c r="U42" s="154"/>
      <c r="V42" s="19" t="str">
        <f>IFERROR(VLOOKUP(LightingAssumptions[[#This Row],[ASHRAE 2016 Space Type]],'Raw Data - Lighting'!$U$4:$W$131,2,FALSE),"")</f>
        <v/>
      </c>
      <c r="W42" s="19" t="str">
        <f>IFERROR(VLOOKUP(LightingAssumptions[[#This Row],[ASHRAE 2016 Space Type]],'Raw Data - Lighting'!$U$4:$W$131,3,FALSE),"")</f>
        <v/>
      </c>
      <c r="X42" s="152"/>
      <c r="Y42" s="19" t="str">
        <f>IFERROR(VLOOKUP(LightingAssumptions[[#This Row],[ASHRAE 2019 Space Type]],'Raw Data - Lighting'!$AA$4:$AC$128,2,FALSE),"")</f>
        <v/>
      </c>
      <c r="Z42" s="36" t="str">
        <f>IFERROR(VLOOKUP(LightingAssumptions[[#This Row],[ASHRAE 2019 Space Type]],'Raw Data - Lighting'!$AA$4:$AC$128,3,FALSE),"")</f>
        <v/>
      </c>
      <c r="AA42"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2" s="95" t="str">
        <f>IFERROR(IF(LightingAssumptions[[#This Row],[Min Code LPD 
'[W/sqft']]]="","",INDEX($E$16:$Z$20,1,MATCH(LightingAssumptions[[#This Row],[Min Code LPD 
'[W/sqft']]],LightingAssumptions[[#This Row],[Primary Function Area]:[RCR Threshold]],0))),"")</f>
        <v/>
      </c>
      <c r="AC42" s="154"/>
      <c r="AD42" s="166" t="str">
        <f>IFERROR(IF(LightingAssumptions[[#This Row],[Design LPD 
'[W/sqft']]]="","",1-LightingAssumptions[[#This Row],[Design LPD 
'[W/sqft']]]/LightingAssumptions[[#This Row],[Min Code LPD 
'[W/sqft']]]),"")</f>
        <v/>
      </c>
      <c r="AE42" s="154"/>
      <c r="AF42" s="462"/>
    </row>
    <row r="43" spans="2:32" x14ac:dyDescent="0.25">
      <c r="B43" s="18">
        <v>24</v>
      </c>
      <c r="C43" s="19" t="str">
        <f>IF('Master Room List'!R39="","",'Master Room List'!R39)</f>
        <v/>
      </c>
      <c r="D43" s="19" t="str">
        <f>IF(LightingAssumptions[[#This Row],[SpaceType]]="","-",VLOOKUP(LightingAssumptions[[#This Row],[SpaceType]],MasterRoomList_SpaceTypeSummary[[#All],[SpaceType]:[Number of Spaces]],2,FALSE))</f>
        <v>-</v>
      </c>
      <c r="E43" s="152"/>
      <c r="F43" s="19" t="str">
        <f>IFERROR(VLOOKUP(E43,'Raw Data - Lighting'!$AG$3:$AH$77,2,FALSE),"")</f>
        <v/>
      </c>
      <c r="G43" s="154" t="s">
        <v>214</v>
      </c>
      <c r="H43" s="19" t="str">
        <f>IFERROR(IF(OR(VLOOKUP($E43,'Raw Data - Lighting'!$AG$3:$AJ$76,3,FALSE)=$G43,VLOOKUP($E43,'Raw Data - Lighting'!$AG$3:$AJ$76,4,FALSE)=$G43),VLOOKUP($G43,'Raw Data - Lighting'!$AL$4:$AM$18,2,FALSE),IF($G43="-","","This Qualified Lighting System does not correspond with the Primary Function Area")),"")</f>
        <v/>
      </c>
      <c r="I43" s="154" t="s">
        <v>214</v>
      </c>
      <c r="J43" s="95" t="str">
        <f>IFERROR(IF(OR(VLOOKUP($E43,'Raw Data - Lighting'!$AG$3:$AJ$76,3,FALSE)=$I43,VLOOKUP($E43,'Raw Data - Lighting'!$AG$3:$AJ$76,4,FALSE)=$I43),VLOOKUP($I43,'Raw Data - Lighting'!$AL$4:$AM$18,2,FALSE),IF($I43="-","","This Qualified Lighting System does not correspond with the Primary Function Area")),"")</f>
        <v/>
      </c>
      <c r="K43" s="36" t="str">
        <f>IF(AND(G43="-",I43="-"),LightingAssumptions[[#This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3" s="19"/>
      <c r="M43" s="19" t="str">
        <f>IFERROR(VLOOKUP(LightingAssumptions[[#This Row],[ASHRAE 2007 Space Type]],'Raw Data - Lighting'!$C$4:$E$121,2,FALSE),"")</f>
        <v/>
      </c>
      <c r="N43" s="19" t="str">
        <f>IFERROR(VLOOKUP(LightingAssumptions[[#This Row],[ASHRAE 2007 Space Type]],'Raw Data - Lighting'!$C$4:$E$121,3,FALSE),"")</f>
        <v/>
      </c>
      <c r="O43" s="152"/>
      <c r="P43" s="19" t="str">
        <f>IFERROR(VLOOKUP(LightingAssumptions[[#This Row],[ASHRAE 2010 Space Type]],'Raw Data - Lighting'!$I$4:$K$121,2,FALSE),"")</f>
        <v/>
      </c>
      <c r="Q43" s="36" t="str">
        <f>IFERROR(VLOOKUP(LightingAssumptions[[#This Row],[ASHRAE 2010 Space Type]],'Raw Data - Lighting'!$I$4:$K$121,3,FALSE),"")</f>
        <v/>
      </c>
      <c r="R43" s="152"/>
      <c r="S43" s="19" t="str">
        <f>IFERROR(VLOOKUP(LightingAssumptions[[#This Row],[ASHRAE 2013 Space Type]],'Raw Data - Lighting'!$O$4:$Q$121,2,FALSE),"")</f>
        <v/>
      </c>
      <c r="T43" s="36" t="str">
        <f>IFERROR(VLOOKUP(LightingAssumptions[[#This Row],[ASHRAE 2013 Space Type]],'Raw Data - Lighting'!$O$4:$Q$121,3,FALSE),"")</f>
        <v/>
      </c>
      <c r="U43" s="154"/>
      <c r="V43" s="19" t="str">
        <f>IFERROR(VLOOKUP(LightingAssumptions[[#This Row],[ASHRAE 2016 Space Type]],'Raw Data - Lighting'!$U$4:$W$131,2,FALSE),"")</f>
        <v/>
      </c>
      <c r="W43" s="19" t="str">
        <f>IFERROR(VLOOKUP(LightingAssumptions[[#This Row],[ASHRAE 2016 Space Type]],'Raw Data - Lighting'!$U$4:$W$131,3,FALSE),"")</f>
        <v/>
      </c>
      <c r="X43" s="152"/>
      <c r="Y43" s="19" t="str">
        <f>IFERROR(VLOOKUP(LightingAssumptions[[#This Row],[ASHRAE 2019 Space Type]],'Raw Data - Lighting'!$AA$4:$AC$128,2,FALSE),"")</f>
        <v/>
      </c>
      <c r="Z43" s="36" t="str">
        <f>IFERROR(VLOOKUP(LightingAssumptions[[#This Row],[ASHRAE 2019 Space Type]],'Raw Data - Lighting'!$AA$4:$AC$128,3,FALSE),"")</f>
        <v/>
      </c>
      <c r="AA43"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3" s="95" t="str">
        <f>IFERROR(IF(LightingAssumptions[[#This Row],[Min Code LPD 
'[W/sqft']]]="","",INDEX($E$16:$Z$20,1,MATCH(LightingAssumptions[[#This Row],[Min Code LPD 
'[W/sqft']]],LightingAssumptions[[#This Row],[Primary Function Area]:[RCR Threshold]],0))),"")</f>
        <v/>
      </c>
      <c r="AC43" s="154"/>
      <c r="AD43" s="166" t="str">
        <f>IFERROR(IF(LightingAssumptions[[#This Row],[Design LPD 
'[W/sqft']]]="","",1-LightingAssumptions[[#This Row],[Design LPD 
'[W/sqft']]]/LightingAssumptions[[#This Row],[Min Code LPD 
'[W/sqft']]]),"")</f>
        <v/>
      </c>
      <c r="AE43" s="154"/>
      <c r="AF43" s="462"/>
    </row>
    <row r="44" spans="2:32" x14ac:dyDescent="0.25">
      <c r="B44" s="18">
        <v>25</v>
      </c>
      <c r="C44" s="19" t="str">
        <f>IF('Master Room List'!R40="","",'Master Room List'!R40)</f>
        <v/>
      </c>
      <c r="D44" s="19" t="str">
        <f>IF(LightingAssumptions[[#This Row],[SpaceType]]="","-",VLOOKUP(LightingAssumptions[[#This Row],[SpaceType]],MasterRoomList_SpaceTypeSummary[[#All],[SpaceType]:[Number of Spaces]],2,FALSE))</f>
        <v>-</v>
      </c>
      <c r="E44" s="152"/>
      <c r="F44" s="19" t="str">
        <f>IFERROR(VLOOKUP(E44,'Raw Data - Lighting'!$AG$3:$AH$77,2,FALSE),"")</f>
        <v/>
      </c>
      <c r="G44" s="154" t="s">
        <v>214</v>
      </c>
      <c r="H44" s="19" t="str">
        <f>IFERROR(IF(OR(VLOOKUP($E44,'Raw Data - Lighting'!$AG$3:$AJ$76,3,FALSE)=$G44,VLOOKUP($E44,'Raw Data - Lighting'!$AG$3:$AJ$76,4,FALSE)=$G44),VLOOKUP($G44,'Raw Data - Lighting'!$AL$4:$AM$18,2,FALSE),IF($G44="-","","This Qualified Lighting System does not correspond with the Primary Function Area")),"")</f>
        <v/>
      </c>
      <c r="I44" s="154" t="s">
        <v>214</v>
      </c>
      <c r="J44" s="95" t="str">
        <f>IFERROR(IF(OR(VLOOKUP($E44,'Raw Data - Lighting'!$AG$3:$AJ$76,3,FALSE)=$I44,VLOOKUP($E44,'Raw Data - Lighting'!$AG$3:$AJ$76,4,FALSE)=$I44),VLOOKUP($I44,'Raw Data - Lighting'!$AL$4:$AM$18,2,FALSE),IF($I44="-","","This Qualified Lighting System does not correspond with the Primary Function Area")),"")</f>
        <v/>
      </c>
      <c r="K44" s="36" t="str">
        <f>IF(AND(G44="-",I44="-"),LightingAssumptions[[#This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4" s="19"/>
      <c r="M44" s="19" t="str">
        <f>IFERROR(VLOOKUP(LightingAssumptions[[#This Row],[ASHRAE 2007 Space Type]],'Raw Data - Lighting'!$C$4:$E$121,2,FALSE),"")</f>
        <v/>
      </c>
      <c r="N44" s="19" t="str">
        <f>IFERROR(VLOOKUP(LightingAssumptions[[#This Row],[ASHRAE 2007 Space Type]],'Raw Data - Lighting'!$C$4:$E$121,3,FALSE),"")</f>
        <v/>
      </c>
      <c r="O44" s="152"/>
      <c r="P44" s="19" t="str">
        <f>IFERROR(VLOOKUP(LightingAssumptions[[#This Row],[ASHRAE 2010 Space Type]],'Raw Data - Lighting'!$I$4:$K$121,2,FALSE),"")</f>
        <v/>
      </c>
      <c r="Q44" s="36" t="str">
        <f>IFERROR(VLOOKUP(LightingAssumptions[[#This Row],[ASHRAE 2010 Space Type]],'Raw Data - Lighting'!$I$4:$K$121,3,FALSE),"")</f>
        <v/>
      </c>
      <c r="R44" s="152"/>
      <c r="S44" s="19" t="str">
        <f>IFERROR(VLOOKUP(LightingAssumptions[[#This Row],[ASHRAE 2013 Space Type]],'Raw Data - Lighting'!$O$4:$Q$121,2,FALSE),"")</f>
        <v/>
      </c>
      <c r="T44" s="36" t="str">
        <f>IFERROR(VLOOKUP(LightingAssumptions[[#This Row],[ASHRAE 2013 Space Type]],'Raw Data - Lighting'!$O$4:$Q$121,3,FALSE),"")</f>
        <v/>
      </c>
      <c r="U44" s="154"/>
      <c r="V44" s="19" t="str">
        <f>IFERROR(VLOOKUP(LightingAssumptions[[#This Row],[ASHRAE 2016 Space Type]],'Raw Data - Lighting'!$U$4:$W$131,2,FALSE),"")</f>
        <v/>
      </c>
      <c r="W44" s="19" t="str">
        <f>IFERROR(VLOOKUP(LightingAssumptions[[#This Row],[ASHRAE 2016 Space Type]],'Raw Data - Lighting'!$U$4:$W$131,3,FALSE),"")</f>
        <v/>
      </c>
      <c r="X44" s="152"/>
      <c r="Y44" s="19" t="str">
        <f>IFERROR(VLOOKUP(LightingAssumptions[[#This Row],[ASHRAE 2019 Space Type]],'Raw Data - Lighting'!$AA$4:$AC$128,2,FALSE),"")</f>
        <v/>
      </c>
      <c r="Z44" s="36" t="str">
        <f>IFERROR(VLOOKUP(LightingAssumptions[[#This Row],[ASHRAE 2019 Space Type]],'Raw Data - Lighting'!$AA$4:$AC$128,3,FALSE),"")</f>
        <v/>
      </c>
      <c r="AA44"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4" s="95" t="str">
        <f>IFERROR(IF(LightingAssumptions[[#This Row],[Min Code LPD 
'[W/sqft']]]="","",INDEX($E$16:$Z$20,1,MATCH(LightingAssumptions[[#This Row],[Min Code LPD 
'[W/sqft']]],LightingAssumptions[[#This Row],[Primary Function Area]:[RCR Threshold]],0))),"")</f>
        <v/>
      </c>
      <c r="AC44" s="154"/>
      <c r="AD44" s="166" t="str">
        <f>IFERROR(IF(LightingAssumptions[[#This Row],[Design LPD 
'[W/sqft']]]="","",1-LightingAssumptions[[#This Row],[Design LPD 
'[W/sqft']]]/LightingAssumptions[[#This Row],[Min Code LPD 
'[W/sqft']]]),"")</f>
        <v/>
      </c>
      <c r="AE44" s="154"/>
      <c r="AF44" s="462"/>
    </row>
    <row r="45" spans="2:32" x14ac:dyDescent="0.25">
      <c r="B45" s="18">
        <v>26</v>
      </c>
      <c r="C45" s="19" t="str">
        <f>IF('Master Room List'!R41="","",'Master Room List'!R41)</f>
        <v/>
      </c>
      <c r="D45" s="19" t="str">
        <f>IF(LightingAssumptions[[#This Row],[SpaceType]]="","-",VLOOKUP(LightingAssumptions[[#This Row],[SpaceType]],MasterRoomList_SpaceTypeSummary[[#All],[SpaceType]:[Number of Spaces]],2,FALSE))</f>
        <v>-</v>
      </c>
      <c r="E45" s="152"/>
      <c r="F45" s="19" t="str">
        <f>IFERROR(VLOOKUP(E45,'Raw Data - Lighting'!$AG$3:$AH$77,2,FALSE),"")</f>
        <v/>
      </c>
      <c r="G45" s="154" t="s">
        <v>214</v>
      </c>
      <c r="H45" s="19" t="str">
        <f>IFERROR(IF(OR(VLOOKUP($E45,'Raw Data - Lighting'!$AG$3:$AJ$76,3,FALSE)=$G45,VLOOKUP($E45,'Raw Data - Lighting'!$AG$3:$AJ$76,4,FALSE)=$G45),VLOOKUP($G45,'Raw Data - Lighting'!$AL$4:$AM$18,2,FALSE),IF($G45="-","","This Qualified Lighting System does not correspond with the Primary Function Area")),"")</f>
        <v/>
      </c>
      <c r="I45" s="154" t="s">
        <v>214</v>
      </c>
      <c r="J45" s="95" t="str">
        <f>IFERROR(IF(OR(VLOOKUP($E45,'Raw Data - Lighting'!$AG$3:$AJ$76,3,FALSE)=$I45,VLOOKUP($E45,'Raw Data - Lighting'!$AG$3:$AJ$76,4,FALSE)=$I45),VLOOKUP($I45,'Raw Data - Lighting'!$AL$4:$AM$18,2,FALSE),IF($I45="-","","This Qualified Lighting System does not correspond with the Primary Function Area")),"")</f>
        <v/>
      </c>
      <c r="K45" s="36" t="str">
        <f>IF(AND(G45="-",I45="-"),LightingAssumptions[[#This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5" s="19"/>
      <c r="M45" s="19" t="str">
        <f>IFERROR(VLOOKUP(LightingAssumptions[[#This Row],[ASHRAE 2007 Space Type]],'Raw Data - Lighting'!$C$4:$E$121,2,FALSE),"")</f>
        <v/>
      </c>
      <c r="N45" s="19" t="str">
        <f>IFERROR(VLOOKUP(LightingAssumptions[[#This Row],[ASHRAE 2007 Space Type]],'Raw Data - Lighting'!$C$4:$E$121,3,FALSE),"")</f>
        <v/>
      </c>
      <c r="O45" s="152"/>
      <c r="P45" s="19" t="str">
        <f>IFERROR(VLOOKUP(LightingAssumptions[[#This Row],[ASHRAE 2010 Space Type]],'Raw Data - Lighting'!$I$4:$K$121,2,FALSE),"")</f>
        <v/>
      </c>
      <c r="Q45" s="36" t="str">
        <f>IFERROR(VLOOKUP(LightingAssumptions[[#This Row],[ASHRAE 2010 Space Type]],'Raw Data - Lighting'!$I$4:$K$121,3,FALSE),"")</f>
        <v/>
      </c>
      <c r="R45" s="152"/>
      <c r="S45" s="19" t="str">
        <f>IFERROR(VLOOKUP(LightingAssumptions[[#This Row],[ASHRAE 2013 Space Type]],'Raw Data - Lighting'!$O$4:$Q$121,2,FALSE),"")</f>
        <v/>
      </c>
      <c r="T45" s="36" t="str">
        <f>IFERROR(VLOOKUP(LightingAssumptions[[#This Row],[ASHRAE 2013 Space Type]],'Raw Data - Lighting'!$O$4:$Q$121,3,FALSE),"")</f>
        <v/>
      </c>
      <c r="U45" s="154"/>
      <c r="V45" s="19" t="str">
        <f>IFERROR(VLOOKUP(LightingAssumptions[[#This Row],[ASHRAE 2016 Space Type]],'Raw Data - Lighting'!$U$4:$W$131,2,FALSE),"")</f>
        <v/>
      </c>
      <c r="W45" s="19" t="str">
        <f>IFERROR(VLOOKUP(LightingAssumptions[[#This Row],[ASHRAE 2016 Space Type]],'Raw Data - Lighting'!$U$4:$W$131,3,FALSE),"")</f>
        <v/>
      </c>
      <c r="X45" s="152"/>
      <c r="Y45" s="19" t="str">
        <f>IFERROR(VLOOKUP(LightingAssumptions[[#This Row],[ASHRAE 2019 Space Type]],'Raw Data - Lighting'!$AA$4:$AC$128,2,FALSE),"")</f>
        <v/>
      </c>
      <c r="Z45" s="36" t="str">
        <f>IFERROR(VLOOKUP(LightingAssumptions[[#This Row],[ASHRAE 2019 Space Type]],'Raw Data - Lighting'!$AA$4:$AC$128,3,FALSE),"")</f>
        <v/>
      </c>
      <c r="AA45"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5" s="95" t="str">
        <f>IFERROR(IF(LightingAssumptions[[#This Row],[Min Code LPD 
'[W/sqft']]]="","",INDEX($E$16:$Z$20,1,MATCH(LightingAssumptions[[#This Row],[Min Code LPD 
'[W/sqft']]],LightingAssumptions[[#This Row],[Primary Function Area]:[RCR Threshold]],0))),"")</f>
        <v/>
      </c>
      <c r="AC45" s="154"/>
      <c r="AD45" s="166" t="str">
        <f>IFERROR(IF(LightingAssumptions[[#This Row],[Design LPD 
'[W/sqft']]]="","",1-LightingAssumptions[[#This Row],[Design LPD 
'[W/sqft']]]/LightingAssumptions[[#This Row],[Min Code LPD 
'[W/sqft']]]),"")</f>
        <v/>
      </c>
      <c r="AE45" s="154"/>
      <c r="AF45" s="462"/>
    </row>
    <row r="46" spans="2:32" x14ac:dyDescent="0.25">
      <c r="B46" s="18">
        <v>27</v>
      </c>
      <c r="C46" s="19" t="str">
        <f>IF('Master Room List'!R42="","",'Master Room List'!R42)</f>
        <v/>
      </c>
      <c r="D46" s="19" t="str">
        <f>IF(LightingAssumptions[[#This Row],[SpaceType]]="","-",VLOOKUP(LightingAssumptions[[#This Row],[SpaceType]],MasterRoomList_SpaceTypeSummary[[#All],[SpaceType]:[Number of Spaces]],2,FALSE))</f>
        <v>-</v>
      </c>
      <c r="E46" s="152"/>
      <c r="F46" s="19" t="str">
        <f>IFERROR(VLOOKUP(E46,'Raw Data - Lighting'!$AG$3:$AH$77,2,FALSE),"")</f>
        <v/>
      </c>
      <c r="G46" s="154" t="s">
        <v>214</v>
      </c>
      <c r="H46" s="19" t="str">
        <f>IFERROR(IF(OR(VLOOKUP($E46,'Raw Data - Lighting'!$AG$3:$AJ$76,3,FALSE)=$G46,VLOOKUP($E46,'Raw Data - Lighting'!$AG$3:$AJ$76,4,FALSE)=$G46),VLOOKUP($G46,'Raw Data - Lighting'!$AL$4:$AM$18,2,FALSE),IF($G46="-","","This Qualified Lighting System does not correspond with the Primary Function Area")),"")</f>
        <v/>
      </c>
      <c r="I46" s="154" t="s">
        <v>214</v>
      </c>
      <c r="J46" s="95" t="str">
        <f>IFERROR(IF(OR(VLOOKUP($E46,'Raw Data - Lighting'!$AG$3:$AJ$76,3,FALSE)=$I46,VLOOKUP($E46,'Raw Data - Lighting'!$AG$3:$AJ$76,4,FALSE)=$I46),VLOOKUP($I46,'Raw Data - Lighting'!$AL$4:$AM$18,2,FALSE),IF($I46="-","","This Qualified Lighting System does not correspond with the Primary Function Area")),"")</f>
        <v/>
      </c>
      <c r="K46" s="36" t="str">
        <f>IF(AND(G46="-",I46="-"),LightingAssumptions[[#This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6" s="19"/>
      <c r="M46" s="19" t="str">
        <f>IFERROR(VLOOKUP(LightingAssumptions[[#This Row],[ASHRAE 2007 Space Type]],'Raw Data - Lighting'!$C$4:$E$121,2,FALSE),"")</f>
        <v/>
      </c>
      <c r="N46" s="19" t="str">
        <f>IFERROR(VLOOKUP(LightingAssumptions[[#This Row],[ASHRAE 2007 Space Type]],'Raw Data - Lighting'!$C$4:$E$121,3,FALSE),"")</f>
        <v/>
      </c>
      <c r="O46" s="152"/>
      <c r="P46" s="19" t="str">
        <f>IFERROR(VLOOKUP(LightingAssumptions[[#This Row],[ASHRAE 2010 Space Type]],'Raw Data - Lighting'!$I$4:$K$121,2,FALSE),"")</f>
        <v/>
      </c>
      <c r="Q46" s="36" t="str">
        <f>IFERROR(VLOOKUP(LightingAssumptions[[#This Row],[ASHRAE 2010 Space Type]],'Raw Data - Lighting'!$I$4:$K$121,3,FALSE),"")</f>
        <v/>
      </c>
      <c r="R46" s="152"/>
      <c r="S46" s="19" t="str">
        <f>IFERROR(VLOOKUP(LightingAssumptions[[#This Row],[ASHRAE 2013 Space Type]],'Raw Data - Lighting'!$O$4:$Q$121,2,FALSE),"")</f>
        <v/>
      </c>
      <c r="T46" s="36" t="str">
        <f>IFERROR(VLOOKUP(LightingAssumptions[[#This Row],[ASHRAE 2013 Space Type]],'Raw Data - Lighting'!$O$4:$Q$121,3,FALSE),"")</f>
        <v/>
      </c>
      <c r="U46" s="154"/>
      <c r="V46" s="19" t="str">
        <f>IFERROR(VLOOKUP(LightingAssumptions[[#This Row],[ASHRAE 2016 Space Type]],'Raw Data - Lighting'!$U$4:$W$131,2,FALSE),"")</f>
        <v/>
      </c>
      <c r="W46" s="19" t="str">
        <f>IFERROR(VLOOKUP(LightingAssumptions[[#This Row],[ASHRAE 2016 Space Type]],'Raw Data - Lighting'!$U$4:$W$131,3,FALSE),"")</f>
        <v/>
      </c>
      <c r="X46" s="152"/>
      <c r="Y46" s="19" t="str">
        <f>IFERROR(VLOOKUP(LightingAssumptions[[#This Row],[ASHRAE 2019 Space Type]],'Raw Data - Lighting'!$AA$4:$AC$128,2,FALSE),"")</f>
        <v/>
      </c>
      <c r="Z46" s="36" t="str">
        <f>IFERROR(VLOOKUP(LightingAssumptions[[#This Row],[ASHRAE 2019 Space Type]],'Raw Data - Lighting'!$AA$4:$AC$128,3,FALSE),"")</f>
        <v/>
      </c>
      <c r="AA46"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6" s="95" t="str">
        <f>IFERROR(IF(LightingAssumptions[[#This Row],[Min Code LPD 
'[W/sqft']]]="","",INDEX($E$16:$Z$20,1,MATCH(LightingAssumptions[[#This Row],[Min Code LPD 
'[W/sqft']]],LightingAssumptions[[#This Row],[Primary Function Area]:[RCR Threshold]],0))),"")</f>
        <v/>
      </c>
      <c r="AC46" s="154"/>
      <c r="AD46" s="166" t="str">
        <f>IFERROR(IF(LightingAssumptions[[#This Row],[Design LPD 
'[W/sqft']]]="","",1-LightingAssumptions[[#This Row],[Design LPD 
'[W/sqft']]]/LightingAssumptions[[#This Row],[Min Code LPD 
'[W/sqft']]]),"")</f>
        <v/>
      </c>
      <c r="AE46" s="154"/>
      <c r="AF46" s="462"/>
    </row>
    <row r="47" spans="2:32" x14ac:dyDescent="0.25">
      <c r="B47" s="18">
        <v>28</v>
      </c>
      <c r="C47" s="19" t="str">
        <f>IF('Master Room List'!R43="","",'Master Room List'!R43)</f>
        <v/>
      </c>
      <c r="D47" s="19" t="str">
        <f>IF(LightingAssumptions[[#This Row],[SpaceType]]="","-",VLOOKUP(LightingAssumptions[[#This Row],[SpaceType]],MasterRoomList_SpaceTypeSummary[[#All],[SpaceType]:[Number of Spaces]],2,FALSE))</f>
        <v>-</v>
      </c>
      <c r="E47" s="152"/>
      <c r="F47" s="19" t="str">
        <f>IFERROR(VLOOKUP(E47,'Raw Data - Lighting'!$AG$3:$AH$77,2,FALSE),"")</f>
        <v/>
      </c>
      <c r="G47" s="154" t="s">
        <v>214</v>
      </c>
      <c r="H47" s="19" t="str">
        <f>IFERROR(IF(OR(VLOOKUP($E47,'Raw Data - Lighting'!$AG$3:$AJ$76,3,FALSE)=$G47,VLOOKUP($E47,'Raw Data - Lighting'!$AG$3:$AJ$76,4,FALSE)=$G47),VLOOKUP($G47,'Raw Data - Lighting'!$AL$4:$AM$18,2,FALSE),IF($G47="-","","This Qualified Lighting System does not correspond with the Primary Function Area")),"")</f>
        <v/>
      </c>
      <c r="I47" s="154" t="s">
        <v>214</v>
      </c>
      <c r="J47" s="95" t="str">
        <f>IFERROR(IF(OR(VLOOKUP($E47,'Raw Data - Lighting'!$AG$3:$AJ$76,3,FALSE)=$I47,VLOOKUP($E47,'Raw Data - Lighting'!$AG$3:$AJ$76,4,FALSE)=$I47),VLOOKUP($I47,'Raw Data - Lighting'!$AL$4:$AM$18,2,FALSE),IF($I47="-","","This Qualified Lighting System does not correspond with the Primary Function Area")),"")</f>
        <v/>
      </c>
      <c r="K47" s="36" t="str">
        <f>IF(AND(G47="-",I47="-"),LightingAssumptions[[#This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7" s="19"/>
      <c r="M47" s="19" t="str">
        <f>IFERROR(VLOOKUP(LightingAssumptions[[#This Row],[ASHRAE 2007 Space Type]],'Raw Data - Lighting'!$C$4:$E$121,2,FALSE),"")</f>
        <v/>
      </c>
      <c r="N47" s="19" t="str">
        <f>IFERROR(VLOOKUP(LightingAssumptions[[#This Row],[ASHRAE 2007 Space Type]],'Raw Data - Lighting'!$C$4:$E$121,3,FALSE),"")</f>
        <v/>
      </c>
      <c r="O47" s="152"/>
      <c r="P47" s="19" t="str">
        <f>IFERROR(VLOOKUP(LightingAssumptions[[#This Row],[ASHRAE 2010 Space Type]],'Raw Data - Lighting'!$I$4:$K$121,2,FALSE),"")</f>
        <v/>
      </c>
      <c r="Q47" s="36" t="str">
        <f>IFERROR(VLOOKUP(LightingAssumptions[[#This Row],[ASHRAE 2010 Space Type]],'Raw Data - Lighting'!$I$4:$K$121,3,FALSE),"")</f>
        <v/>
      </c>
      <c r="R47" s="152"/>
      <c r="S47" s="19" t="str">
        <f>IFERROR(VLOOKUP(LightingAssumptions[[#This Row],[ASHRAE 2013 Space Type]],'Raw Data - Lighting'!$O$4:$Q$121,2,FALSE),"")</f>
        <v/>
      </c>
      <c r="T47" s="36" t="str">
        <f>IFERROR(VLOOKUP(LightingAssumptions[[#This Row],[ASHRAE 2013 Space Type]],'Raw Data - Lighting'!$O$4:$Q$121,3,FALSE),"")</f>
        <v/>
      </c>
      <c r="U47" s="154"/>
      <c r="V47" s="19" t="str">
        <f>IFERROR(VLOOKUP(LightingAssumptions[[#This Row],[ASHRAE 2016 Space Type]],'Raw Data - Lighting'!$U$4:$W$131,2,FALSE),"")</f>
        <v/>
      </c>
      <c r="W47" s="19" t="str">
        <f>IFERROR(VLOOKUP(LightingAssumptions[[#This Row],[ASHRAE 2016 Space Type]],'Raw Data - Lighting'!$U$4:$W$131,3,FALSE),"")</f>
        <v/>
      </c>
      <c r="X47" s="152"/>
      <c r="Y47" s="19" t="str">
        <f>IFERROR(VLOOKUP(LightingAssumptions[[#This Row],[ASHRAE 2019 Space Type]],'Raw Data - Lighting'!$AA$4:$AC$128,2,FALSE),"")</f>
        <v/>
      </c>
      <c r="Z47" s="36" t="str">
        <f>IFERROR(VLOOKUP(LightingAssumptions[[#This Row],[ASHRAE 2019 Space Type]],'Raw Data - Lighting'!$AA$4:$AC$128,3,FALSE),"")</f>
        <v/>
      </c>
      <c r="AA47"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7" s="95" t="str">
        <f>IFERROR(IF(LightingAssumptions[[#This Row],[Min Code LPD 
'[W/sqft']]]="","",INDEX($E$16:$Z$20,1,MATCH(LightingAssumptions[[#This Row],[Min Code LPD 
'[W/sqft']]],LightingAssumptions[[#This Row],[Primary Function Area]:[RCR Threshold]],0))),"")</f>
        <v/>
      </c>
      <c r="AC47" s="154"/>
      <c r="AD47" s="166" t="str">
        <f>IFERROR(IF(LightingAssumptions[[#This Row],[Design LPD 
'[W/sqft']]]="","",1-LightingAssumptions[[#This Row],[Design LPD 
'[W/sqft']]]/LightingAssumptions[[#This Row],[Min Code LPD 
'[W/sqft']]]),"")</f>
        <v/>
      </c>
      <c r="AE47" s="154"/>
      <c r="AF47" s="462"/>
    </row>
    <row r="48" spans="2:32" x14ac:dyDescent="0.25">
      <c r="B48" s="18">
        <v>29</v>
      </c>
      <c r="C48" s="19" t="str">
        <f>IF('Master Room List'!R44="","",'Master Room List'!R44)</f>
        <v/>
      </c>
      <c r="D48" s="19" t="str">
        <f>IF(LightingAssumptions[[#This Row],[SpaceType]]="","-",VLOOKUP(LightingAssumptions[[#This Row],[SpaceType]],MasterRoomList_SpaceTypeSummary[[#All],[SpaceType]:[Number of Spaces]],2,FALSE))</f>
        <v>-</v>
      </c>
      <c r="E48" s="152"/>
      <c r="F48" s="19" t="str">
        <f>IFERROR(VLOOKUP(E48,'Raw Data - Lighting'!$AG$3:$AH$77,2,FALSE),"")</f>
        <v/>
      </c>
      <c r="G48" s="154" t="s">
        <v>214</v>
      </c>
      <c r="H48" s="19" t="str">
        <f>IFERROR(IF(OR(VLOOKUP($E48,'Raw Data - Lighting'!$AG$3:$AJ$76,3,FALSE)=$G48,VLOOKUP($E48,'Raw Data - Lighting'!$AG$3:$AJ$76,4,FALSE)=$G48),VLOOKUP($G48,'Raw Data - Lighting'!$AL$4:$AM$18,2,FALSE),IF($G48="-","","This Qualified Lighting System does not correspond with the Primary Function Area")),"")</f>
        <v/>
      </c>
      <c r="I48" s="154" t="s">
        <v>214</v>
      </c>
      <c r="J48" s="95" t="str">
        <f>IFERROR(IF(OR(VLOOKUP($E48,'Raw Data - Lighting'!$AG$3:$AJ$76,3,FALSE)=$I48,VLOOKUP($E48,'Raw Data - Lighting'!$AG$3:$AJ$76,4,FALSE)=$I48),VLOOKUP($I48,'Raw Data - Lighting'!$AL$4:$AM$18,2,FALSE),IF($I48="-","","This Qualified Lighting System does not correspond with the Primary Function Area")),"")</f>
        <v/>
      </c>
      <c r="K48" s="36" t="str">
        <f>IF(AND(G48="-",I48="-"),LightingAssumptions[[#This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8" s="19"/>
      <c r="M48" s="19" t="str">
        <f>IFERROR(VLOOKUP(LightingAssumptions[[#This Row],[ASHRAE 2007 Space Type]],'Raw Data - Lighting'!$C$4:$E$121,2,FALSE),"")</f>
        <v/>
      </c>
      <c r="N48" s="19" t="str">
        <f>IFERROR(VLOOKUP(LightingAssumptions[[#This Row],[ASHRAE 2007 Space Type]],'Raw Data - Lighting'!$C$4:$E$121,3,FALSE),"")</f>
        <v/>
      </c>
      <c r="O48" s="152"/>
      <c r="P48" s="19" t="str">
        <f>IFERROR(VLOOKUP(LightingAssumptions[[#This Row],[ASHRAE 2010 Space Type]],'Raw Data - Lighting'!$I$4:$K$121,2,FALSE),"")</f>
        <v/>
      </c>
      <c r="Q48" s="36" t="str">
        <f>IFERROR(VLOOKUP(LightingAssumptions[[#This Row],[ASHRAE 2010 Space Type]],'Raw Data - Lighting'!$I$4:$K$121,3,FALSE),"")</f>
        <v/>
      </c>
      <c r="R48" s="152"/>
      <c r="S48" s="19" t="str">
        <f>IFERROR(VLOOKUP(LightingAssumptions[[#This Row],[ASHRAE 2013 Space Type]],'Raw Data - Lighting'!$O$4:$Q$121,2,FALSE),"")</f>
        <v/>
      </c>
      <c r="T48" s="36" t="str">
        <f>IFERROR(VLOOKUP(LightingAssumptions[[#This Row],[ASHRAE 2013 Space Type]],'Raw Data - Lighting'!$O$4:$Q$121,3,FALSE),"")</f>
        <v/>
      </c>
      <c r="U48" s="154"/>
      <c r="V48" s="19" t="str">
        <f>IFERROR(VLOOKUP(LightingAssumptions[[#This Row],[ASHRAE 2016 Space Type]],'Raw Data - Lighting'!$U$4:$W$131,2,FALSE),"")</f>
        <v/>
      </c>
      <c r="W48" s="19" t="str">
        <f>IFERROR(VLOOKUP(LightingAssumptions[[#This Row],[ASHRAE 2016 Space Type]],'Raw Data - Lighting'!$U$4:$W$131,3,FALSE),"")</f>
        <v/>
      </c>
      <c r="X48" s="152"/>
      <c r="Y48" s="19" t="str">
        <f>IFERROR(VLOOKUP(LightingAssumptions[[#This Row],[ASHRAE 2019 Space Type]],'Raw Data - Lighting'!$AA$4:$AC$128,2,FALSE),"")</f>
        <v/>
      </c>
      <c r="Z48" s="36" t="str">
        <f>IFERROR(VLOOKUP(LightingAssumptions[[#This Row],[ASHRAE 2019 Space Type]],'Raw Data - Lighting'!$AA$4:$AC$128,3,FALSE),"")</f>
        <v/>
      </c>
      <c r="AA48"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8" s="95" t="str">
        <f>IFERROR(IF(LightingAssumptions[[#This Row],[Min Code LPD 
'[W/sqft']]]="","",INDEX($E$16:$Z$20,1,MATCH(LightingAssumptions[[#This Row],[Min Code LPD 
'[W/sqft']]],LightingAssumptions[[#This Row],[Primary Function Area]:[RCR Threshold]],0))),"")</f>
        <v/>
      </c>
      <c r="AC48" s="154"/>
      <c r="AD48" s="166" t="str">
        <f>IFERROR(IF(LightingAssumptions[[#This Row],[Design LPD 
'[W/sqft']]]="","",1-LightingAssumptions[[#This Row],[Design LPD 
'[W/sqft']]]/LightingAssumptions[[#This Row],[Min Code LPD 
'[W/sqft']]]),"")</f>
        <v/>
      </c>
      <c r="AE48" s="154"/>
      <c r="AF48" s="462"/>
    </row>
    <row r="49" spans="2:32" x14ac:dyDescent="0.25">
      <c r="B49" s="18">
        <v>30</v>
      </c>
      <c r="C49" s="19" t="str">
        <f>IF('Master Room List'!R45="","",'Master Room List'!R45)</f>
        <v/>
      </c>
      <c r="D49" s="19" t="str">
        <f>IF(LightingAssumptions[[#This Row],[SpaceType]]="","-",VLOOKUP(LightingAssumptions[[#This Row],[SpaceType]],MasterRoomList_SpaceTypeSummary[[#All],[SpaceType]:[Number of Spaces]],2,FALSE))</f>
        <v>-</v>
      </c>
      <c r="E49" s="152"/>
      <c r="F49" s="19" t="str">
        <f>IFERROR(VLOOKUP(E49,'Raw Data - Lighting'!$AG$3:$AH$77,2,FALSE),"")</f>
        <v/>
      </c>
      <c r="G49" s="154" t="s">
        <v>214</v>
      </c>
      <c r="H49" s="19" t="str">
        <f>IFERROR(IF(OR(VLOOKUP($E49,'Raw Data - Lighting'!$AG$3:$AJ$76,3,FALSE)=$G49,VLOOKUP($E49,'Raw Data - Lighting'!$AG$3:$AJ$76,4,FALSE)=$G49),VLOOKUP($G49,'Raw Data - Lighting'!$AL$4:$AM$18,2,FALSE),IF($G49="-","","This Qualified Lighting System does not correspond with the Primary Function Area")),"")</f>
        <v/>
      </c>
      <c r="I49" s="154" t="s">
        <v>214</v>
      </c>
      <c r="J49" s="95" t="str">
        <f>IFERROR(IF(OR(VLOOKUP($E49,'Raw Data - Lighting'!$AG$3:$AJ$76,3,FALSE)=$I49,VLOOKUP($E49,'Raw Data - Lighting'!$AG$3:$AJ$76,4,FALSE)=$I49),VLOOKUP($I49,'Raw Data - Lighting'!$AL$4:$AM$18,2,FALSE),IF($I49="-","","This Qualified Lighting System does not correspond with the Primary Function Area")),"")</f>
        <v/>
      </c>
      <c r="K49" s="36" t="str">
        <f>IF(AND(G49="-",I49="-"),LightingAssumptions[[#This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9" s="19"/>
      <c r="M49" s="19" t="str">
        <f>IFERROR(VLOOKUP(LightingAssumptions[[#This Row],[ASHRAE 2007 Space Type]],'Raw Data - Lighting'!$C$4:$E$121,2,FALSE),"")</f>
        <v/>
      </c>
      <c r="N49" s="19" t="str">
        <f>IFERROR(VLOOKUP(LightingAssumptions[[#This Row],[ASHRAE 2007 Space Type]],'Raw Data - Lighting'!$C$4:$E$121,3,FALSE),"")</f>
        <v/>
      </c>
      <c r="O49" s="152"/>
      <c r="P49" s="19" t="str">
        <f>IFERROR(VLOOKUP(LightingAssumptions[[#This Row],[ASHRAE 2010 Space Type]],'Raw Data - Lighting'!$I$4:$K$121,2,FALSE),"")</f>
        <v/>
      </c>
      <c r="Q49" s="36" t="str">
        <f>IFERROR(VLOOKUP(LightingAssumptions[[#This Row],[ASHRAE 2010 Space Type]],'Raw Data - Lighting'!$I$4:$K$121,3,FALSE),"")</f>
        <v/>
      </c>
      <c r="R49" s="152"/>
      <c r="S49" s="19" t="str">
        <f>IFERROR(VLOOKUP(LightingAssumptions[[#This Row],[ASHRAE 2013 Space Type]],'Raw Data - Lighting'!$O$4:$Q$121,2,FALSE),"")</f>
        <v/>
      </c>
      <c r="T49" s="36" t="str">
        <f>IFERROR(VLOOKUP(LightingAssumptions[[#This Row],[ASHRAE 2013 Space Type]],'Raw Data - Lighting'!$O$4:$Q$121,3,FALSE),"")</f>
        <v/>
      </c>
      <c r="U49" s="154"/>
      <c r="V49" s="19" t="str">
        <f>IFERROR(VLOOKUP(LightingAssumptions[[#This Row],[ASHRAE 2016 Space Type]],'Raw Data - Lighting'!$U$4:$W$131,2,FALSE),"")</f>
        <v/>
      </c>
      <c r="W49" s="19" t="str">
        <f>IFERROR(VLOOKUP(LightingAssumptions[[#This Row],[ASHRAE 2016 Space Type]],'Raw Data - Lighting'!$U$4:$W$131,3,FALSE),"")</f>
        <v/>
      </c>
      <c r="X49" s="152"/>
      <c r="Y49" s="19" t="str">
        <f>IFERROR(VLOOKUP(LightingAssumptions[[#This Row],[ASHRAE 2019 Space Type]],'Raw Data - Lighting'!$AA$4:$AC$128,2,FALSE),"")</f>
        <v/>
      </c>
      <c r="Z49" s="36" t="str">
        <f>IFERROR(VLOOKUP(LightingAssumptions[[#This Row],[ASHRAE 2019 Space Type]],'Raw Data - Lighting'!$AA$4:$AC$128,3,FALSE),"")</f>
        <v/>
      </c>
      <c r="AA49"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9" s="95" t="str">
        <f>IFERROR(IF(LightingAssumptions[[#This Row],[Min Code LPD 
'[W/sqft']]]="","",INDEX($E$16:$Z$20,1,MATCH(LightingAssumptions[[#This Row],[Min Code LPD 
'[W/sqft']]],LightingAssumptions[[#This Row],[Primary Function Area]:[RCR Threshold]],0))),"")</f>
        <v/>
      </c>
      <c r="AC49" s="154"/>
      <c r="AD49" s="166" t="str">
        <f>IFERROR(IF(LightingAssumptions[[#This Row],[Design LPD 
'[W/sqft']]]="","",1-LightingAssumptions[[#This Row],[Design LPD 
'[W/sqft']]]/LightingAssumptions[[#This Row],[Min Code LPD 
'[W/sqft']]]),"")</f>
        <v/>
      </c>
      <c r="AE49" s="154"/>
      <c r="AF49" s="462"/>
    </row>
    <row r="50" spans="2:32" x14ac:dyDescent="0.25">
      <c r="B50" s="18">
        <v>31</v>
      </c>
      <c r="C50" s="19" t="str">
        <f>IF('Master Room List'!R46="","",'Master Room List'!R46)</f>
        <v/>
      </c>
      <c r="D50" s="19" t="str">
        <f>IF(LightingAssumptions[[#This Row],[SpaceType]]="","-",VLOOKUP(LightingAssumptions[[#This Row],[SpaceType]],MasterRoomList_SpaceTypeSummary[[#All],[SpaceType]:[Number of Spaces]],2,FALSE))</f>
        <v>-</v>
      </c>
      <c r="E50" s="152"/>
      <c r="F50" s="19" t="str">
        <f>IFERROR(VLOOKUP(E50,'Raw Data - Lighting'!$AG$3:$AH$77,2,FALSE),"")</f>
        <v/>
      </c>
      <c r="G50" s="154" t="s">
        <v>214</v>
      </c>
      <c r="H50" s="19" t="str">
        <f>IFERROR(IF(OR(VLOOKUP($E50,'Raw Data - Lighting'!$AG$3:$AJ$76,3,FALSE)=$G50,VLOOKUP($E50,'Raw Data - Lighting'!$AG$3:$AJ$76,4,FALSE)=$G50),VLOOKUP($G50,'Raw Data - Lighting'!$AL$4:$AM$18,2,FALSE),IF($G50="-","","This Qualified Lighting System does not correspond with the Primary Function Area")),"")</f>
        <v/>
      </c>
      <c r="I50" s="154" t="s">
        <v>214</v>
      </c>
      <c r="J50" s="95" t="str">
        <f>IFERROR(IF(OR(VLOOKUP($E50,'Raw Data - Lighting'!$AG$3:$AJ$76,3,FALSE)=$I50,VLOOKUP($E50,'Raw Data - Lighting'!$AG$3:$AJ$76,4,FALSE)=$I50),VLOOKUP($I50,'Raw Data - Lighting'!$AL$4:$AM$18,2,FALSE),IF($I50="-","","This Qualified Lighting System does not correspond with the Primary Function Area")),"")</f>
        <v/>
      </c>
      <c r="K50" s="36" t="str">
        <f>IF(AND(G50="-",I50="-"),LightingAssumptions[[#This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0" s="19"/>
      <c r="M50" s="19" t="str">
        <f>IFERROR(VLOOKUP(LightingAssumptions[[#This Row],[ASHRAE 2007 Space Type]],'Raw Data - Lighting'!$C$4:$E$121,2,FALSE),"")</f>
        <v/>
      </c>
      <c r="N50" s="19" t="str">
        <f>IFERROR(VLOOKUP(LightingAssumptions[[#This Row],[ASHRAE 2007 Space Type]],'Raw Data - Lighting'!$C$4:$E$121,3,FALSE),"")</f>
        <v/>
      </c>
      <c r="O50" s="152"/>
      <c r="P50" s="19" t="str">
        <f>IFERROR(VLOOKUP(LightingAssumptions[[#This Row],[ASHRAE 2010 Space Type]],'Raw Data - Lighting'!$I$4:$K$121,2,FALSE),"")</f>
        <v/>
      </c>
      <c r="Q50" s="36" t="str">
        <f>IFERROR(VLOOKUP(LightingAssumptions[[#This Row],[ASHRAE 2010 Space Type]],'Raw Data - Lighting'!$I$4:$K$121,3,FALSE),"")</f>
        <v/>
      </c>
      <c r="R50" s="152"/>
      <c r="S50" s="19" t="str">
        <f>IFERROR(VLOOKUP(LightingAssumptions[[#This Row],[ASHRAE 2013 Space Type]],'Raw Data - Lighting'!$O$4:$Q$121,2,FALSE),"")</f>
        <v/>
      </c>
      <c r="T50" s="36" t="str">
        <f>IFERROR(VLOOKUP(LightingAssumptions[[#This Row],[ASHRAE 2013 Space Type]],'Raw Data - Lighting'!$O$4:$Q$121,3,FALSE),"")</f>
        <v/>
      </c>
      <c r="U50" s="154"/>
      <c r="V50" s="19" t="str">
        <f>IFERROR(VLOOKUP(LightingAssumptions[[#This Row],[ASHRAE 2016 Space Type]],'Raw Data - Lighting'!$U$4:$W$131,2,FALSE),"")</f>
        <v/>
      </c>
      <c r="W50" s="19" t="str">
        <f>IFERROR(VLOOKUP(LightingAssumptions[[#This Row],[ASHRAE 2016 Space Type]],'Raw Data - Lighting'!$U$4:$W$131,3,FALSE),"")</f>
        <v/>
      </c>
      <c r="X50" s="152"/>
      <c r="Y50" s="19" t="str">
        <f>IFERROR(VLOOKUP(LightingAssumptions[[#This Row],[ASHRAE 2019 Space Type]],'Raw Data - Lighting'!$AA$4:$AC$128,2,FALSE),"")</f>
        <v/>
      </c>
      <c r="Z50" s="36" t="str">
        <f>IFERROR(VLOOKUP(LightingAssumptions[[#This Row],[ASHRAE 2019 Space Type]],'Raw Data - Lighting'!$AA$4:$AC$128,3,FALSE),"")</f>
        <v/>
      </c>
      <c r="AA50"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0" s="95" t="str">
        <f>IFERROR(IF(LightingAssumptions[[#This Row],[Min Code LPD 
'[W/sqft']]]="","",INDEX($E$16:$Z$20,1,MATCH(LightingAssumptions[[#This Row],[Min Code LPD 
'[W/sqft']]],LightingAssumptions[[#This Row],[Primary Function Area]:[RCR Threshold]],0))),"")</f>
        <v/>
      </c>
      <c r="AC50" s="154"/>
      <c r="AD50" s="166" t="str">
        <f>IFERROR(IF(LightingAssumptions[[#This Row],[Design LPD 
'[W/sqft']]]="","",1-LightingAssumptions[[#This Row],[Design LPD 
'[W/sqft']]]/LightingAssumptions[[#This Row],[Min Code LPD 
'[W/sqft']]]),"")</f>
        <v/>
      </c>
      <c r="AE50" s="154"/>
      <c r="AF50" s="462"/>
    </row>
    <row r="51" spans="2:32" x14ac:dyDescent="0.25">
      <c r="B51" s="18">
        <v>32</v>
      </c>
      <c r="C51" s="19" t="str">
        <f>IF('Master Room List'!R47="","",'Master Room List'!R47)</f>
        <v/>
      </c>
      <c r="D51" s="19" t="str">
        <f>IF(LightingAssumptions[[#This Row],[SpaceType]]="","-",VLOOKUP(LightingAssumptions[[#This Row],[SpaceType]],MasterRoomList_SpaceTypeSummary[[#All],[SpaceType]:[Number of Spaces]],2,FALSE))</f>
        <v>-</v>
      </c>
      <c r="E51" s="152"/>
      <c r="F51" s="19" t="str">
        <f>IFERROR(VLOOKUP(E51,'Raw Data - Lighting'!$AG$3:$AH$77,2,FALSE),"")</f>
        <v/>
      </c>
      <c r="G51" s="154" t="s">
        <v>214</v>
      </c>
      <c r="H51" s="19" t="str">
        <f>IFERROR(IF(OR(VLOOKUP($E51,'Raw Data - Lighting'!$AG$3:$AJ$76,3,FALSE)=$G51,VLOOKUP($E51,'Raw Data - Lighting'!$AG$3:$AJ$76,4,FALSE)=$G51),VLOOKUP($G51,'Raw Data - Lighting'!$AL$4:$AM$18,2,FALSE),IF($G51="-","","This Qualified Lighting System does not correspond with the Primary Function Area")),"")</f>
        <v/>
      </c>
      <c r="I51" s="154" t="s">
        <v>214</v>
      </c>
      <c r="J51" s="95" t="str">
        <f>IFERROR(IF(OR(VLOOKUP($E51,'Raw Data - Lighting'!$AG$3:$AJ$76,3,FALSE)=$I51,VLOOKUP($E51,'Raw Data - Lighting'!$AG$3:$AJ$76,4,FALSE)=$I51),VLOOKUP($I51,'Raw Data - Lighting'!$AL$4:$AM$18,2,FALSE),IF($I51="-","","This Qualified Lighting System does not correspond with the Primary Function Area")),"")</f>
        <v/>
      </c>
      <c r="K51" s="36" t="str">
        <f>IF(AND(G51="-",I51="-"),LightingAssumptions[[#This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1" s="19"/>
      <c r="M51" s="19" t="str">
        <f>IFERROR(VLOOKUP(LightingAssumptions[[#This Row],[ASHRAE 2007 Space Type]],'Raw Data - Lighting'!$C$4:$E$121,2,FALSE),"")</f>
        <v/>
      </c>
      <c r="N51" s="19" t="str">
        <f>IFERROR(VLOOKUP(LightingAssumptions[[#This Row],[ASHRAE 2007 Space Type]],'Raw Data - Lighting'!$C$4:$E$121,3,FALSE),"")</f>
        <v/>
      </c>
      <c r="O51" s="152"/>
      <c r="P51" s="19" t="str">
        <f>IFERROR(VLOOKUP(LightingAssumptions[[#This Row],[ASHRAE 2010 Space Type]],'Raw Data - Lighting'!$I$4:$K$121,2,FALSE),"")</f>
        <v/>
      </c>
      <c r="Q51" s="36" t="str">
        <f>IFERROR(VLOOKUP(LightingAssumptions[[#This Row],[ASHRAE 2010 Space Type]],'Raw Data - Lighting'!$I$4:$K$121,3,FALSE),"")</f>
        <v/>
      </c>
      <c r="R51" s="152"/>
      <c r="S51" s="19" t="str">
        <f>IFERROR(VLOOKUP(LightingAssumptions[[#This Row],[ASHRAE 2013 Space Type]],'Raw Data - Lighting'!$O$4:$Q$121,2,FALSE),"")</f>
        <v/>
      </c>
      <c r="T51" s="36" t="str">
        <f>IFERROR(VLOOKUP(LightingAssumptions[[#This Row],[ASHRAE 2013 Space Type]],'Raw Data - Lighting'!$O$4:$Q$121,3,FALSE),"")</f>
        <v/>
      </c>
      <c r="U51" s="154"/>
      <c r="V51" s="19" t="str">
        <f>IFERROR(VLOOKUP(LightingAssumptions[[#This Row],[ASHRAE 2016 Space Type]],'Raw Data - Lighting'!$U$4:$W$131,2,FALSE),"")</f>
        <v/>
      </c>
      <c r="W51" s="19" t="str">
        <f>IFERROR(VLOOKUP(LightingAssumptions[[#This Row],[ASHRAE 2016 Space Type]],'Raw Data - Lighting'!$U$4:$W$131,3,FALSE),"")</f>
        <v/>
      </c>
      <c r="X51" s="152"/>
      <c r="Y51" s="19" t="str">
        <f>IFERROR(VLOOKUP(LightingAssumptions[[#This Row],[ASHRAE 2019 Space Type]],'Raw Data - Lighting'!$AA$4:$AC$128,2,FALSE),"")</f>
        <v/>
      </c>
      <c r="Z51" s="36" t="str">
        <f>IFERROR(VLOOKUP(LightingAssumptions[[#This Row],[ASHRAE 2019 Space Type]],'Raw Data - Lighting'!$AA$4:$AC$128,3,FALSE),"")</f>
        <v/>
      </c>
      <c r="AA51"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1" s="95" t="str">
        <f>IFERROR(IF(LightingAssumptions[[#This Row],[Min Code LPD 
'[W/sqft']]]="","",INDEX($E$16:$Z$20,1,MATCH(LightingAssumptions[[#This Row],[Min Code LPD 
'[W/sqft']]],LightingAssumptions[[#This Row],[Primary Function Area]:[RCR Threshold]],0))),"")</f>
        <v/>
      </c>
      <c r="AC51" s="154"/>
      <c r="AD51" s="166" t="str">
        <f>IFERROR(IF(LightingAssumptions[[#This Row],[Design LPD 
'[W/sqft']]]="","",1-LightingAssumptions[[#This Row],[Design LPD 
'[W/sqft']]]/LightingAssumptions[[#This Row],[Min Code LPD 
'[W/sqft']]]),"")</f>
        <v/>
      </c>
      <c r="AE51" s="154"/>
      <c r="AF51" s="462"/>
    </row>
    <row r="52" spans="2:32" x14ac:dyDescent="0.25">
      <c r="B52" s="18">
        <v>33</v>
      </c>
      <c r="C52" s="19" t="str">
        <f>IF('Master Room List'!R48="","",'Master Room List'!R48)</f>
        <v/>
      </c>
      <c r="D52" s="19" t="str">
        <f>IF(LightingAssumptions[[#This Row],[SpaceType]]="","-",VLOOKUP(LightingAssumptions[[#This Row],[SpaceType]],MasterRoomList_SpaceTypeSummary[[#All],[SpaceType]:[Number of Spaces]],2,FALSE))</f>
        <v>-</v>
      </c>
      <c r="E52" s="152"/>
      <c r="F52" s="19" t="str">
        <f>IFERROR(VLOOKUP(E52,'Raw Data - Lighting'!$AG$3:$AH$77,2,FALSE),"")</f>
        <v/>
      </c>
      <c r="G52" s="154" t="s">
        <v>214</v>
      </c>
      <c r="H52" s="19" t="str">
        <f>IFERROR(IF(OR(VLOOKUP($E52,'Raw Data - Lighting'!$AG$3:$AJ$76,3,FALSE)=$G52,VLOOKUP($E52,'Raw Data - Lighting'!$AG$3:$AJ$76,4,FALSE)=$G52),VLOOKUP($G52,'Raw Data - Lighting'!$AL$4:$AM$18,2,FALSE),IF($G52="-","","This Qualified Lighting System does not correspond with the Primary Function Area")),"")</f>
        <v/>
      </c>
      <c r="I52" s="154" t="s">
        <v>214</v>
      </c>
      <c r="J52" s="95" t="str">
        <f>IFERROR(IF(OR(VLOOKUP($E52,'Raw Data - Lighting'!$AG$3:$AJ$76,3,FALSE)=$I52,VLOOKUP($E52,'Raw Data - Lighting'!$AG$3:$AJ$76,4,FALSE)=$I52),VLOOKUP($I52,'Raw Data - Lighting'!$AL$4:$AM$18,2,FALSE),IF($I52="-","","This Qualified Lighting System does not correspond with the Primary Function Area")),"")</f>
        <v/>
      </c>
      <c r="K52" s="36" t="str">
        <f>IF(AND(G52="-",I52="-"),LightingAssumptions[[#This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2" s="19"/>
      <c r="M52" s="19" t="str">
        <f>IFERROR(VLOOKUP(LightingAssumptions[[#This Row],[ASHRAE 2007 Space Type]],'Raw Data - Lighting'!$C$4:$E$121,2,FALSE),"")</f>
        <v/>
      </c>
      <c r="N52" s="19" t="str">
        <f>IFERROR(VLOOKUP(LightingAssumptions[[#This Row],[ASHRAE 2007 Space Type]],'Raw Data - Lighting'!$C$4:$E$121,3,FALSE),"")</f>
        <v/>
      </c>
      <c r="O52" s="152"/>
      <c r="P52" s="19" t="str">
        <f>IFERROR(VLOOKUP(LightingAssumptions[[#This Row],[ASHRAE 2010 Space Type]],'Raw Data - Lighting'!$I$4:$K$121,2,FALSE),"")</f>
        <v/>
      </c>
      <c r="Q52" s="36" t="str">
        <f>IFERROR(VLOOKUP(LightingAssumptions[[#This Row],[ASHRAE 2010 Space Type]],'Raw Data - Lighting'!$I$4:$K$121,3,FALSE),"")</f>
        <v/>
      </c>
      <c r="R52" s="152"/>
      <c r="S52" s="19" t="str">
        <f>IFERROR(VLOOKUP(LightingAssumptions[[#This Row],[ASHRAE 2013 Space Type]],'Raw Data - Lighting'!$O$4:$Q$121,2,FALSE),"")</f>
        <v/>
      </c>
      <c r="T52" s="36" t="str">
        <f>IFERROR(VLOOKUP(LightingAssumptions[[#This Row],[ASHRAE 2013 Space Type]],'Raw Data - Lighting'!$O$4:$Q$121,3,FALSE),"")</f>
        <v/>
      </c>
      <c r="U52" s="154"/>
      <c r="V52" s="19" t="str">
        <f>IFERROR(VLOOKUP(LightingAssumptions[[#This Row],[ASHRAE 2016 Space Type]],'Raw Data - Lighting'!$U$4:$W$131,2,FALSE),"")</f>
        <v/>
      </c>
      <c r="W52" s="19" t="str">
        <f>IFERROR(VLOOKUP(LightingAssumptions[[#This Row],[ASHRAE 2016 Space Type]],'Raw Data - Lighting'!$U$4:$W$131,3,FALSE),"")</f>
        <v/>
      </c>
      <c r="X52" s="152"/>
      <c r="Y52" s="19" t="str">
        <f>IFERROR(VLOOKUP(LightingAssumptions[[#This Row],[ASHRAE 2019 Space Type]],'Raw Data - Lighting'!$AA$4:$AC$128,2,FALSE),"")</f>
        <v/>
      </c>
      <c r="Z52" s="36" t="str">
        <f>IFERROR(VLOOKUP(LightingAssumptions[[#This Row],[ASHRAE 2019 Space Type]],'Raw Data - Lighting'!$AA$4:$AC$128,3,FALSE),"")</f>
        <v/>
      </c>
      <c r="AA52"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2" s="95" t="str">
        <f>IFERROR(IF(LightingAssumptions[[#This Row],[Min Code LPD 
'[W/sqft']]]="","",INDEX($E$16:$Z$20,1,MATCH(LightingAssumptions[[#This Row],[Min Code LPD 
'[W/sqft']]],LightingAssumptions[[#This Row],[Primary Function Area]:[RCR Threshold]],0))),"")</f>
        <v/>
      </c>
      <c r="AC52" s="154"/>
      <c r="AD52" s="166" t="str">
        <f>IFERROR(IF(LightingAssumptions[[#This Row],[Design LPD 
'[W/sqft']]]="","",1-LightingAssumptions[[#This Row],[Design LPD 
'[W/sqft']]]/LightingAssumptions[[#This Row],[Min Code LPD 
'[W/sqft']]]),"")</f>
        <v/>
      </c>
      <c r="AE52" s="154"/>
      <c r="AF52" s="462"/>
    </row>
    <row r="53" spans="2:32" x14ac:dyDescent="0.25">
      <c r="B53" s="18">
        <v>34</v>
      </c>
      <c r="C53" s="19" t="str">
        <f>IF('Master Room List'!R49="","",'Master Room List'!R49)</f>
        <v/>
      </c>
      <c r="D53" s="19" t="str">
        <f>IF(LightingAssumptions[[#This Row],[SpaceType]]="","-",VLOOKUP(LightingAssumptions[[#This Row],[SpaceType]],MasterRoomList_SpaceTypeSummary[[#All],[SpaceType]:[Number of Spaces]],2,FALSE))</f>
        <v>-</v>
      </c>
      <c r="E53" s="152"/>
      <c r="F53" s="19" t="str">
        <f>IFERROR(VLOOKUP(E53,'Raw Data - Lighting'!$AG$3:$AH$77,2,FALSE),"")</f>
        <v/>
      </c>
      <c r="G53" s="154" t="s">
        <v>214</v>
      </c>
      <c r="H53" s="19" t="str">
        <f>IFERROR(IF(OR(VLOOKUP($E53,'Raw Data - Lighting'!$AG$3:$AJ$76,3,FALSE)=$G53,VLOOKUP($E53,'Raw Data - Lighting'!$AG$3:$AJ$76,4,FALSE)=$G53),VLOOKUP($G53,'Raw Data - Lighting'!$AL$4:$AM$18,2,FALSE),IF($G53="-","","This Qualified Lighting System does not correspond with the Primary Function Area")),"")</f>
        <v/>
      </c>
      <c r="I53" s="154" t="s">
        <v>214</v>
      </c>
      <c r="J53" s="95" t="str">
        <f>IFERROR(IF(OR(VLOOKUP($E53,'Raw Data - Lighting'!$AG$3:$AJ$76,3,FALSE)=$I53,VLOOKUP($E53,'Raw Data - Lighting'!$AG$3:$AJ$76,4,FALSE)=$I53),VLOOKUP($I53,'Raw Data - Lighting'!$AL$4:$AM$18,2,FALSE),IF($I53="-","","This Qualified Lighting System does not correspond with the Primary Function Area")),"")</f>
        <v/>
      </c>
      <c r="K53" s="36" t="str">
        <f>IF(AND(G53="-",I53="-"),LightingAssumptions[[#This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3" s="19"/>
      <c r="M53" s="19" t="str">
        <f>IFERROR(VLOOKUP(LightingAssumptions[[#This Row],[ASHRAE 2007 Space Type]],'Raw Data - Lighting'!$C$4:$E$121,2,FALSE),"")</f>
        <v/>
      </c>
      <c r="N53" s="19" t="str">
        <f>IFERROR(VLOOKUP(LightingAssumptions[[#This Row],[ASHRAE 2007 Space Type]],'Raw Data - Lighting'!$C$4:$E$121,3,FALSE),"")</f>
        <v/>
      </c>
      <c r="O53" s="152"/>
      <c r="P53" s="19" t="str">
        <f>IFERROR(VLOOKUP(LightingAssumptions[[#This Row],[ASHRAE 2010 Space Type]],'Raw Data - Lighting'!$I$4:$K$121,2,FALSE),"")</f>
        <v/>
      </c>
      <c r="Q53" s="36" t="str">
        <f>IFERROR(VLOOKUP(LightingAssumptions[[#This Row],[ASHRAE 2010 Space Type]],'Raw Data - Lighting'!$I$4:$K$121,3,FALSE),"")</f>
        <v/>
      </c>
      <c r="R53" s="152"/>
      <c r="S53" s="19" t="str">
        <f>IFERROR(VLOOKUP(LightingAssumptions[[#This Row],[ASHRAE 2013 Space Type]],'Raw Data - Lighting'!$O$4:$Q$121,2,FALSE),"")</f>
        <v/>
      </c>
      <c r="T53" s="36" t="str">
        <f>IFERROR(VLOOKUP(LightingAssumptions[[#This Row],[ASHRAE 2013 Space Type]],'Raw Data - Lighting'!$O$4:$Q$121,3,FALSE),"")</f>
        <v/>
      </c>
      <c r="U53" s="154"/>
      <c r="V53" s="19" t="str">
        <f>IFERROR(VLOOKUP(LightingAssumptions[[#This Row],[ASHRAE 2016 Space Type]],'Raw Data - Lighting'!$U$4:$W$131,2,FALSE),"")</f>
        <v/>
      </c>
      <c r="W53" s="19" t="str">
        <f>IFERROR(VLOOKUP(LightingAssumptions[[#This Row],[ASHRAE 2016 Space Type]],'Raw Data - Lighting'!$U$4:$W$131,3,FALSE),"")</f>
        <v/>
      </c>
      <c r="X53" s="152"/>
      <c r="Y53" s="19" t="str">
        <f>IFERROR(VLOOKUP(LightingAssumptions[[#This Row],[ASHRAE 2019 Space Type]],'Raw Data - Lighting'!$AA$4:$AC$128,2,FALSE),"")</f>
        <v/>
      </c>
      <c r="Z53" s="36" t="str">
        <f>IFERROR(VLOOKUP(LightingAssumptions[[#This Row],[ASHRAE 2019 Space Type]],'Raw Data - Lighting'!$AA$4:$AC$128,3,FALSE),"")</f>
        <v/>
      </c>
      <c r="AA53"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3" s="95" t="str">
        <f>IFERROR(IF(LightingAssumptions[[#This Row],[Min Code LPD 
'[W/sqft']]]="","",INDEX($E$16:$Z$20,1,MATCH(LightingAssumptions[[#This Row],[Min Code LPD 
'[W/sqft']]],LightingAssumptions[[#This Row],[Primary Function Area]:[RCR Threshold]],0))),"")</f>
        <v/>
      </c>
      <c r="AC53" s="154"/>
      <c r="AD53" s="166" t="str">
        <f>IFERROR(IF(LightingAssumptions[[#This Row],[Design LPD 
'[W/sqft']]]="","",1-LightingAssumptions[[#This Row],[Design LPD 
'[W/sqft']]]/LightingAssumptions[[#This Row],[Min Code LPD 
'[W/sqft']]]),"")</f>
        <v/>
      </c>
      <c r="AE53" s="154"/>
      <c r="AF53" s="462"/>
    </row>
    <row r="54" spans="2:32" x14ac:dyDescent="0.25">
      <c r="B54" s="18">
        <v>35</v>
      </c>
      <c r="C54" s="19" t="str">
        <f>IF('Master Room List'!R50="","",'Master Room List'!R50)</f>
        <v/>
      </c>
      <c r="D54" s="19" t="str">
        <f>IF(LightingAssumptions[[#This Row],[SpaceType]]="","-",VLOOKUP(LightingAssumptions[[#This Row],[SpaceType]],MasterRoomList_SpaceTypeSummary[[#All],[SpaceType]:[Number of Spaces]],2,FALSE))</f>
        <v>-</v>
      </c>
      <c r="E54" s="152"/>
      <c r="F54" s="19" t="str">
        <f>IFERROR(VLOOKUP(E54,'Raw Data - Lighting'!$AG$3:$AH$77,2,FALSE),"")</f>
        <v/>
      </c>
      <c r="G54" s="154" t="s">
        <v>214</v>
      </c>
      <c r="H54" s="19" t="str">
        <f>IFERROR(IF(OR(VLOOKUP($E54,'Raw Data - Lighting'!$AG$3:$AJ$76,3,FALSE)=$G54,VLOOKUP($E54,'Raw Data - Lighting'!$AG$3:$AJ$76,4,FALSE)=$G54),VLOOKUP($G54,'Raw Data - Lighting'!$AL$4:$AM$18,2,FALSE),IF($G54="-","","This Qualified Lighting System does not correspond with the Primary Function Area")),"")</f>
        <v/>
      </c>
      <c r="I54" s="154" t="s">
        <v>214</v>
      </c>
      <c r="J54" s="95" t="str">
        <f>IFERROR(IF(OR(VLOOKUP($E54,'Raw Data - Lighting'!$AG$3:$AJ$76,3,FALSE)=$I54,VLOOKUP($E54,'Raw Data - Lighting'!$AG$3:$AJ$76,4,FALSE)=$I54),VLOOKUP($I54,'Raw Data - Lighting'!$AL$4:$AM$18,2,FALSE),IF($I54="-","","This Qualified Lighting System does not correspond with the Primary Function Area")),"")</f>
        <v/>
      </c>
      <c r="K54" s="36" t="str">
        <f>IF(AND(G54="-",I54="-"),LightingAssumptions[[#This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4" s="19"/>
      <c r="M54" s="19" t="str">
        <f>IFERROR(VLOOKUP(LightingAssumptions[[#This Row],[ASHRAE 2007 Space Type]],'Raw Data - Lighting'!$C$4:$E$121,2,FALSE),"")</f>
        <v/>
      </c>
      <c r="N54" s="19" t="str">
        <f>IFERROR(VLOOKUP(LightingAssumptions[[#This Row],[ASHRAE 2007 Space Type]],'Raw Data - Lighting'!$C$4:$E$121,3,FALSE),"")</f>
        <v/>
      </c>
      <c r="O54" s="152"/>
      <c r="P54" s="19" t="str">
        <f>IFERROR(VLOOKUP(LightingAssumptions[[#This Row],[ASHRAE 2010 Space Type]],'Raw Data - Lighting'!$I$4:$K$121,2,FALSE),"")</f>
        <v/>
      </c>
      <c r="Q54" s="36" t="str">
        <f>IFERROR(VLOOKUP(LightingAssumptions[[#This Row],[ASHRAE 2010 Space Type]],'Raw Data - Lighting'!$I$4:$K$121,3,FALSE),"")</f>
        <v/>
      </c>
      <c r="R54" s="152"/>
      <c r="S54" s="19" t="str">
        <f>IFERROR(VLOOKUP(LightingAssumptions[[#This Row],[ASHRAE 2013 Space Type]],'Raw Data - Lighting'!$O$4:$Q$121,2,FALSE),"")</f>
        <v/>
      </c>
      <c r="T54" s="36" t="str">
        <f>IFERROR(VLOOKUP(LightingAssumptions[[#This Row],[ASHRAE 2013 Space Type]],'Raw Data - Lighting'!$O$4:$Q$121,3,FALSE),"")</f>
        <v/>
      </c>
      <c r="U54" s="154"/>
      <c r="V54" s="19" t="str">
        <f>IFERROR(VLOOKUP(LightingAssumptions[[#This Row],[ASHRAE 2016 Space Type]],'Raw Data - Lighting'!$U$4:$W$131,2,FALSE),"")</f>
        <v/>
      </c>
      <c r="W54" s="19" t="str">
        <f>IFERROR(VLOOKUP(LightingAssumptions[[#This Row],[ASHRAE 2016 Space Type]],'Raw Data - Lighting'!$U$4:$W$131,3,FALSE),"")</f>
        <v/>
      </c>
      <c r="X54" s="152"/>
      <c r="Y54" s="19" t="str">
        <f>IFERROR(VLOOKUP(LightingAssumptions[[#This Row],[ASHRAE 2019 Space Type]],'Raw Data - Lighting'!$AA$4:$AC$128,2,FALSE),"")</f>
        <v/>
      </c>
      <c r="Z54" s="36" t="str">
        <f>IFERROR(VLOOKUP(LightingAssumptions[[#This Row],[ASHRAE 2019 Space Type]],'Raw Data - Lighting'!$AA$4:$AC$128,3,FALSE),"")</f>
        <v/>
      </c>
      <c r="AA54"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4" s="95" t="str">
        <f>IFERROR(IF(LightingAssumptions[[#This Row],[Min Code LPD 
'[W/sqft']]]="","",INDEX($E$16:$Z$20,1,MATCH(LightingAssumptions[[#This Row],[Min Code LPD 
'[W/sqft']]],LightingAssumptions[[#This Row],[Primary Function Area]:[RCR Threshold]],0))),"")</f>
        <v/>
      </c>
      <c r="AC54" s="154"/>
      <c r="AD54" s="166" t="str">
        <f>IFERROR(IF(LightingAssumptions[[#This Row],[Design LPD 
'[W/sqft']]]="","",1-LightingAssumptions[[#This Row],[Design LPD 
'[W/sqft']]]/LightingAssumptions[[#This Row],[Min Code LPD 
'[W/sqft']]]),"")</f>
        <v/>
      </c>
      <c r="AE54" s="154"/>
      <c r="AF54" s="462"/>
    </row>
    <row r="55" spans="2:32" x14ac:dyDescent="0.25">
      <c r="B55" s="18">
        <v>36</v>
      </c>
      <c r="C55" s="19" t="str">
        <f>IF('Master Room List'!R51="","",'Master Room List'!R51)</f>
        <v/>
      </c>
      <c r="D55" s="19" t="str">
        <f>IF(LightingAssumptions[[#This Row],[SpaceType]]="","-",VLOOKUP(LightingAssumptions[[#This Row],[SpaceType]],MasterRoomList_SpaceTypeSummary[[#All],[SpaceType]:[Number of Spaces]],2,FALSE))</f>
        <v>-</v>
      </c>
      <c r="E55" s="152"/>
      <c r="F55" s="19" t="str">
        <f>IFERROR(VLOOKUP(E55,'Raw Data - Lighting'!$AG$3:$AH$77,2,FALSE),"")</f>
        <v/>
      </c>
      <c r="G55" s="154" t="s">
        <v>214</v>
      </c>
      <c r="H55" s="19" t="str">
        <f>IFERROR(IF(OR(VLOOKUP($E55,'Raw Data - Lighting'!$AG$3:$AJ$76,3,FALSE)=$G55,VLOOKUP($E55,'Raw Data - Lighting'!$AG$3:$AJ$76,4,FALSE)=$G55),VLOOKUP($G55,'Raw Data - Lighting'!$AL$4:$AM$18,2,FALSE),IF($G55="-","","This Qualified Lighting System does not correspond with the Primary Function Area")),"")</f>
        <v/>
      </c>
      <c r="I55" s="154" t="s">
        <v>214</v>
      </c>
      <c r="J55" s="95" t="str">
        <f>IFERROR(IF(OR(VLOOKUP($E55,'Raw Data - Lighting'!$AG$3:$AJ$76,3,FALSE)=$I55,VLOOKUP($E55,'Raw Data - Lighting'!$AG$3:$AJ$76,4,FALSE)=$I55),VLOOKUP($I55,'Raw Data - Lighting'!$AL$4:$AM$18,2,FALSE),IF($I55="-","","This Qualified Lighting System does not correspond with the Primary Function Area")),"")</f>
        <v/>
      </c>
      <c r="K55" s="36" t="str">
        <f>IF(AND(G55="-",I55="-"),LightingAssumptions[[#This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5" s="19"/>
      <c r="M55" s="19" t="str">
        <f>IFERROR(VLOOKUP(LightingAssumptions[[#This Row],[ASHRAE 2007 Space Type]],'Raw Data - Lighting'!$C$4:$E$121,2,FALSE),"")</f>
        <v/>
      </c>
      <c r="N55" s="19" t="str">
        <f>IFERROR(VLOOKUP(LightingAssumptions[[#This Row],[ASHRAE 2007 Space Type]],'Raw Data - Lighting'!$C$4:$E$121,3,FALSE),"")</f>
        <v/>
      </c>
      <c r="O55" s="152"/>
      <c r="P55" s="19" t="str">
        <f>IFERROR(VLOOKUP(LightingAssumptions[[#This Row],[ASHRAE 2010 Space Type]],'Raw Data - Lighting'!$I$4:$K$121,2,FALSE),"")</f>
        <v/>
      </c>
      <c r="Q55" s="36" t="str">
        <f>IFERROR(VLOOKUP(LightingAssumptions[[#This Row],[ASHRAE 2010 Space Type]],'Raw Data - Lighting'!$I$4:$K$121,3,FALSE),"")</f>
        <v/>
      </c>
      <c r="R55" s="152"/>
      <c r="S55" s="19" t="str">
        <f>IFERROR(VLOOKUP(LightingAssumptions[[#This Row],[ASHRAE 2013 Space Type]],'Raw Data - Lighting'!$O$4:$Q$121,2,FALSE),"")</f>
        <v/>
      </c>
      <c r="T55" s="36" t="str">
        <f>IFERROR(VLOOKUP(LightingAssumptions[[#This Row],[ASHRAE 2013 Space Type]],'Raw Data - Lighting'!$O$4:$Q$121,3,FALSE),"")</f>
        <v/>
      </c>
      <c r="U55" s="154"/>
      <c r="V55" s="19" t="str">
        <f>IFERROR(VLOOKUP(LightingAssumptions[[#This Row],[ASHRAE 2016 Space Type]],'Raw Data - Lighting'!$U$4:$W$131,2,FALSE),"")</f>
        <v/>
      </c>
      <c r="W55" s="19" t="str">
        <f>IFERROR(VLOOKUP(LightingAssumptions[[#This Row],[ASHRAE 2016 Space Type]],'Raw Data - Lighting'!$U$4:$W$131,3,FALSE),"")</f>
        <v/>
      </c>
      <c r="X55" s="152"/>
      <c r="Y55" s="19" t="str">
        <f>IFERROR(VLOOKUP(LightingAssumptions[[#This Row],[ASHRAE 2019 Space Type]],'Raw Data - Lighting'!$AA$4:$AC$128,2,FALSE),"")</f>
        <v/>
      </c>
      <c r="Z55" s="36" t="str">
        <f>IFERROR(VLOOKUP(LightingAssumptions[[#This Row],[ASHRAE 2019 Space Type]],'Raw Data - Lighting'!$AA$4:$AC$128,3,FALSE),"")</f>
        <v/>
      </c>
      <c r="AA55"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5" s="95" t="str">
        <f>IFERROR(IF(LightingAssumptions[[#This Row],[Min Code LPD 
'[W/sqft']]]="","",INDEX($E$16:$Z$20,1,MATCH(LightingAssumptions[[#This Row],[Min Code LPD 
'[W/sqft']]],LightingAssumptions[[#This Row],[Primary Function Area]:[RCR Threshold]],0))),"")</f>
        <v/>
      </c>
      <c r="AC55" s="154"/>
      <c r="AD55" s="166" t="str">
        <f>IFERROR(IF(LightingAssumptions[[#This Row],[Design LPD 
'[W/sqft']]]="","",1-LightingAssumptions[[#This Row],[Design LPD 
'[W/sqft']]]/LightingAssumptions[[#This Row],[Min Code LPD 
'[W/sqft']]]),"")</f>
        <v/>
      </c>
      <c r="AE55" s="154"/>
      <c r="AF55" s="462"/>
    </row>
    <row r="56" spans="2:32" x14ac:dyDescent="0.25">
      <c r="B56" s="18">
        <v>37</v>
      </c>
      <c r="C56" s="19" t="str">
        <f>IF('Master Room List'!R52="","",'Master Room List'!R52)</f>
        <v/>
      </c>
      <c r="D56" s="19" t="str">
        <f>IF(LightingAssumptions[[#This Row],[SpaceType]]="","-",VLOOKUP(LightingAssumptions[[#This Row],[SpaceType]],MasterRoomList_SpaceTypeSummary[[#All],[SpaceType]:[Number of Spaces]],2,FALSE))</f>
        <v>-</v>
      </c>
      <c r="E56" s="152"/>
      <c r="F56" s="19" t="str">
        <f>IFERROR(VLOOKUP(E56,'Raw Data - Lighting'!$AG$3:$AH$77,2,FALSE),"")</f>
        <v/>
      </c>
      <c r="G56" s="154" t="s">
        <v>214</v>
      </c>
      <c r="H56" s="19" t="str">
        <f>IFERROR(IF(OR(VLOOKUP($E56,'Raw Data - Lighting'!$AG$3:$AJ$76,3,FALSE)=$G56,VLOOKUP($E56,'Raw Data - Lighting'!$AG$3:$AJ$76,4,FALSE)=$G56),VLOOKUP($G56,'Raw Data - Lighting'!$AL$4:$AM$18,2,FALSE),IF($G56="-","","This Qualified Lighting System does not correspond with the Primary Function Area")),"")</f>
        <v/>
      </c>
      <c r="I56" s="154" t="s">
        <v>214</v>
      </c>
      <c r="J56" s="95" t="str">
        <f>IFERROR(IF(OR(VLOOKUP($E56,'Raw Data - Lighting'!$AG$3:$AJ$76,3,FALSE)=$I56,VLOOKUP($E56,'Raw Data - Lighting'!$AG$3:$AJ$76,4,FALSE)=$I56),VLOOKUP($I56,'Raw Data - Lighting'!$AL$4:$AM$18,2,FALSE),IF($I56="-","","This Qualified Lighting System does not correspond with the Primary Function Area")),"")</f>
        <v/>
      </c>
      <c r="K56" s="36" t="str">
        <f>IF(AND(G56="-",I56="-"),LightingAssumptions[[#This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6" s="19"/>
      <c r="M56" s="19" t="str">
        <f>IFERROR(VLOOKUP(LightingAssumptions[[#This Row],[ASHRAE 2007 Space Type]],'Raw Data - Lighting'!$C$4:$E$121,2,FALSE),"")</f>
        <v/>
      </c>
      <c r="N56" s="19" t="str">
        <f>IFERROR(VLOOKUP(LightingAssumptions[[#This Row],[ASHRAE 2007 Space Type]],'Raw Data - Lighting'!$C$4:$E$121,3,FALSE),"")</f>
        <v/>
      </c>
      <c r="O56" s="152"/>
      <c r="P56" s="19" t="str">
        <f>IFERROR(VLOOKUP(LightingAssumptions[[#This Row],[ASHRAE 2010 Space Type]],'Raw Data - Lighting'!$I$4:$K$121,2,FALSE),"")</f>
        <v/>
      </c>
      <c r="Q56" s="36" t="str">
        <f>IFERROR(VLOOKUP(LightingAssumptions[[#This Row],[ASHRAE 2010 Space Type]],'Raw Data - Lighting'!$I$4:$K$121,3,FALSE),"")</f>
        <v/>
      </c>
      <c r="R56" s="152"/>
      <c r="S56" s="19" t="str">
        <f>IFERROR(VLOOKUP(LightingAssumptions[[#This Row],[ASHRAE 2013 Space Type]],'Raw Data - Lighting'!$O$4:$Q$121,2,FALSE),"")</f>
        <v/>
      </c>
      <c r="T56" s="36" t="str">
        <f>IFERROR(VLOOKUP(LightingAssumptions[[#This Row],[ASHRAE 2013 Space Type]],'Raw Data - Lighting'!$O$4:$Q$121,3,FALSE),"")</f>
        <v/>
      </c>
      <c r="U56" s="154"/>
      <c r="V56" s="19" t="str">
        <f>IFERROR(VLOOKUP(LightingAssumptions[[#This Row],[ASHRAE 2016 Space Type]],'Raw Data - Lighting'!$U$4:$W$131,2,FALSE),"")</f>
        <v/>
      </c>
      <c r="W56" s="19" t="str">
        <f>IFERROR(VLOOKUP(LightingAssumptions[[#This Row],[ASHRAE 2016 Space Type]],'Raw Data - Lighting'!$U$4:$W$131,3,FALSE),"")</f>
        <v/>
      </c>
      <c r="X56" s="152"/>
      <c r="Y56" s="19" t="str">
        <f>IFERROR(VLOOKUP(LightingAssumptions[[#This Row],[ASHRAE 2019 Space Type]],'Raw Data - Lighting'!$AA$4:$AC$128,2,FALSE),"")</f>
        <v/>
      </c>
      <c r="Z56" s="36" t="str">
        <f>IFERROR(VLOOKUP(LightingAssumptions[[#This Row],[ASHRAE 2019 Space Type]],'Raw Data - Lighting'!$AA$4:$AC$128,3,FALSE),"")</f>
        <v/>
      </c>
      <c r="AA56"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6" s="95" t="str">
        <f>IFERROR(IF(LightingAssumptions[[#This Row],[Min Code LPD 
'[W/sqft']]]="","",INDEX($E$16:$Z$20,1,MATCH(LightingAssumptions[[#This Row],[Min Code LPD 
'[W/sqft']]],LightingAssumptions[[#This Row],[Primary Function Area]:[RCR Threshold]],0))),"")</f>
        <v/>
      </c>
      <c r="AC56" s="154"/>
      <c r="AD56" s="166" t="str">
        <f>IFERROR(IF(LightingAssumptions[[#This Row],[Design LPD 
'[W/sqft']]]="","",1-LightingAssumptions[[#This Row],[Design LPD 
'[W/sqft']]]/LightingAssumptions[[#This Row],[Min Code LPD 
'[W/sqft']]]),"")</f>
        <v/>
      </c>
      <c r="AE56" s="154"/>
      <c r="AF56" s="462"/>
    </row>
    <row r="57" spans="2:32" x14ac:dyDescent="0.25">
      <c r="B57" s="18">
        <v>38</v>
      </c>
      <c r="C57" s="19" t="str">
        <f>IF('Master Room List'!R53="","",'Master Room List'!R53)</f>
        <v/>
      </c>
      <c r="D57" s="19" t="str">
        <f>IF(LightingAssumptions[[#This Row],[SpaceType]]="","-",VLOOKUP(LightingAssumptions[[#This Row],[SpaceType]],MasterRoomList_SpaceTypeSummary[[#All],[SpaceType]:[Number of Spaces]],2,FALSE))</f>
        <v>-</v>
      </c>
      <c r="E57" s="152"/>
      <c r="F57" s="19" t="str">
        <f>IFERROR(VLOOKUP(E57,'Raw Data - Lighting'!$AG$3:$AH$77,2,FALSE),"")</f>
        <v/>
      </c>
      <c r="G57" s="154" t="s">
        <v>214</v>
      </c>
      <c r="H57" s="19" t="str">
        <f>IFERROR(IF(OR(VLOOKUP($E57,'Raw Data - Lighting'!$AG$3:$AJ$76,3,FALSE)=$G57,VLOOKUP($E57,'Raw Data - Lighting'!$AG$3:$AJ$76,4,FALSE)=$G57),VLOOKUP($G57,'Raw Data - Lighting'!$AL$4:$AM$18,2,FALSE),IF($G57="-","","This Qualified Lighting System does not correspond with the Primary Function Area")),"")</f>
        <v/>
      </c>
      <c r="I57" s="154" t="s">
        <v>214</v>
      </c>
      <c r="J57" s="95" t="str">
        <f>IFERROR(IF(OR(VLOOKUP($E57,'Raw Data - Lighting'!$AG$3:$AJ$76,3,FALSE)=$I57,VLOOKUP($E57,'Raw Data - Lighting'!$AG$3:$AJ$76,4,FALSE)=$I57),VLOOKUP($I57,'Raw Data - Lighting'!$AL$4:$AM$18,2,FALSE),IF($I57="-","","This Qualified Lighting System does not correspond with the Primary Function Area")),"")</f>
        <v/>
      </c>
      <c r="K57" s="36" t="str">
        <f>IF(AND(G57="-",I57="-"),LightingAssumptions[[#This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7" s="19"/>
      <c r="M57" s="19" t="str">
        <f>IFERROR(VLOOKUP(LightingAssumptions[[#This Row],[ASHRAE 2007 Space Type]],'Raw Data - Lighting'!$C$4:$E$121,2,FALSE),"")</f>
        <v/>
      </c>
      <c r="N57" s="19" t="str">
        <f>IFERROR(VLOOKUP(LightingAssumptions[[#This Row],[ASHRAE 2007 Space Type]],'Raw Data - Lighting'!$C$4:$E$121,3,FALSE),"")</f>
        <v/>
      </c>
      <c r="O57" s="152"/>
      <c r="P57" s="19" t="str">
        <f>IFERROR(VLOOKUP(LightingAssumptions[[#This Row],[ASHRAE 2010 Space Type]],'Raw Data - Lighting'!$I$4:$K$121,2,FALSE),"")</f>
        <v/>
      </c>
      <c r="Q57" s="36" t="str">
        <f>IFERROR(VLOOKUP(LightingAssumptions[[#This Row],[ASHRAE 2010 Space Type]],'Raw Data - Lighting'!$I$4:$K$121,3,FALSE),"")</f>
        <v/>
      </c>
      <c r="R57" s="152"/>
      <c r="S57" s="19" t="str">
        <f>IFERROR(VLOOKUP(LightingAssumptions[[#This Row],[ASHRAE 2013 Space Type]],'Raw Data - Lighting'!$O$4:$Q$121,2,FALSE),"")</f>
        <v/>
      </c>
      <c r="T57" s="36" t="str">
        <f>IFERROR(VLOOKUP(LightingAssumptions[[#This Row],[ASHRAE 2013 Space Type]],'Raw Data - Lighting'!$O$4:$Q$121,3,FALSE),"")</f>
        <v/>
      </c>
      <c r="U57" s="154"/>
      <c r="V57" s="19" t="str">
        <f>IFERROR(VLOOKUP(LightingAssumptions[[#This Row],[ASHRAE 2016 Space Type]],'Raw Data - Lighting'!$U$4:$W$131,2,FALSE),"")</f>
        <v/>
      </c>
      <c r="W57" s="19" t="str">
        <f>IFERROR(VLOOKUP(LightingAssumptions[[#This Row],[ASHRAE 2016 Space Type]],'Raw Data - Lighting'!$U$4:$W$131,3,FALSE),"")</f>
        <v/>
      </c>
      <c r="X57" s="152"/>
      <c r="Y57" s="19" t="str">
        <f>IFERROR(VLOOKUP(LightingAssumptions[[#This Row],[ASHRAE 2019 Space Type]],'Raw Data - Lighting'!$AA$4:$AC$128,2,FALSE),"")</f>
        <v/>
      </c>
      <c r="Z57" s="36" t="str">
        <f>IFERROR(VLOOKUP(LightingAssumptions[[#This Row],[ASHRAE 2019 Space Type]],'Raw Data - Lighting'!$AA$4:$AC$128,3,FALSE),"")</f>
        <v/>
      </c>
      <c r="AA57"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7" s="95" t="str">
        <f>IFERROR(IF(LightingAssumptions[[#This Row],[Min Code LPD 
'[W/sqft']]]="","",INDEX($E$16:$Z$20,1,MATCH(LightingAssumptions[[#This Row],[Min Code LPD 
'[W/sqft']]],LightingAssumptions[[#This Row],[Primary Function Area]:[RCR Threshold]],0))),"")</f>
        <v/>
      </c>
      <c r="AC57" s="154"/>
      <c r="AD57" s="166" t="str">
        <f>IFERROR(IF(LightingAssumptions[[#This Row],[Design LPD 
'[W/sqft']]]="","",1-LightingAssumptions[[#This Row],[Design LPD 
'[W/sqft']]]/LightingAssumptions[[#This Row],[Min Code LPD 
'[W/sqft']]]),"")</f>
        <v/>
      </c>
      <c r="AE57" s="154"/>
      <c r="AF57" s="462"/>
    </row>
    <row r="58" spans="2:32" x14ac:dyDescent="0.25">
      <c r="B58" s="18">
        <v>39</v>
      </c>
      <c r="C58" s="19" t="str">
        <f>IF('Master Room List'!R54="","",'Master Room List'!R54)</f>
        <v/>
      </c>
      <c r="D58" s="19" t="str">
        <f>IF(LightingAssumptions[[#This Row],[SpaceType]]="","-",VLOOKUP(LightingAssumptions[[#This Row],[SpaceType]],MasterRoomList_SpaceTypeSummary[[#All],[SpaceType]:[Number of Spaces]],2,FALSE))</f>
        <v>-</v>
      </c>
      <c r="E58" s="152"/>
      <c r="F58" s="19" t="str">
        <f>IFERROR(VLOOKUP(E58,'Raw Data - Lighting'!$AG$3:$AH$77,2,FALSE),"")</f>
        <v/>
      </c>
      <c r="G58" s="154" t="s">
        <v>214</v>
      </c>
      <c r="H58" s="19" t="str">
        <f>IFERROR(IF(OR(VLOOKUP($E58,'Raw Data - Lighting'!$AG$3:$AJ$76,3,FALSE)=$G58,VLOOKUP($E58,'Raw Data - Lighting'!$AG$3:$AJ$76,4,FALSE)=$G58),VLOOKUP($G58,'Raw Data - Lighting'!$AL$4:$AM$18,2,FALSE),IF($G58="-","","This Qualified Lighting System does not correspond with the Primary Function Area")),"")</f>
        <v/>
      </c>
      <c r="I58" s="154" t="s">
        <v>214</v>
      </c>
      <c r="J58" s="95" t="str">
        <f>IFERROR(IF(OR(VLOOKUP($E58,'Raw Data - Lighting'!$AG$3:$AJ$76,3,FALSE)=$I58,VLOOKUP($E58,'Raw Data - Lighting'!$AG$3:$AJ$76,4,FALSE)=$I58),VLOOKUP($I58,'Raw Data - Lighting'!$AL$4:$AM$18,2,FALSE),IF($I58="-","","This Qualified Lighting System does not correspond with the Primary Function Area")),"")</f>
        <v/>
      </c>
      <c r="K58" s="36" t="str">
        <f>IF(AND(G58="-",I58="-"),LightingAssumptions[[#This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8" s="19"/>
      <c r="M58" s="19" t="str">
        <f>IFERROR(VLOOKUP(LightingAssumptions[[#This Row],[ASHRAE 2007 Space Type]],'Raw Data - Lighting'!$C$4:$E$121,2,FALSE),"")</f>
        <v/>
      </c>
      <c r="N58" s="19" t="str">
        <f>IFERROR(VLOOKUP(LightingAssumptions[[#This Row],[ASHRAE 2007 Space Type]],'Raw Data - Lighting'!$C$4:$E$121,3,FALSE),"")</f>
        <v/>
      </c>
      <c r="O58" s="152"/>
      <c r="P58" s="19" t="str">
        <f>IFERROR(VLOOKUP(LightingAssumptions[[#This Row],[ASHRAE 2010 Space Type]],'Raw Data - Lighting'!$I$4:$K$121,2,FALSE),"")</f>
        <v/>
      </c>
      <c r="Q58" s="36" t="str">
        <f>IFERROR(VLOOKUP(LightingAssumptions[[#This Row],[ASHRAE 2010 Space Type]],'Raw Data - Lighting'!$I$4:$K$121,3,FALSE),"")</f>
        <v/>
      </c>
      <c r="R58" s="152"/>
      <c r="S58" s="19" t="str">
        <f>IFERROR(VLOOKUP(LightingAssumptions[[#This Row],[ASHRAE 2013 Space Type]],'Raw Data - Lighting'!$O$4:$Q$121,2,FALSE),"")</f>
        <v/>
      </c>
      <c r="T58" s="36" t="str">
        <f>IFERROR(VLOOKUP(LightingAssumptions[[#This Row],[ASHRAE 2013 Space Type]],'Raw Data - Lighting'!$O$4:$Q$121,3,FALSE),"")</f>
        <v/>
      </c>
      <c r="U58" s="154"/>
      <c r="V58" s="19" t="str">
        <f>IFERROR(VLOOKUP(LightingAssumptions[[#This Row],[ASHRAE 2016 Space Type]],'Raw Data - Lighting'!$U$4:$W$131,2,FALSE),"")</f>
        <v/>
      </c>
      <c r="W58" s="19" t="str">
        <f>IFERROR(VLOOKUP(LightingAssumptions[[#This Row],[ASHRAE 2016 Space Type]],'Raw Data - Lighting'!$U$4:$W$131,3,FALSE),"")</f>
        <v/>
      </c>
      <c r="X58" s="152"/>
      <c r="Y58" s="19" t="str">
        <f>IFERROR(VLOOKUP(LightingAssumptions[[#This Row],[ASHRAE 2019 Space Type]],'Raw Data - Lighting'!$AA$4:$AC$128,2,FALSE),"")</f>
        <v/>
      </c>
      <c r="Z58" s="36" t="str">
        <f>IFERROR(VLOOKUP(LightingAssumptions[[#This Row],[ASHRAE 2019 Space Type]],'Raw Data - Lighting'!$AA$4:$AC$128,3,FALSE),"")</f>
        <v/>
      </c>
      <c r="AA58"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8" s="95" t="str">
        <f>IFERROR(IF(LightingAssumptions[[#This Row],[Min Code LPD 
'[W/sqft']]]="","",INDEX($E$16:$Z$20,1,MATCH(LightingAssumptions[[#This Row],[Min Code LPD 
'[W/sqft']]],LightingAssumptions[[#This Row],[Primary Function Area]:[RCR Threshold]],0))),"")</f>
        <v/>
      </c>
      <c r="AC58" s="154"/>
      <c r="AD58" s="166" t="str">
        <f>IFERROR(IF(LightingAssumptions[[#This Row],[Design LPD 
'[W/sqft']]]="","",1-LightingAssumptions[[#This Row],[Design LPD 
'[W/sqft']]]/LightingAssumptions[[#This Row],[Min Code LPD 
'[W/sqft']]]),"")</f>
        <v/>
      </c>
      <c r="AE58" s="154"/>
      <c r="AF58" s="462"/>
    </row>
    <row r="59" spans="2:32" x14ac:dyDescent="0.25">
      <c r="B59" s="18">
        <v>40</v>
      </c>
      <c r="C59" s="19" t="str">
        <f>IF('Master Room List'!R55="","",'Master Room List'!R55)</f>
        <v/>
      </c>
      <c r="D59" s="19" t="str">
        <f>IF(LightingAssumptions[[#This Row],[SpaceType]]="","-",VLOOKUP(LightingAssumptions[[#This Row],[SpaceType]],MasterRoomList_SpaceTypeSummary[[#All],[SpaceType]:[Number of Spaces]],2,FALSE))</f>
        <v>-</v>
      </c>
      <c r="E59" s="152"/>
      <c r="F59" s="19" t="str">
        <f>IFERROR(VLOOKUP(E59,'Raw Data - Lighting'!$AG$3:$AH$77,2,FALSE),"")</f>
        <v/>
      </c>
      <c r="G59" s="154" t="s">
        <v>214</v>
      </c>
      <c r="H59" s="19" t="str">
        <f>IFERROR(IF(OR(VLOOKUP($E59,'Raw Data - Lighting'!$AG$3:$AJ$76,3,FALSE)=$G59,VLOOKUP($E59,'Raw Data - Lighting'!$AG$3:$AJ$76,4,FALSE)=$G59),VLOOKUP($G59,'Raw Data - Lighting'!$AL$4:$AM$18,2,FALSE),IF($G59="-","","This Qualified Lighting System does not correspond with the Primary Function Area")),"")</f>
        <v/>
      </c>
      <c r="I59" s="154" t="s">
        <v>214</v>
      </c>
      <c r="J59" s="95" t="str">
        <f>IFERROR(IF(OR(VLOOKUP($E59,'Raw Data - Lighting'!$AG$3:$AJ$76,3,FALSE)=$I59,VLOOKUP($E59,'Raw Data - Lighting'!$AG$3:$AJ$76,4,FALSE)=$I59),VLOOKUP($I59,'Raw Data - Lighting'!$AL$4:$AM$18,2,FALSE),IF($I59="-","","This Qualified Lighting System does not correspond with the Primary Function Area")),"")</f>
        <v/>
      </c>
      <c r="K59" s="36" t="str">
        <f>IF(AND(G59="-",I59="-"),LightingAssumptions[[#This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9" s="19"/>
      <c r="M59" s="19" t="str">
        <f>IFERROR(VLOOKUP(LightingAssumptions[[#This Row],[ASHRAE 2007 Space Type]],'Raw Data - Lighting'!$C$4:$E$121,2,FALSE),"")</f>
        <v/>
      </c>
      <c r="N59" s="19" t="str">
        <f>IFERROR(VLOOKUP(LightingAssumptions[[#This Row],[ASHRAE 2007 Space Type]],'Raw Data - Lighting'!$C$4:$E$121,3,FALSE),"")</f>
        <v/>
      </c>
      <c r="O59" s="152"/>
      <c r="P59" s="19" t="str">
        <f>IFERROR(VLOOKUP(LightingAssumptions[[#This Row],[ASHRAE 2010 Space Type]],'Raw Data - Lighting'!$I$4:$K$121,2,FALSE),"")</f>
        <v/>
      </c>
      <c r="Q59" s="36" t="str">
        <f>IFERROR(VLOOKUP(LightingAssumptions[[#This Row],[ASHRAE 2010 Space Type]],'Raw Data - Lighting'!$I$4:$K$121,3,FALSE),"")</f>
        <v/>
      </c>
      <c r="R59" s="152"/>
      <c r="S59" s="19" t="str">
        <f>IFERROR(VLOOKUP(LightingAssumptions[[#This Row],[ASHRAE 2013 Space Type]],'Raw Data - Lighting'!$O$4:$Q$121,2,FALSE),"")</f>
        <v/>
      </c>
      <c r="T59" s="36" t="str">
        <f>IFERROR(VLOOKUP(LightingAssumptions[[#This Row],[ASHRAE 2013 Space Type]],'Raw Data - Lighting'!$O$4:$Q$121,3,FALSE),"")</f>
        <v/>
      </c>
      <c r="U59" s="154"/>
      <c r="V59" s="19" t="str">
        <f>IFERROR(VLOOKUP(LightingAssumptions[[#This Row],[ASHRAE 2016 Space Type]],'Raw Data - Lighting'!$U$4:$W$131,2,FALSE),"")</f>
        <v/>
      </c>
      <c r="W59" s="19" t="str">
        <f>IFERROR(VLOOKUP(LightingAssumptions[[#This Row],[ASHRAE 2016 Space Type]],'Raw Data - Lighting'!$U$4:$W$131,3,FALSE),"")</f>
        <v/>
      </c>
      <c r="X59" s="152"/>
      <c r="Y59" s="19" t="str">
        <f>IFERROR(VLOOKUP(LightingAssumptions[[#This Row],[ASHRAE 2019 Space Type]],'Raw Data - Lighting'!$AA$4:$AC$128,2,FALSE),"")</f>
        <v/>
      </c>
      <c r="Z59" s="36" t="str">
        <f>IFERROR(VLOOKUP(LightingAssumptions[[#This Row],[ASHRAE 2019 Space Type]],'Raw Data - Lighting'!$AA$4:$AC$128,3,FALSE),"")</f>
        <v/>
      </c>
      <c r="AA59"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9" s="95" t="str">
        <f>IFERROR(IF(LightingAssumptions[[#This Row],[Min Code LPD 
'[W/sqft']]]="","",INDEX($E$16:$Z$20,1,MATCH(LightingAssumptions[[#This Row],[Min Code LPD 
'[W/sqft']]],LightingAssumptions[[#This Row],[Primary Function Area]:[RCR Threshold]],0))),"")</f>
        <v/>
      </c>
      <c r="AC59" s="154"/>
      <c r="AD59" s="166" t="str">
        <f>IFERROR(IF(LightingAssumptions[[#This Row],[Design LPD 
'[W/sqft']]]="","",1-LightingAssumptions[[#This Row],[Design LPD 
'[W/sqft']]]/LightingAssumptions[[#This Row],[Min Code LPD 
'[W/sqft']]]),"")</f>
        <v/>
      </c>
      <c r="AE59" s="154"/>
      <c r="AF59" s="462"/>
    </row>
    <row r="60" spans="2:32" x14ac:dyDescent="0.25">
      <c r="B60" s="18">
        <v>41</v>
      </c>
      <c r="C60" s="19" t="str">
        <f>IF('Master Room List'!R56="","",'Master Room List'!R56)</f>
        <v/>
      </c>
      <c r="D60" s="19" t="str">
        <f>IF(LightingAssumptions[[#This Row],[SpaceType]]="","-",VLOOKUP(LightingAssumptions[[#This Row],[SpaceType]],MasterRoomList_SpaceTypeSummary[[#All],[SpaceType]:[Number of Spaces]],2,FALSE))</f>
        <v>-</v>
      </c>
      <c r="E60" s="152"/>
      <c r="F60" s="19" t="str">
        <f>IFERROR(VLOOKUP(E60,'Raw Data - Lighting'!$AG$3:$AH$77,2,FALSE),"")</f>
        <v/>
      </c>
      <c r="G60" s="154" t="s">
        <v>214</v>
      </c>
      <c r="H60" s="19" t="str">
        <f>IFERROR(IF(OR(VLOOKUP($E60,'Raw Data - Lighting'!$AG$3:$AJ$76,3,FALSE)=$G60,VLOOKUP($E60,'Raw Data - Lighting'!$AG$3:$AJ$76,4,FALSE)=$G60),VLOOKUP($G60,'Raw Data - Lighting'!$AL$4:$AM$18,2,FALSE),IF($G60="-","","This Qualified Lighting System does not correspond with the Primary Function Area")),"")</f>
        <v/>
      </c>
      <c r="I60" s="154" t="s">
        <v>214</v>
      </c>
      <c r="J60" s="95" t="str">
        <f>IFERROR(IF(OR(VLOOKUP($E60,'Raw Data - Lighting'!$AG$3:$AJ$76,3,FALSE)=$I60,VLOOKUP($E60,'Raw Data - Lighting'!$AG$3:$AJ$76,4,FALSE)=$I60),VLOOKUP($I60,'Raw Data - Lighting'!$AL$4:$AM$18,2,FALSE),IF($I60="-","","This Qualified Lighting System does not correspond with the Primary Function Area")),"")</f>
        <v/>
      </c>
      <c r="K60" s="36" t="str">
        <f>IF(AND(G60="-",I60="-"),LightingAssumptions[[#This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0" s="19"/>
      <c r="M60" s="19" t="str">
        <f>IFERROR(VLOOKUP(LightingAssumptions[[#This Row],[ASHRAE 2007 Space Type]],'Raw Data - Lighting'!$C$4:$E$121,2,FALSE),"")</f>
        <v/>
      </c>
      <c r="N60" s="19" t="str">
        <f>IFERROR(VLOOKUP(LightingAssumptions[[#This Row],[ASHRAE 2007 Space Type]],'Raw Data - Lighting'!$C$4:$E$121,3,FALSE),"")</f>
        <v/>
      </c>
      <c r="O60" s="152"/>
      <c r="P60" s="19" t="str">
        <f>IFERROR(VLOOKUP(LightingAssumptions[[#This Row],[ASHRAE 2010 Space Type]],'Raw Data - Lighting'!$I$4:$K$121,2,FALSE),"")</f>
        <v/>
      </c>
      <c r="Q60" s="36" t="str">
        <f>IFERROR(VLOOKUP(LightingAssumptions[[#This Row],[ASHRAE 2010 Space Type]],'Raw Data - Lighting'!$I$4:$K$121,3,FALSE),"")</f>
        <v/>
      </c>
      <c r="R60" s="152"/>
      <c r="S60" s="19" t="str">
        <f>IFERROR(VLOOKUP(LightingAssumptions[[#This Row],[ASHRAE 2013 Space Type]],'Raw Data - Lighting'!$O$4:$Q$121,2,FALSE),"")</f>
        <v/>
      </c>
      <c r="T60" s="36" t="str">
        <f>IFERROR(VLOOKUP(LightingAssumptions[[#This Row],[ASHRAE 2013 Space Type]],'Raw Data - Lighting'!$O$4:$Q$121,3,FALSE),"")</f>
        <v/>
      </c>
      <c r="U60" s="154"/>
      <c r="V60" s="19" t="str">
        <f>IFERROR(VLOOKUP(LightingAssumptions[[#This Row],[ASHRAE 2016 Space Type]],'Raw Data - Lighting'!$U$4:$W$131,2,FALSE),"")</f>
        <v/>
      </c>
      <c r="W60" s="19" t="str">
        <f>IFERROR(VLOOKUP(LightingAssumptions[[#This Row],[ASHRAE 2016 Space Type]],'Raw Data - Lighting'!$U$4:$W$131,3,FALSE),"")</f>
        <v/>
      </c>
      <c r="X60" s="152"/>
      <c r="Y60" s="19" t="str">
        <f>IFERROR(VLOOKUP(LightingAssumptions[[#This Row],[ASHRAE 2019 Space Type]],'Raw Data - Lighting'!$AA$4:$AC$128,2,FALSE),"")</f>
        <v/>
      </c>
      <c r="Z60" s="36" t="str">
        <f>IFERROR(VLOOKUP(LightingAssumptions[[#This Row],[ASHRAE 2019 Space Type]],'Raw Data - Lighting'!$AA$4:$AC$128,3,FALSE),"")</f>
        <v/>
      </c>
      <c r="AA60"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0" s="95" t="str">
        <f>IFERROR(IF(LightingAssumptions[[#This Row],[Min Code LPD 
'[W/sqft']]]="","",INDEX($E$16:$Z$20,1,MATCH(LightingAssumptions[[#This Row],[Min Code LPD 
'[W/sqft']]],LightingAssumptions[[#This Row],[Primary Function Area]:[RCR Threshold]],0))),"")</f>
        <v/>
      </c>
      <c r="AC60" s="154"/>
      <c r="AD60" s="166" t="str">
        <f>IFERROR(IF(LightingAssumptions[[#This Row],[Design LPD 
'[W/sqft']]]="","",1-LightingAssumptions[[#This Row],[Design LPD 
'[W/sqft']]]/LightingAssumptions[[#This Row],[Min Code LPD 
'[W/sqft']]]),"")</f>
        <v/>
      </c>
      <c r="AE60" s="154"/>
      <c r="AF60" s="462"/>
    </row>
    <row r="61" spans="2:32" x14ac:dyDescent="0.25">
      <c r="B61" s="18">
        <v>42</v>
      </c>
      <c r="C61" s="19" t="str">
        <f>IF('Master Room List'!R57="","",'Master Room List'!R57)</f>
        <v/>
      </c>
      <c r="D61" s="19" t="str">
        <f>IF(LightingAssumptions[[#This Row],[SpaceType]]="","-",VLOOKUP(LightingAssumptions[[#This Row],[SpaceType]],MasterRoomList_SpaceTypeSummary[[#All],[SpaceType]:[Number of Spaces]],2,FALSE))</f>
        <v>-</v>
      </c>
      <c r="E61" s="152"/>
      <c r="F61" s="19" t="str">
        <f>IFERROR(VLOOKUP(E61,'Raw Data - Lighting'!$AG$3:$AH$77,2,FALSE),"")</f>
        <v/>
      </c>
      <c r="G61" s="154" t="s">
        <v>214</v>
      </c>
      <c r="H61" s="19" t="str">
        <f>IFERROR(IF(OR(VLOOKUP($E61,'Raw Data - Lighting'!$AG$3:$AJ$76,3,FALSE)=$G61,VLOOKUP($E61,'Raw Data - Lighting'!$AG$3:$AJ$76,4,FALSE)=$G61),VLOOKUP($G61,'Raw Data - Lighting'!$AL$4:$AM$18,2,FALSE),IF($G61="-","","This Qualified Lighting System does not correspond with the Primary Function Area")),"")</f>
        <v/>
      </c>
      <c r="I61" s="154" t="s">
        <v>214</v>
      </c>
      <c r="J61" s="95" t="str">
        <f>IFERROR(IF(OR(VLOOKUP($E61,'Raw Data - Lighting'!$AG$3:$AJ$76,3,FALSE)=$I61,VLOOKUP($E61,'Raw Data - Lighting'!$AG$3:$AJ$76,4,FALSE)=$I61),VLOOKUP($I61,'Raw Data - Lighting'!$AL$4:$AM$18,2,FALSE),IF($I61="-","","This Qualified Lighting System does not correspond with the Primary Function Area")),"")</f>
        <v/>
      </c>
      <c r="K61" s="36" t="str">
        <f>IF(AND(G61="-",I61="-"),LightingAssumptions[[#This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1" s="19"/>
      <c r="M61" s="19" t="str">
        <f>IFERROR(VLOOKUP(LightingAssumptions[[#This Row],[ASHRAE 2007 Space Type]],'Raw Data - Lighting'!$C$4:$E$121,2,FALSE),"")</f>
        <v/>
      </c>
      <c r="N61" s="19" t="str">
        <f>IFERROR(VLOOKUP(LightingAssumptions[[#This Row],[ASHRAE 2007 Space Type]],'Raw Data - Lighting'!$C$4:$E$121,3,FALSE),"")</f>
        <v/>
      </c>
      <c r="O61" s="152"/>
      <c r="P61" s="19" t="str">
        <f>IFERROR(VLOOKUP(LightingAssumptions[[#This Row],[ASHRAE 2010 Space Type]],'Raw Data - Lighting'!$I$4:$K$121,2,FALSE),"")</f>
        <v/>
      </c>
      <c r="Q61" s="36" t="str">
        <f>IFERROR(VLOOKUP(LightingAssumptions[[#This Row],[ASHRAE 2010 Space Type]],'Raw Data - Lighting'!$I$4:$K$121,3,FALSE),"")</f>
        <v/>
      </c>
      <c r="R61" s="152"/>
      <c r="S61" s="19" t="str">
        <f>IFERROR(VLOOKUP(LightingAssumptions[[#This Row],[ASHRAE 2013 Space Type]],'Raw Data - Lighting'!$O$4:$Q$121,2,FALSE),"")</f>
        <v/>
      </c>
      <c r="T61" s="36" t="str">
        <f>IFERROR(VLOOKUP(LightingAssumptions[[#This Row],[ASHRAE 2013 Space Type]],'Raw Data - Lighting'!$O$4:$Q$121,3,FALSE),"")</f>
        <v/>
      </c>
      <c r="U61" s="154"/>
      <c r="V61" s="19" t="str">
        <f>IFERROR(VLOOKUP(LightingAssumptions[[#This Row],[ASHRAE 2016 Space Type]],'Raw Data - Lighting'!$U$4:$W$131,2,FALSE),"")</f>
        <v/>
      </c>
      <c r="W61" s="19" t="str">
        <f>IFERROR(VLOOKUP(LightingAssumptions[[#This Row],[ASHRAE 2016 Space Type]],'Raw Data - Lighting'!$U$4:$W$131,3,FALSE),"")</f>
        <v/>
      </c>
      <c r="X61" s="152"/>
      <c r="Y61" s="19" t="str">
        <f>IFERROR(VLOOKUP(LightingAssumptions[[#This Row],[ASHRAE 2019 Space Type]],'Raw Data - Lighting'!$AA$4:$AC$128,2,FALSE),"")</f>
        <v/>
      </c>
      <c r="Z61" s="36" t="str">
        <f>IFERROR(VLOOKUP(LightingAssumptions[[#This Row],[ASHRAE 2019 Space Type]],'Raw Data - Lighting'!$AA$4:$AC$128,3,FALSE),"")</f>
        <v/>
      </c>
      <c r="AA61"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1" s="95" t="str">
        <f>IFERROR(IF(LightingAssumptions[[#This Row],[Min Code LPD 
'[W/sqft']]]="","",INDEX($E$16:$Z$20,1,MATCH(LightingAssumptions[[#This Row],[Min Code LPD 
'[W/sqft']]],LightingAssumptions[[#This Row],[Primary Function Area]:[RCR Threshold]],0))),"")</f>
        <v/>
      </c>
      <c r="AC61" s="154"/>
      <c r="AD61" s="166" t="str">
        <f>IFERROR(IF(LightingAssumptions[[#This Row],[Design LPD 
'[W/sqft']]]="","",1-LightingAssumptions[[#This Row],[Design LPD 
'[W/sqft']]]/LightingAssumptions[[#This Row],[Min Code LPD 
'[W/sqft']]]),"")</f>
        <v/>
      </c>
      <c r="AE61" s="154"/>
      <c r="AF61" s="462"/>
    </row>
    <row r="62" spans="2:32" x14ac:dyDescent="0.25">
      <c r="B62" s="18">
        <v>43</v>
      </c>
      <c r="C62" s="19" t="str">
        <f>IF('Master Room List'!R58="","",'Master Room List'!R58)</f>
        <v/>
      </c>
      <c r="D62" s="19" t="str">
        <f>IF(LightingAssumptions[[#This Row],[SpaceType]]="","-",VLOOKUP(LightingAssumptions[[#This Row],[SpaceType]],MasterRoomList_SpaceTypeSummary[[#All],[SpaceType]:[Number of Spaces]],2,FALSE))</f>
        <v>-</v>
      </c>
      <c r="E62" s="152"/>
      <c r="F62" s="19" t="str">
        <f>IFERROR(VLOOKUP(E62,'Raw Data - Lighting'!$AG$3:$AH$77,2,FALSE),"")</f>
        <v/>
      </c>
      <c r="G62" s="154" t="s">
        <v>214</v>
      </c>
      <c r="H62" s="19" t="str">
        <f>IFERROR(IF(OR(VLOOKUP($E62,'Raw Data - Lighting'!$AG$3:$AJ$76,3,FALSE)=$G62,VLOOKUP($E62,'Raw Data - Lighting'!$AG$3:$AJ$76,4,FALSE)=$G62),VLOOKUP($G62,'Raw Data - Lighting'!$AL$4:$AM$18,2,FALSE),IF($G62="-","","This Qualified Lighting System does not correspond with the Primary Function Area")),"")</f>
        <v/>
      </c>
      <c r="I62" s="154" t="s">
        <v>214</v>
      </c>
      <c r="J62" s="95" t="str">
        <f>IFERROR(IF(OR(VLOOKUP($E62,'Raw Data - Lighting'!$AG$3:$AJ$76,3,FALSE)=$I62,VLOOKUP($E62,'Raw Data - Lighting'!$AG$3:$AJ$76,4,FALSE)=$I62),VLOOKUP($I62,'Raw Data - Lighting'!$AL$4:$AM$18,2,FALSE),IF($I62="-","","This Qualified Lighting System does not correspond with the Primary Function Area")),"")</f>
        <v/>
      </c>
      <c r="K62" s="36" t="str">
        <f>IF(AND(G62="-",I62="-"),LightingAssumptions[[#This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2" s="19"/>
      <c r="M62" s="19" t="str">
        <f>IFERROR(VLOOKUP(LightingAssumptions[[#This Row],[ASHRAE 2007 Space Type]],'Raw Data - Lighting'!$C$4:$E$121,2,FALSE),"")</f>
        <v/>
      </c>
      <c r="N62" s="19" t="str">
        <f>IFERROR(VLOOKUP(LightingAssumptions[[#This Row],[ASHRAE 2007 Space Type]],'Raw Data - Lighting'!$C$4:$E$121,3,FALSE),"")</f>
        <v/>
      </c>
      <c r="O62" s="152"/>
      <c r="P62" s="19" t="str">
        <f>IFERROR(VLOOKUP(LightingAssumptions[[#This Row],[ASHRAE 2010 Space Type]],'Raw Data - Lighting'!$I$4:$K$121,2,FALSE),"")</f>
        <v/>
      </c>
      <c r="Q62" s="36" t="str">
        <f>IFERROR(VLOOKUP(LightingAssumptions[[#This Row],[ASHRAE 2010 Space Type]],'Raw Data - Lighting'!$I$4:$K$121,3,FALSE),"")</f>
        <v/>
      </c>
      <c r="R62" s="152"/>
      <c r="S62" s="19" t="str">
        <f>IFERROR(VLOOKUP(LightingAssumptions[[#This Row],[ASHRAE 2013 Space Type]],'Raw Data - Lighting'!$O$4:$Q$121,2,FALSE),"")</f>
        <v/>
      </c>
      <c r="T62" s="36" t="str">
        <f>IFERROR(VLOOKUP(LightingAssumptions[[#This Row],[ASHRAE 2013 Space Type]],'Raw Data - Lighting'!$O$4:$Q$121,3,FALSE),"")</f>
        <v/>
      </c>
      <c r="U62" s="154"/>
      <c r="V62" s="19" t="str">
        <f>IFERROR(VLOOKUP(LightingAssumptions[[#This Row],[ASHRAE 2016 Space Type]],'Raw Data - Lighting'!$U$4:$W$131,2,FALSE),"")</f>
        <v/>
      </c>
      <c r="W62" s="19" t="str">
        <f>IFERROR(VLOOKUP(LightingAssumptions[[#This Row],[ASHRAE 2016 Space Type]],'Raw Data - Lighting'!$U$4:$W$131,3,FALSE),"")</f>
        <v/>
      </c>
      <c r="X62" s="152"/>
      <c r="Y62" s="19" t="str">
        <f>IFERROR(VLOOKUP(LightingAssumptions[[#This Row],[ASHRAE 2019 Space Type]],'Raw Data - Lighting'!$AA$4:$AC$128,2,FALSE),"")</f>
        <v/>
      </c>
      <c r="Z62" s="36" t="str">
        <f>IFERROR(VLOOKUP(LightingAssumptions[[#This Row],[ASHRAE 2019 Space Type]],'Raw Data - Lighting'!$AA$4:$AC$128,3,FALSE),"")</f>
        <v/>
      </c>
      <c r="AA62"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2" s="95" t="str">
        <f>IFERROR(IF(LightingAssumptions[[#This Row],[Min Code LPD 
'[W/sqft']]]="","",INDEX($E$16:$Z$20,1,MATCH(LightingAssumptions[[#This Row],[Min Code LPD 
'[W/sqft']]],LightingAssumptions[[#This Row],[Primary Function Area]:[RCR Threshold]],0))),"")</f>
        <v/>
      </c>
      <c r="AC62" s="154"/>
      <c r="AD62" s="166" t="str">
        <f>IFERROR(IF(LightingAssumptions[[#This Row],[Design LPD 
'[W/sqft']]]="","",1-LightingAssumptions[[#This Row],[Design LPD 
'[W/sqft']]]/LightingAssumptions[[#This Row],[Min Code LPD 
'[W/sqft']]]),"")</f>
        <v/>
      </c>
      <c r="AE62" s="154"/>
      <c r="AF62" s="462"/>
    </row>
    <row r="63" spans="2:32" x14ac:dyDescent="0.25">
      <c r="B63" s="18">
        <v>44</v>
      </c>
      <c r="C63" s="19" t="str">
        <f>IF('Master Room List'!R59="","",'Master Room List'!R59)</f>
        <v/>
      </c>
      <c r="D63" s="19" t="str">
        <f>IF(LightingAssumptions[[#This Row],[SpaceType]]="","-",VLOOKUP(LightingAssumptions[[#This Row],[SpaceType]],MasterRoomList_SpaceTypeSummary[[#All],[SpaceType]:[Number of Spaces]],2,FALSE))</f>
        <v>-</v>
      </c>
      <c r="E63" s="152"/>
      <c r="F63" s="19" t="str">
        <f>IFERROR(VLOOKUP(E63,'Raw Data - Lighting'!$AG$3:$AH$77,2,FALSE),"")</f>
        <v/>
      </c>
      <c r="G63" s="154" t="s">
        <v>214</v>
      </c>
      <c r="H63" s="19" t="str">
        <f>IFERROR(IF(OR(VLOOKUP($E63,'Raw Data - Lighting'!$AG$3:$AJ$76,3,FALSE)=$G63,VLOOKUP($E63,'Raw Data - Lighting'!$AG$3:$AJ$76,4,FALSE)=$G63),VLOOKUP($G63,'Raw Data - Lighting'!$AL$4:$AM$18,2,FALSE),IF($G63="-","","This Qualified Lighting System does not correspond with the Primary Function Area")),"")</f>
        <v/>
      </c>
      <c r="I63" s="154" t="s">
        <v>214</v>
      </c>
      <c r="J63" s="95" t="str">
        <f>IFERROR(IF(OR(VLOOKUP($E63,'Raw Data - Lighting'!$AG$3:$AJ$76,3,FALSE)=$I63,VLOOKUP($E63,'Raw Data - Lighting'!$AG$3:$AJ$76,4,FALSE)=$I63),VLOOKUP($I63,'Raw Data - Lighting'!$AL$4:$AM$18,2,FALSE),IF($I63="-","","This Qualified Lighting System does not correspond with the Primary Function Area")),"")</f>
        <v/>
      </c>
      <c r="K63" s="36" t="str">
        <f>IF(AND(G63="-",I63="-"),LightingAssumptions[[#This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3" s="19"/>
      <c r="M63" s="19" t="str">
        <f>IFERROR(VLOOKUP(LightingAssumptions[[#This Row],[ASHRAE 2007 Space Type]],'Raw Data - Lighting'!$C$4:$E$121,2,FALSE),"")</f>
        <v/>
      </c>
      <c r="N63" s="19" t="str">
        <f>IFERROR(VLOOKUP(LightingAssumptions[[#This Row],[ASHRAE 2007 Space Type]],'Raw Data - Lighting'!$C$4:$E$121,3,FALSE),"")</f>
        <v/>
      </c>
      <c r="O63" s="152"/>
      <c r="P63" s="19" t="str">
        <f>IFERROR(VLOOKUP(LightingAssumptions[[#This Row],[ASHRAE 2010 Space Type]],'Raw Data - Lighting'!$I$4:$K$121,2,FALSE),"")</f>
        <v/>
      </c>
      <c r="Q63" s="36" t="str">
        <f>IFERROR(VLOOKUP(LightingAssumptions[[#This Row],[ASHRAE 2010 Space Type]],'Raw Data - Lighting'!$I$4:$K$121,3,FALSE),"")</f>
        <v/>
      </c>
      <c r="R63" s="152"/>
      <c r="S63" s="19" t="str">
        <f>IFERROR(VLOOKUP(LightingAssumptions[[#This Row],[ASHRAE 2013 Space Type]],'Raw Data - Lighting'!$O$4:$Q$121,2,FALSE),"")</f>
        <v/>
      </c>
      <c r="T63" s="36" t="str">
        <f>IFERROR(VLOOKUP(LightingAssumptions[[#This Row],[ASHRAE 2013 Space Type]],'Raw Data - Lighting'!$O$4:$Q$121,3,FALSE),"")</f>
        <v/>
      </c>
      <c r="U63" s="154"/>
      <c r="V63" s="19" t="str">
        <f>IFERROR(VLOOKUP(LightingAssumptions[[#This Row],[ASHRAE 2016 Space Type]],'Raw Data - Lighting'!$U$4:$W$131,2,FALSE),"")</f>
        <v/>
      </c>
      <c r="W63" s="19" t="str">
        <f>IFERROR(VLOOKUP(LightingAssumptions[[#This Row],[ASHRAE 2016 Space Type]],'Raw Data - Lighting'!$U$4:$W$131,3,FALSE),"")</f>
        <v/>
      </c>
      <c r="X63" s="152"/>
      <c r="Y63" s="19" t="str">
        <f>IFERROR(VLOOKUP(LightingAssumptions[[#This Row],[ASHRAE 2019 Space Type]],'Raw Data - Lighting'!$AA$4:$AC$128,2,FALSE),"")</f>
        <v/>
      </c>
      <c r="Z63" s="36" t="str">
        <f>IFERROR(VLOOKUP(LightingAssumptions[[#This Row],[ASHRAE 2019 Space Type]],'Raw Data - Lighting'!$AA$4:$AC$128,3,FALSE),"")</f>
        <v/>
      </c>
      <c r="AA63"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3" s="95" t="str">
        <f>IFERROR(IF(LightingAssumptions[[#This Row],[Min Code LPD 
'[W/sqft']]]="","",INDEX($E$16:$Z$20,1,MATCH(LightingAssumptions[[#This Row],[Min Code LPD 
'[W/sqft']]],LightingAssumptions[[#This Row],[Primary Function Area]:[RCR Threshold]],0))),"")</f>
        <v/>
      </c>
      <c r="AC63" s="154"/>
      <c r="AD63" s="166" t="str">
        <f>IFERROR(IF(LightingAssumptions[[#This Row],[Design LPD 
'[W/sqft']]]="","",1-LightingAssumptions[[#This Row],[Design LPD 
'[W/sqft']]]/LightingAssumptions[[#This Row],[Min Code LPD 
'[W/sqft']]]),"")</f>
        <v/>
      </c>
      <c r="AE63" s="154"/>
      <c r="AF63" s="462"/>
    </row>
    <row r="64" spans="2:32" x14ac:dyDescent="0.25">
      <c r="B64" s="18">
        <v>45</v>
      </c>
      <c r="C64" s="19" t="str">
        <f>IF('Master Room List'!R60="","",'Master Room List'!R60)</f>
        <v/>
      </c>
      <c r="D64" s="19" t="str">
        <f>IF(LightingAssumptions[[#This Row],[SpaceType]]="","-",VLOOKUP(LightingAssumptions[[#This Row],[SpaceType]],MasterRoomList_SpaceTypeSummary[[#All],[SpaceType]:[Number of Spaces]],2,FALSE))</f>
        <v>-</v>
      </c>
      <c r="E64" s="152"/>
      <c r="F64" s="19" t="str">
        <f>IFERROR(VLOOKUP(E64,'Raw Data - Lighting'!$AG$3:$AH$77,2,FALSE),"")</f>
        <v/>
      </c>
      <c r="G64" s="154" t="s">
        <v>214</v>
      </c>
      <c r="H64" s="19" t="str">
        <f>IFERROR(IF(OR(VLOOKUP($E64,'Raw Data - Lighting'!$AG$3:$AJ$76,3,FALSE)=$G64,VLOOKUP($E64,'Raw Data - Lighting'!$AG$3:$AJ$76,4,FALSE)=$G64),VLOOKUP($G64,'Raw Data - Lighting'!$AL$4:$AM$18,2,FALSE),IF($G64="-","","This Qualified Lighting System does not correspond with the Primary Function Area")),"")</f>
        <v/>
      </c>
      <c r="I64" s="154" t="s">
        <v>214</v>
      </c>
      <c r="J64" s="95" t="str">
        <f>IFERROR(IF(OR(VLOOKUP($E64,'Raw Data - Lighting'!$AG$3:$AJ$76,3,FALSE)=$I64,VLOOKUP($E64,'Raw Data - Lighting'!$AG$3:$AJ$76,4,FALSE)=$I64),VLOOKUP($I64,'Raw Data - Lighting'!$AL$4:$AM$18,2,FALSE),IF($I64="-","","This Qualified Lighting System does not correspond with the Primary Function Area")),"")</f>
        <v/>
      </c>
      <c r="K64" s="36" t="str">
        <f>IF(AND(G64="-",I64="-"),LightingAssumptions[[#This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4" s="19"/>
      <c r="M64" s="19" t="str">
        <f>IFERROR(VLOOKUP(LightingAssumptions[[#This Row],[ASHRAE 2007 Space Type]],'Raw Data - Lighting'!$C$4:$E$121,2,FALSE),"")</f>
        <v/>
      </c>
      <c r="N64" s="19" t="str">
        <f>IFERROR(VLOOKUP(LightingAssumptions[[#This Row],[ASHRAE 2007 Space Type]],'Raw Data - Lighting'!$C$4:$E$121,3,FALSE),"")</f>
        <v/>
      </c>
      <c r="O64" s="152"/>
      <c r="P64" s="19" t="str">
        <f>IFERROR(VLOOKUP(LightingAssumptions[[#This Row],[ASHRAE 2010 Space Type]],'Raw Data - Lighting'!$I$4:$K$121,2,FALSE),"")</f>
        <v/>
      </c>
      <c r="Q64" s="36" t="str">
        <f>IFERROR(VLOOKUP(LightingAssumptions[[#This Row],[ASHRAE 2010 Space Type]],'Raw Data - Lighting'!$I$4:$K$121,3,FALSE),"")</f>
        <v/>
      </c>
      <c r="R64" s="152"/>
      <c r="S64" s="19" t="str">
        <f>IFERROR(VLOOKUP(LightingAssumptions[[#This Row],[ASHRAE 2013 Space Type]],'Raw Data - Lighting'!$O$4:$Q$121,2,FALSE),"")</f>
        <v/>
      </c>
      <c r="T64" s="36" t="str">
        <f>IFERROR(VLOOKUP(LightingAssumptions[[#This Row],[ASHRAE 2013 Space Type]],'Raw Data - Lighting'!$O$4:$Q$121,3,FALSE),"")</f>
        <v/>
      </c>
      <c r="U64" s="154"/>
      <c r="V64" s="19" t="str">
        <f>IFERROR(VLOOKUP(LightingAssumptions[[#This Row],[ASHRAE 2016 Space Type]],'Raw Data - Lighting'!$U$4:$W$131,2,FALSE),"")</f>
        <v/>
      </c>
      <c r="W64" s="19" t="str">
        <f>IFERROR(VLOOKUP(LightingAssumptions[[#This Row],[ASHRAE 2016 Space Type]],'Raw Data - Lighting'!$U$4:$W$131,3,FALSE),"")</f>
        <v/>
      </c>
      <c r="X64" s="152"/>
      <c r="Y64" s="19" t="str">
        <f>IFERROR(VLOOKUP(LightingAssumptions[[#This Row],[ASHRAE 2019 Space Type]],'Raw Data - Lighting'!$AA$4:$AC$128,2,FALSE),"")</f>
        <v/>
      </c>
      <c r="Z64" s="36" t="str">
        <f>IFERROR(VLOOKUP(LightingAssumptions[[#This Row],[ASHRAE 2019 Space Type]],'Raw Data - Lighting'!$AA$4:$AC$128,3,FALSE),"")</f>
        <v/>
      </c>
      <c r="AA64"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4" s="95" t="str">
        <f>IFERROR(IF(LightingAssumptions[[#This Row],[Min Code LPD 
'[W/sqft']]]="","",INDEX($E$16:$Z$20,1,MATCH(LightingAssumptions[[#This Row],[Min Code LPD 
'[W/sqft']]],LightingAssumptions[[#This Row],[Primary Function Area]:[RCR Threshold]],0))),"")</f>
        <v/>
      </c>
      <c r="AC64" s="154"/>
      <c r="AD64" s="166" t="str">
        <f>IFERROR(IF(LightingAssumptions[[#This Row],[Design LPD 
'[W/sqft']]]="","",1-LightingAssumptions[[#This Row],[Design LPD 
'[W/sqft']]]/LightingAssumptions[[#This Row],[Min Code LPD 
'[W/sqft']]]),"")</f>
        <v/>
      </c>
      <c r="AE64" s="154"/>
      <c r="AF64" s="462"/>
    </row>
    <row r="65" spans="2:32" x14ac:dyDescent="0.25">
      <c r="B65" s="18">
        <v>46</v>
      </c>
      <c r="C65" s="19" t="str">
        <f>IF('Master Room List'!R61="","",'Master Room List'!R61)</f>
        <v/>
      </c>
      <c r="D65" s="19" t="str">
        <f>IF(LightingAssumptions[[#This Row],[SpaceType]]="","-",VLOOKUP(LightingAssumptions[[#This Row],[SpaceType]],MasterRoomList_SpaceTypeSummary[[#All],[SpaceType]:[Number of Spaces]],2,FALSE))</f>
        <v>-</v>
      </c>
      <c r="E65" s="152"/>
      <c r="F65" s="19" t="str">
        <f>IFERROR(VLOOKUP(E65,'Raw Data - Lighting'!$AG$3:$AH$77,2,FALSE),"")</f>
        <v/>
      </c>
      <c r="G65" s="154" t="s">
        <v>214</v>
      </c>
      <c r="H65" s="19" t="str">
        <f>IFERROR(IF(OR(VLOOKUP($E65,'Raw Data - Lighting'!$AG$3:$AJ$76,3,FALSE)=$G65,VLOOKUP($E65,'Raw Data - Lighting'!$AG$3:$AJ$76,4,FALSE)=$G65),VLOOKUP($G65,'Raw Data - Lighting'!$AL$4:$AM$18,2,FALSE),IF($G65="-","","This Qualified Lighting System does not correspond with the Primary Function Area")),"")</f>
        <v/>
      </c>
      <c r="I65" s="154" t="s">
        <v>214</v>
      </c>
      <c r="J65" s="95" t="str">
        <f>IFERROR(IF(OR(VLOOKUP($E65,'Raw Data - Lighting'!$AG$3:$AJ$76,3,FALSE)=$I65,VLOOKUP($E65,'Raw Data - Lighting'!$AG$3:$AJ$76,4,FALSE)=$I65),VLOOKUP($I65,'Raw Data - Lighting'!$AL$4:$AM$18,2,FALSE),IF($I65="-","","This Qualified Lighting System does not correspond with the Primary Function Area")),"")</f>
        <v/>
      </c>
      <c r="K65" s="36" t="str">
        <f>IF(AND(G65="-",I65="-"),LightingAssumptions[[#This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5" s="19"/>
      <c r="M65" s="19" t="str">
        <f>IFERROR(VLOOKUP(LightingAssumptions[[#This Row],[ASHRAE 2007 Space Type]],'Raw Data - Lighting'!$C$4:$E$121,2,FALSE),"")</f>
        <v/>
      </c>
      <c r="N65" s="19" t="str">
        <f>IFERROR(VLOOKUP(LightingAssumptions[[#This Row],[ASHRAE 2007 Space Type]],'Raw Data - Lighting'!$C$4:$E$121,3,FALSE),"")</f>
        <v/>
      </c>
      <c r="O65" s="152"/>
      <c r="P65" s="19" t="str">
        <f>IFERROR(VLOOKUP(LightingAssumptions[[#This Row],[ASHRAE 2010 Space Type]],'Raw Data - Lighting'!$I$4:$K$121,2,FALSE),"")</f>
        <v/>
      </c>
      <c r="Q65" s="36" t="str">
        <f>IFERROR(VLOOKUP(LightingAssumptions[[#This Row],[ASHRAE 2010 Space Type]],'Raw Data - Lighting'!$I$4:$K$121,3,FALSE),"")</f>
        <v/>
      </c>
      <c r="R65" s="152"/>
      <c r="S65" s="19" t="str">
        <f>IFERROR(VLOOKUP(LightingAssumptions[[#This Row],[ASHRAE 2013 Space Type]],'Raw Data - Lighting'!$O$4:$Q$121,2,FALSE),"")</f>
        <v/>
      </c>
      <c r="T65" s="36" t="str">
        <f>IFERROR(VLOOKUP(LightingAssumptions[[#This Row],[ASHRAE 2013 Space Type]],'Raw Data - Lighting'!$O$4:$Q$121,3,FALSE),"")</f>
        <v/>
      </c>
      <c r="U65" s="154"/>
      <c r="V65" s="19" t="str">
        <f>IFERROR(VLOOKUP(LightingAssumptions[[#This Row],[ASHRAE 2016 Space Type]],'Raw Data - Lighting'!$U$4:$W$131,2,FALSE),"")</f>
        <v/>
      </c>
      <c r="W65" s="19" t="str">
        <f>IFERROR(VLOOKUP(LightingAssumptions[[#This Row],[ASHRAE 2016 Space Type]],'Raw Data - Lighting'!$U$4:$W$131,3,FALSE),"")</f>
        <v/>
      </c>
      <c r="X65" s="152"/>
      <c r="Y65" s="19" t="str">
        <f>IFERROR(VLOOKUP(LightingAssumptions[[#This Row],[ASHRAE 2019 Space Type]],'Raw Data - Lighting'!$AA$4:$AC$128,2,FALSE),"")</f>
        <v/>
      </c>
      <c r="Z65" s="36" t="str">
        <f>IFERROR(VLOOKUP(LightingAssumptions[[#This Row],[ASHRAE 2019 Space Type]],'Raw Data - Lighting'!$AA$4:$AC$128,3,FALSE),"")</f>
        <v/>
      </c>
      <c r="AA65"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5" s="95" t="str">
        <f>IFERROR(IF(LightingAssumptions[[#This Row],[Min Code LPD 
'[W/sqft']]]="","",INDEX($E$16:$Z$20,1,MATCH(LightingAssumptions[[#This Row],[Min Code LPD 
'[W/sqft']]],LightingAssumptions[[#This Row],[Primary Function Area]:[RCR Threshold]],0))),"")</f>
        <v/>
      </c>
      <c r="AC65" s="154"/>
      <c r="AD65" s="166" t="str">
        <f>IFERROR(IF(LightingAssumptions[[#This Row],[Design LPD 
'[W/sqft']]]="","",1-LightingAssumptions[[#This Row],[Design LPD 
'[W/sqft']]]/LightingAssumptions[[#This Row],[Min Code LPD 
'[W/sqft']]]),"")</f>
        <v/>
      </c>
      <c r="AE65" s="154"/>
      <c r="AF65" s="462"/>
    </row>
    <row r="66" spans="2:32" x14ac:dyDescent="0.25">
      <c r="B66" s="18">
        <v>47</v>
      </c>
      <c r="C66" s="19" t="str">
        <f>IF('Master Room List'!R62="","",'Master Room List'!R62)</f>
        <v/>
      </c>
      <c r="D66" s="19" t="str">
        <f>IF(LightingAssumptions[[#This Row],[SpaceType]]="","-",VLOOKUP(LightingAssumptions[[#This Row],[SpaceType]],MasterRoomList_SpaceTypeSummary[[#All],[SpaceType]:[Number of Spaces]],2,FALSE))</f>
        <v>-</v>
      </c>
      <c r="E66" s="152"/>
      <c r="F66" s="19" t="str">
        <f>IFERROR(VLOOKUP(E66,'Raw Data - Lighting'!$AG$3:$AH$77,2,FALSE),"")</f>
        <v/>
      </c>
      <c r="G66" s="154" t="s">
        <v>214</v>
      </c>
      <c r="H66" s="19" t="str">
        <f>IFERROR(IF(OR(VLOOKUP($E66,'Raw Data - Lighting'!$AG$3:$AJ$76,3,FALSE)=$G66,VLOOKUP($E66,'Raw Data - Lighting'!$AG$3:$AJ$76,4,FALSE)=$G66),VLOOKUP($G66,'Raw Data - Lighting'!$AL$4:$AM$18,2,FALSE),IF($G66="-","","This Qualified Lighting System does not correspond with the Primary Function Area")),"")</f>
        <v/>
      </c>
      <c r="I66" s="154" t="s">
        <v>214</v>
      </c>
      <c r="J66" s="95" t="str">
        <f>IFERROR(IF(OR(VLOOKUP($E66,'Raw Data - Lighting'!$AG$3:$AJ$76,3,FALSE)=$I66,VLOOKUP($E66,'Raw Data - Lighting'!$AG$3:$AJ$76,4,FALSE)=$I66),VLOOKUP($I66,'Raw Data - Lighting'!$AL$4:$AM$18,2,FALSE),IF($I66="-","","This Qualified Lighting System does not correspond with the Primary Function Area")),"")</f>
        <v/>
      </c>
      <c r="K66" s="36" t="str">
        <f>IF(AND(G66="-",I66="-"),LightingAssumptions[[#This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6" s="19"/>
      <c r="M66" s="19" t="str">
        <f>IFERROR(VLOOKUP(LightingAssumptions[[#This Row],[ASHRAE 2007 Space Type]],'Raw Data - Lighting'!$C$4:$E$121,2,FALSE),"")</f>
        <v/>
      </c>
      <c r="N66" s="19" t="str">
        <f>IFERROR(VLOOKUP(LightingAssumptions[[#This Row],[ASHRAE 2007 Space Type]],'Raw Data - Lighting'!$C$4:$E$121,3,FALSE),"")</f>
        <v/>
      </c>
      <c r="O66" s="152"/>
      <c r="P66" s="19" t="str">
        <f>IFERROR(VLOOKUP(LightingAssumptions[[#This Row],[ASHRAE 2010 Space Type]],'Raw Data - Lighting'!$I$4:$K$121,2,FALSE),"")</f>
        <v/>
      </c>
      <c r="Q66" s="36" t="str">
        <f>IFERROR(VLOOKUP(LightingAssumptions[[#This Row],[ASHRAE 2010 Space Type]],'Raw Data - Lighting'!$I$4:$K$121,3,FALSE),"")</f>
        <v/>
      </c>
      <c r="R66" s="152"/>
      <c r="S66" s="19" t="str">
        <f>IFERROR(VLOOKUP(LightingAssumptions[[#This Row],[ASHRAE 2013 Space Type]],'Raw Data - Lighting'!$O$4:$Q$121,2,FALSE),"")</f>
        <v/>
      </c>
      <c r="T66" s="36" t="str">
        <f>IFERROR(VLOOKUP(LightingAssumptions[[#This Row],[ASHRAE 2013 Space Type]],'Raw Data - Lighting'!$O$4:$Q$121,3,FALSE),"")</f>
        <v/>
      </c>
      <c r="U66" s="154"/>
      <c r="V66" s="19" t="str">
        <f>IFERROR(VLOOKUP(LightingAssumptions[[#This Row],[ASHRAE 2016 Space Type]],'Raw Data - Lighting'!$U$4:$W$131,2,FALSE),"")</f>
        <v/>
      </c>
      <c r="W66" s="19" t="str">
        <f>IFERROR(VLOOKUP(LightingAssumptions[[#This Row],[ASHRAE 2016 Space Type]],'Raw Data - Lighting'!$U$4:$W$131,3,FALSE),"")</f>
        <v/>
      </c>
      <c r="X66" s="152"/>
      <c r="Y66" s="19" t="str">
        <f>IFERROR(VLOOKUP(LightingAssumptions[[#This Row],[ASHRAE 2019 Space Type]],'Raw Data - Lighting'!$AA$4:$AC$128,2,FALSE),"")</f>
        <v/>
      </c>
      <c r="Z66" s="36" t="str">
        <f>IFERROR(VLOOKUP(LightingAssumptions[[#This Row],[ASHRAE 2019 Space Type]],'Raw Data - Lighting'!$AA$4:$AC$128,3,FALSE),"")</f>
        <v/>
      </c>
      <c r="AA66"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6" s="95" t="str">
        <f>IFERROR(IF(LightingAssumptions[[#This Row],[Min Code LPD 
'[W/sqft']]]="","",INDEX($E$16:$Z$20,1,MATCH(LightingAssumptions[[#This Row],[Min Code LPD 
'[W/sqft']]],LightingAssumptions[[#This Row],[Primary Function Area]:[RCR Threshold]],0))),"")</f>
        <v/>
      </c>
      <c r="AC66" s="154"/>
      <c r="AD66" s="166" t="str">
        <f>IFERROR(IF(LightingAssumptions[[#This Row],[Design LPD 
'[W/sqft']]]="","",1-LightingAssumptions[[#This Row],[Design LPD 
'[W/sqft']]]/LightingAssumptions[[#This Row],[Min Code LPD 
'[W/sqft']]]),"")</f>
        <v/>
      </c>
      <c r="AE66" s="154"/>
      <c r="AF66" s="462"/>
    </row>
    <row r="67" spans="2:32" x14ac:dyDescent="0.25">
      <c r="B67" s="18">
        <v>48</v>
      </c>
      <c r="C67" s="19" t="str">
        <f>IF('Master Room List'!R63="","",'Master Room List'!R63)</f>
        <v/>
      </c>
      <c r="D67" s="19" t="str">
        <f>IF(LightingAssumptions[[#This Row],[SpaceType]]="","-",VLOOKUP(LightingAssumptions[[#This Row],[SpaceType]],MasterRoomList_SpaceTypeSummary[[#All],[SpaceType]:[Number of Spaces]],2,FALSE))</f>
        <v>-</v>
      </c>
      <c r="E67" s="152"/>
      <c r="F67" s="19" t="str">
        <f>IFERROR(VLOOKUP(E67,'Raw Data - Lighting'!$AG$3:$AH$77,2,FALSE),"")</f>
        <v/>
      </c>
      <c r="G67" s="154" t="s">
        <v>214</v>
      </c>
      <c r="H67" s="19" t="str">
        <f>IFERROR(IF(OR(VLOOKUP($E67,'Raw Data - Lighting'!$AG$3:$AJ$76,3,FALSE)=$G67,VLOOKUP($E67,'Raw Data - Lighting'!$AG$3:$AJ$76,4,FALSE)=$G67),VLOOKUP($G67,'Raw Data - Lighting'!$AL$4:$AM$18,2,FALSE),IF($G67="-","","This Qualified Lighting System does not correspond with the Primary Function Area")),"")</f>
        <v/>
      </c>
      <c r="I67" s="154" t="s">
        <v>214</v>
      </c>
      <c r="J67" s="95" t="str">
        <f>IFERROR(IF(OR(VLOOKUP($E67,'Raw Data - Lighting'!$AG$3:$AJ$76,3,FALSE)=$I67,VLOOKUP($E67,'Raw Data - Lighting'!$AG$3:$AJ$76,4,FALSE)=$I67),VLOOKUP($I67,'Raw Data - Lighting'!$AL$4:$AM$18,2,FALSE),IF($I67="-","","This Qualified Lighting System does not correspond with the Primary Function Area")),"")</f>
        <v/>
      </c>
      <c r="K67" s="36" t="str">
        <f>IF(AND(G67="-",I67="-"),LightingAssumptions[[#This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7" s="19"/>
      <c r="M67" s="19" t="str">
        <f>IFERROR(VLOOKUP(LightingAssumptions[[#This Row],[ASHRAE 2007 Space Type]],'Raw Data - Lighting'!$C$4:$E$121,2,FALSE),"")</f>
        <v/>
      </c>
      <c r="N67" s="19" t="str">
        <f>IFERROR(VLOOKUP(LightingAssumptions[[#This Row],[ASHRAE 2007 Space Type]],'Raw Data - Lighting'!$C$4:$E$121,3,FALSE),"")</f>
        <v/>
      </c>
      <c r="O67" s="152"/>
      <c r="P67" s="19" t="str">
        <f>IFERROR(VLOOKUP(LightingAssumptions[[#This Row],[ASHRAE 2010 Space Type]],'Raw Data - Lighting'!$I$4:$K$121,2,FALSE),"")</f>
        <v/>
      </c>
      <c r="Q67" s="36" t="str">
        <f>IFERROR(VLOOKUP(LightingAssumptions[[#This Row],[ASHRAE 2010 Space Type]],'Raw Data - Lighting'!$I$4:$K$121,3,FALSE),"")</f>
        <v/>
      </c>
      <c r="R67" s="152"/>
      <c r="S67" s="19" t="str">
        <f>IFERROR(VLOOKUP(LightingAssumptions[[#This Row],[ASHRAE 2013 Space Type]],'Raw Data - Lighting'!$O$4:$Q$121,2,FALSE),"")</f>
        <v/>
      </c>
      <c r="T67" s="36" t="str">
        <f>IFERROR(VLOOKUP(LightingAssumptions[[#This Row],[ASHRAE 2013 Space Type]],'Raw Data - Lighting'!$O$4:$Q$121,3,FALSE),"")</f>
        <v/>
      </c>
      <c r="U67" s="154"/>
      <c r="V67" s="19" t="str">
        <f>IFERROR(VLOOKUP(LightingAssumptions[[#This Row],[ASHRAE 2016 Space Type]],'Raw Data - Lighting'!$U$4:$W$131,2,FALSE),"")</f>
        <v/>
      </c>
      <c r="W67" s="19" t="str">
        <f>IFERROR(VLOOKUP(LightingAssumptions[[#This Row],[ASHRAE 2016 Space Type]],'Raw Data - Lighting'!$U$4:$W$131,3,FALSE),"")</f>
        <v/>
      </c>
      <c r="X67" s="152"/>
      <c r="Y67" s="19" t="str">
        <f>IFERROR(VLOOKUP(LightingAssumptions[[#This Row],[ASHRAE 2019 Space Type]],'Raw Data - Lighting'!$AA$4:$AC$128,2,FALSE),"")</f>
        <v/>
      </c>
      <c r="Z67" s="36" t="str">
        <f>IFERROR(VLOOKUP(LightingAssumptions[[#This Row],[ASHRAE 2019 Space Type]],'Raw Data - Lighting'!$AA$4:$AC$128,3,FALSE),"")</f>
        <v/>
      </c>
      <c r="AA67"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7" s="95" t="str">
        <f>IFERROR(IF(LightingAssumptions[[#This Row],[Min Code LPD 
'[W/sqft']]]="","",INDEX($E$16:$Z$20,1,MATCH(LightingAssumptions[[#This Row],[Min Code LPD 
'[W/sqft']]],LightingAssumptions[[#This Row],[Primary Function Area]:[RCR Threshold]],0))),"")</f>
        <v/>
      </c>
      <c r="AC67" s="154"/>
      <c r="AD67" s="166" t="str">
        <f>IFERROR(IF(LightingAssumptions[[#This Row],[Design LPD 
'[W/sqft']]]="","",1-LightingAssumptions[[#This Row],[Design LPD 
'[W/sqft']]]/LightingAssumptions[[#This Row],[Min Code LPD 
'[W/sqft']]]),"")</f>
        <v/>
      </c>
      <c r="AE67" s="154"/>
      <c r="AF67" s="462"/>
    </row>
    <row r="68" spans="2:32" x14ac:dyDescent="0.25">
      <c r="B68" s="18">
        <v>49</v>
      </c>
      <c r="C68" s="19" t="str">
        <f>IF('Master Room List'!R64="","",'Master Room List'!R64)</f>
        <v/>
      </c>
      <c r="D68" s="19" t="str">
        <f>IF(LightingAssumptions[[#This Row],[SpaceType]]="","-",VLOOKUP(LightingAssumptions[[#This Row],[SpaceType]],MasterRoomList_SpaceTypeSummary[[#All],[SpaceType]:[Number of Spaces]],2,FALSE))</f>
        <v>-</v>
      </c>
      <c r="E68" s="152"/>
      <c r="F68" s="19" t="str">
        <f>IFERROR(VLOOKUP(E68,'Raw Data - Lighting'!$AG$3:$AH$77,2,FALSE),"")</f>
        <v/>
      </c>
      <c r="G68" s="154" t="s">
        <v>214</v>
      </c>
      <c r="H68" s="19" t="str">
        <f>IFERROR(IF(OR(VLOOKUP($E68,'Raw Data - Lighting'!$AG$3:$AJ$76,3,FALSE)=$G68,VLOOKUP($E68,'Raw Data - Lighting'!$AG$3:$AJ$76,4,FALSE)=$G68),VLOOKUP($G68,'Raw Data - Lighting'!$AL$4:$AM$18,2,FALSE),IF($G68="-","","This Qualified Lighting System does not correspond with the Primary Function Area")),"")</f>
        <v/>
      </c>
      <c r="I68" s="154" t="s">
        <v>214</v>
      </c>
      <c r="J68" s="95" t="str">
        <f>IFERROR(IF(OR(VLOOKUP($E68,'Raw Data - Lighting'!$AG$3:$AJ$76,3,FALSE)=$I68,VLOOKUP($E68,'Raw Data - Lighting'!$AG$3:$AJ$76,4,FALSE)=$I68),VLOOKUP($I68,'Raw Data - Lighting'!$AL$4:$AM$18,2,FALSE),IF($I68="-","","This Qualified Lighting System does not correspond with the Primary Function Area")),"")</f>
        <v/>
      </c>
      <c r="K68" s="36" t="str">
        <f>IF(AND(G68="-",I68="-"),LightingAssumptions[[#This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8" s="19"/>
      <c r="M68" s="19" t="str">
        <f>IFERROR(VLOOKUP(LightingAssumptions[[#This Row],[ASHRAE 2007 Space Type]],'Raw Data - Lighting'!$C$4:$E$121,2,FALSE),"")</f>
        <v/>
      </c>
      <c r="N68" s="19" t="str">
        <f>IFERROR(VLOOKUP(LightingAssumptions[[#This Row],[ASHRAE 2007 Space Type]],'Raw Data - Lighting'!$C$4:$E$121,3,FALSE),"")</f>
        <v/>
      </c>
      <c r="O68" s="152"/>
      <c r="P68" s="19" t="str">
        <f>IFERROR(VLOOKUP(LightingAssumptions[[#This Row],[ASHRAE 2010 Space Type]],'Raw Data - Lighting'!$I$4:$K$121,2,FALSE),"")</f>
        <v/>
      </c>
      <c r="Q68" s="36" t="str">
        <f>IFERROR(VLOOKUP(LightingAssumptions[[#This Row],[ASHRAE 2010 Space Type]],'Raw Data - Lighting'!$I$4:$K$121,3,FALSE),"")</f>
        <v/>
      </c>
      <c r="R68" s="152"/>
      <c r="S68" s="19" t="str">
        <f>IFERROR(VLOOKUP(LightingAssumptions[[#This Row],[ASHRAE 2013 Space Type]],'Raw Data - Lighting'!$O$4:$Q$121,2,FALSE),"")</f>
        <v/>
      </c>
      <c r="T68" s="36" t="str">
        <f>IFERROR(VLOOKUP(LightingAssumptions[[#This Row],[ASHRAE 2013 Space Type]],'Raw Data - Lighting'!$O$4:$Q$121,3,FALSE),"")</f>
        <v/>
      </c>
      <c r="U68" s="154"/>
      <c r="V68" s="19" t="str">
        <f>IFERROR(VLOOKUP(LightingAssumptions[[#This Row],[ASHRAE 2016 Space Type]],'Raw Data - Lighting'!$U$4:$W$131,2,FALSE),"")</f>
        <v/>
      </c>
      <c r="W68" s="19" t="str">
        <f>IFERROR(VLOOKUP(LightingAssumptions[[#This Row],[ASHRAE 2016 Space Type]],'Raw Data - Lighting'!$U$4:$W$131,3,FALSE),"")</f>
        <v/>
      </c>
      <c r="X68" s="152"/>
      <c r="Y68" s="19" t="str">
        <f>IFERROR(VLOOKUP(LightingAssumptions[[#This Row],[ASHRAE 2019 Space Type]],'Raw Data - Lighting'!$AA$4:$AC$128,2,FALSE),"")</f>
        <v/>
      </c>
      <c r="Z68" s="36" t="str">
        <f>IFERROR(VLOOKUP(LightingAssumptions[[#This Row],[ASHRAE 2019 Space Type]],'Raw Data - Lighting'!$AA$4:$AC$128,3,FALSE),"")</f>
        <v/>
      </c>
      <c r="AA68" s="473"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8" s="95" t="str">
        <f>IFERROR(IF(LightingAssumptions[[#This Row],[Min Code LPD 
'[W/sqft']]]="","",INDEX($E$16:$Z$20,1,MATCH(LightingAssumptions[[#This Row],[Min Code LPD 
'[W/sqft']]],LightingAssumptions[[#This Row],[Primary Function Area]:[RCR Threshold]],0))),"")</f>
        <v/>
      </c>
      <c r="AC68" s="154"/>
      <c r="AD68" s="166" t="str">
        <f>IFERROR(IF(LightingAssumptions[[#This Row],[Design LPD 
'[W/sqft']]]="","",1-LightingAssumptions[[#This Row],[Design LPD 
'[W/sqft']]]/LightingAssumptions[[#This Row],[Min Code LPD 
'[W/sqft']]]),"")</f>
        <v/>
      </c>
      <c r="AE68" s="154"/>
      <c r="AF68" s="462"/>
    </row>
    <row r="69" spans="2:32" ht="15.75" thickBot="1" x14ac:dyDescent="0.3">
      <c r="B69" s="157">
        <v>50</v>
      </c>
      <c r="C69" s="158" t="str">
        <f>IF('Master Room List'!R65="","",'Master Room List'!R65)</f>
        <v/>
      </c>
      <c r="D69" s="158" t="str">
        <f>IF(LightingAssumptions[[#This Row],[SpaceType]]="","-",VLOOKUP(LightingAssumptions[[#This Row],[SpaceType]],MasterRoomList_SpaceTypeSummary[[#All],[SpaceType]:[Number of Spaces]],2,FALSE))</f>
        <v>-</v>
      </c>
      <c r="E69" s="160"/>
      <c r="F69" s="158" t="str">
        <f>IFERROR(VLOOKUP(E69,'Raw Data - Lighting'!$AG$3:$AH$77,2,FALSE),"")</f>
        <v/>
      </c>
      <c r="G69" s="154" t="s">
        <v>214</v>
      </c>
      <c r="H69" s="158" t="str">
        <f>IFERROR(IF(OR(VLOOKUP($E69,'Raw Data - Lighting'!$AG$3:$AJ$76,3,FALSE)=$G69,VLOOKUP($E69,'Raw Data - Lighting'!$AG$3:$AJ$76,4,FALSE)=$G69),VLOOKUP($G69,'Raw Data - Lighting'!$AL$4:$AM$18,2,FALSE),IF($G69="-","","This Qualified Lighting System does not correspond with the Primary Function Area")),"")</f>
        <v/>
      </c>
      <c r="I69" s="154" t="s">
        <v>214</v>
      </c>
      <c r="J69" s="95" t="str">
        <f>IFERROR(IF(OR(VLOOKUP($E69,'Raw Data - Lighting'!$AG$3:$AJ$76,3,FALSE)=$I69,VLOOKUP($E69,'Raw Data - Lighting'!$AG$3:$AJ$76,4,FALSE)=$I69),VLOOKUP($I69,'Raw Data - Lighting'!$AL$4:$AM$18,2,FALSE),IF($I69="-","","This Qualified Lighting System does not correspond with the Primary Function Area")),"")</f>
        <v/>
      </c>
      <c r="K69" s="162" t="str">
        <f>IF(AND(G69="-",I69="-"),LightingAssumptions[[#This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9" s="19"/>
      <c r="M69" s="19" t="str">
        <f>IFERROR(VLOOKUP(LightingAssumptions[[#This Row],[ASHRAE 2007 Space Type]],'Raw Data - Lighting'!$C$4:$E$121,2,FALSE),"")</f>
        <v/>
      </c>
      <c r="N69" s="19" t="str">
        <f>IFERROR(VLOOKUP(LightingAssumptions[[#This Row],[ASHRAE 2007 Space Type]],'Raw Data - Lighting'!$C$4:$E$121,3,FALSE),"")</f>
        <v/>
      </c>
      <c r="O69" s="152"/>
      <c r="P69" s="158" t="str">
        <f>IFERROR(VLOOKUP(LightingAssumptions[[#This Row],[ASHRAE 2010 Space Type]],'Raw Data - Lighting'!$I$4:$K$121,2,FALSE),"")</f>
        <v/>
      </c>
      <c r="Q69" s="162" t="str">
        <f>IFERROR(VLOOKUP(LightingAssumptions[[#This Row],[ASHRAE 2010 Space Type]],'Raw Data - Lighting'!$I$4:$K$121,3,FALSE),"")</f>
        <v/>
      </c>
      <c r="R69" s="152"/>
      <c r="S69" s="158" t="str">
        <f>IFERROR(VLOOKUP(LightingAssumptions[[#This Row],[ASHRAE 2013 Space Type]],'Raw Data - Lighting'!$O$4:$Q$121,2,FALSE),"")</f>
        <v/>
      </c>
      <c r="T69" s="162" t="str">
        <f>IFERROR(VLOOKUP(LightingAssumptions[[#This Row],[ASHRAE 2013 Space Type]],'Raw Data - Lighting'!$O$4:$Q$121,3,FALSE),"")</f>
        <v/>
      </c>
      <c r="U69" s="154"/>
      <c r="V69" s="19" t="str">
        <f>IFERROR(VLOOKUP(LightingAssumptions[[#This Row],[ASHRAE 2016 Space Type]],'Raw Data - Lighting'!$U$4:$W$131,2,FALSE),"")</f>
        <v/>
      </c>
      <c r="W69" s="19" t="str">
        <f>IFERROR(VLOOKUP(LightingAssumptions[[#This Row],[ASHRAE 2016 Space Type]],'Raw Data - Lighting'!$U$4:$W$131,3,FALSE),"")</f>
        <v/>
      </c>
      <c r="X69" s="152"/>
      <c r="Y69" s="158" t="str">
        <f>IFERROR(VLOOKUP(LightingAssumptions[[#This Row],[ASHRAE 2019 Space Type]],'Raw Data - Lighting'!$AA$4:$AC$128,2,FALSE),"")</f>
        <v/>
      </c>
      <c r="Z69" s="162" t="str">
        <f>IFERROR(VLOOKUP(LightingAssumptions[[#This Row],[ASHRAE 2019 Space Type]],'Raw Data - Lighting'!$AA$4:$AC$128,3,FALSE),"")</f>
        <v/>
      </c>
      <c r="AA69" s="47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9" s="475" t="str">
        <f>IFERROR(IF(LightingAssumptions[[#This Row],[Min Code LPD 
'[W/sqft']]]="","",INDEX($E$16:$Z$20,1,MATCH(LightingAssumptions[[#This Row],[Min Code LPD 
'[W/sqft']]],LightingAssumptions[[#This Row],[Primary Function Area]:[RCR Threshold]],0))),"")</f>
        <v/>
      </c>
      <c r="AC69" s="161"/>
      <c r="AD69" s="167" t="str">
        <f>IFERROR(IF(LightingAssumptions[[#This Row],[Design LPD 
'[W/sqft']]]="","",1-LightingAssumptions[[#This Row],[Design LPD 
'[W/sqft']]]/LightingAssumptions[[#This Row],[Min Code LPD 
'[W/sqft']]]),"")</f>
        <v/>
      </c>
      <c r="AE69" s="161"/>
      <c r="AF69" s="469"/>
    </row>
    <row r="71" spans="2:32" x14ac:dyDescent="0.25">
      <c r="C71" t="s">
        <v>34</v>
      </c>
      <c r="D71" s="19">
        <f>SUM(LightingAssumptions[Area (sqft)])</f>
        <v>0</v>
      </c>
    </row>
  </sheetData>
  <mergeCells count="8">
    <mergeCell ref="B17:AF17"/>
    <mergeCell ref="B18:D18"/>
    <mergeCell ref="E18:K18"/>
    <mergeCell ref="O18:Q18"/>
    <mergeCell ref="U18:W18"/>
    <mergeCell ref="X18:Z18"/>
    <mergeCell ref="AA18:AF18"/>
    <mergeCell ref="R18:T18"/>
  </mergeCells>
  <phoneticPr fontId="49" type="noConversion"/>
  <pageMargins left="0.7" right="0.7" top="0.75" bottom="0.75" header="0.3" footer="0.3"/>
  <drawing r:id="rId1"/>
  <legacyDrawing r:id="rId2"/>
  <controls>
    <mc:AlternateContent xmlns:mc="http://schemas.openxmlformats.org/markup-compatibility/2006">
      <mc:Choice Requires="x14">
        <control shapeId="7169" r:id="rId3" name="ASRHAE2010CheckBox">
          <controlPr defaultSize="0" autoLine="0" r:id="rId4">
            <anchor moveWithCells="1">
              <from>
                <xdr:col>2</xdr:col>
                <xdr:colOff>38100</xdr:colOff>
                <xdr:row>10</xdr:row>
                <xdr:rowOff>28575</xdr:rowOff>
              </from>
              <to>
                <xdr:col>2</xdr:col>
                <xdr:colOff>1695450</xdr:colOff>
                <xdr:row>10</xdr:row>
                <xdr:rowOff>238125</xdr:rowOff>
              </to>
            </anchor>
          </controlPr>
        </control>
      </mc:Choice>
      <mc:Fallback>
        <control shapeId="7169" r:id="rId3" name="ASRHAE2010CheckBox"/>
      </mc:Fallback>
    </mc:AlternateContent>
    <mc:AlternateContent xmlns:mc="http://schemas.openxmlformats.org/markup-compatibility/2006">
      <mc:Choice Requires="x14">
        <control shapeId="7170" r:id="rId5" name="Title24_2019">
          <controlPr defaultSize="0" autoLine="0" r:id="rId6">
            <anchor moveWithCells="1">
              <from>
                <xdr:col>2</xdr:col>
                <xdr:colOff>38100</xdr:colOff>
                <xdr:row>8</xdr:row>
                <xdr:rowOff>0</xdr:rowOff>
              </from>
              <to>
                <xdr:col>2</xdr:col>
                <xdr:colOff>1695450</xdr:colOff>
                <xdr:row>8</xdr:row>
                <xdr:rowOff>209550</xdr:rowOff>
              </to>
            </anchor>
          </controlPr>
        </control>
      </mc:Choice>
      <mc:Fallback>
        <control shapeId="7170" r:id="rId5" name="Title24_2019"/>
      </mc:Fallback>
    </mc:AlternateContent>
    <mc:AlternateContent xmlns:mc="http://schemas.openxmlformats.org/markup-compatibility/2006">
      <mc:Choice Requires="x14">
        <control shapeId="7171" r:id="rId7" name="ASHRAE2016CheckBox">
          <controlPr defaultSize="0" autoLine="0" r:id="rId8">
            <anchor moveWithCells="1">
              <from>
                <xdr:col>2</xdr:col>
                <xdr:colOff>38100</xdr:colOff>
                <xdr:row>12</xdr:row>
                <xdr:rowOff>9525</xdr:rowOff>
              </from>
              <to>
                <xdr:col>2</xdr:col>
                <xdr:colOff>1990725</xdr:colOff>
                <xdr:row>13</xdr:row>
                <xdr:rowOff>9525</xdr:rowOff>
              </to>
            </anchor>
          </controlPr>
        </control>
      </mc:Choice>
      <mc:Fallback>
        <control shapeId="7171" r:id="rId7" name="ASHRAE2016CheckBox"/>
      </mc:Fallback>
    </mc:AlternateContent>
    <mc:AlternateContent xmlns:mc="http://schemas.openxmlformats.org/markup-compatibility/2006">
      <mc:Choice Requires="x14">
        <control shapeId="7172" r:id="rId9" name="ASHRAE2019CheckBox">
          <controlPr defaultSize="0" autoLine="0" r:id="rId10">
            <anchor moveWithCells="1">
              <from>
                <xdr:col>2</xdr:col>
                <xdr:colOff>38100</xdr:colOff>
                <xdr:row>13</xdr:row>
                <xdr:rowOff>9525</xdr:rowOff>
              </from>
              <to>
                <xdr:col>2</xdr:col>
                <xdr:colOff>1990725</xdr:colOff>
                <xdr:row>14</xdr:row>
                <xdr:rowOff>9525</xdr:rowOff>
              </to>
            </anchor>
          </controlPr>
        </control>
      </mc:Choice>
      <mc:Fallback>
        <control shapeId="7172" r:id="rId9" name="ASHRAE2019CheckBox"/>
      </mc:Fallback>
    </mc:AlternateContent>
    <mc:AlternateContent xmlns:mc="http://schemas.openxmlformats.org/markup-compatibility/2006">
      <mc:Choice Requires="x14">
        <control shapeId="7178" r:id="rId11" name="ASHRAE2007Lighting">
          <controlPr defaultSize="0" autoLine="0" r:id="rId12">
            <anchor moveWithCells="1">
              <from>
                <xdr:col>2</xdr:col>
                <xdr:colOff>28575</xdr:colOff>
                <xdr:row>9</xdr:row>
                <xdr:rowOff>28575</xdr:rowOff>
              </from>
              <to>
                <xdr:col>2</xdr:col>
                <xdr:colOff>1676400</xdr:colOff>
                <xdr:row>9</xdr:row>
                <xdr:rowOff>238125</xdr:rowOff>
              </to>
            </anchor>
          </controlPr>
        </control>
      </mc:Choice>
      <mc:Fallback>
        <control shapeId="7178" r:id="rId11" name="ASHRAE2007Lighting"/>
      </mc:Fallback>
    </mc:AlternateContent>
    <mc:AlternateContent xmlns:mc="http://schemas.openxmlformats.org/markup-compatibility/2006">
      <mc:Choice Requires="x14">
        <control shapeId="7179" r:id="rId13" name="ASHRAE2013Lighting">
          <controlPr defaultSize="0" autoLine="0" r:id="rId14">
            <anchor moveWithCells="1">
              <from>
                <xdr:col>2</xdr:col>
                <xdr:colOff>38100</xdr:colOff>
                <xdr:row>11</xdr:row>
                <xdr:rowOff>28575</xdr:rowOff>
              </from>
              <to>
                <xdr:col>2</xdr:col>
                <xdr:colOff>1695450</xdr:colOff>
                <xdr:row>11</xdr:row>
                <xdr:rowOff>238125</xdr:rowOff>
              </to>
            </anchor>
          </controlPr>
        </control>
      </mc:Choice>
      <mc:Fallback>
        <control shapeId="7179" r:id="rId13" name="ASHRAE2013Lighting"/>
      </mc:Fallback>
    </mc:AlternateContent>
  </controls>
  <tableParts count="1">
    <tablePart r:id="rId15"/>
  </tableParts>
  <extLst>
    <ext xmlns:x14="http://schemas.microsoft.com/office/spreadsheetml/2009/9/main" uri="{CCE6A557-97BC-4b89-ADB6-D9C93CAAB3DF}">
      <x14:dataValidations xmlns:xm="http://schemas.microsoft.com/office/excel/2006/main" count="5">
        <x14:dataValidation type="list" allowBlank="1" showInputMessage="1" showErrorMessage="1" xr:uid="{1604F953-7BDD-4102-BD1C-E3926ED22DD6}">
          <x14:formula1>
            <xm:f>'Raw Data - Lighting'!$AG$4:$AG$77</xm:f>
          </x14:formula1>
          <xm:sqref>E20:E69</xm:sqref>
        </x14:dataValidation>
        <x14:dataValidation type="list" allowBlank="1" showInputMessage="1" showErrorMessage="1" xr:uid="{62F1D9C2-7CC7-415E-8F6B-FD3C3584D690}">
          <x14:formula1>
            <xm:f>'Raw Data - Lighting'!$AL$4:$AL$19</xm:f>
          </x14:formula1>
          <xm:sqref>G20:G69 I20:I69</xm:sqref>
        </x14:dataValidation>
        <x14:dataValidation type="list" allowBlank="1" showInputMessage="1" showErrorMessage="1" xr:uid="{5DF9DD20-EA2C-4F4A-84F4-EB4746C1BCF1}">
          <x14:formula1>
            <xm:f>'Raw Data - Lighting'!$I$4:$I$121</xm:f>
          </x14:formula1>
          <xm:sqref>O20:O69</xm:sqref>
        </x14:dataValidation>
        <x14:dataValidation type="list" allowBlank="1" showInputMessage="1" showErrorMessage="1" xr:uid="{B7C1DB37-E2E1-4E6E-8770-26EEF22F7E1D}">
          <x14:formula1>
            <xm:f>'Raw Data - Lighting'!$O$3:$O$131</xm:f>
          </x14:formula1>
          <xm:sqref>R20:R69</xm:sqref>
        </x14:dataValidation>
        <x14:dataValidation type="list" allowBlank="1" showInputMessage="1" showErrorMessage="1" xr:uid="{A707F886-D69D-4942-A9C2-47E9E067E42D}">
          <x14:formula1>
            <xm:f>'Raw Data - Lighting'!$C$3:$C$116</xm:f>
          </x14:formula1>
          <xm:sqref>L20:L69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F702A-F73A-4691-8656-F34D97874FDB}">
  <sheetPr codeName="Sheet22">
    <tabColor theme="7" tint="0.79998168889431442"/>
  </sheetPr>
  <dimension ref="A1:E19"/>
  <sheetViews>
    <sheetView workbookViewId="0">
      <selection activeCell="G6" sqref="G6"/>
    </sheetView>
  </sheetViews>
  <sheetFormatPr defaultRowHeight="15" x14ac:dyDescent="0.25"/>
  <cols>
    <col min="1" max="1" width="16.7109375" customWidth="1"/>
    <col min="2" max="2" width="13.5703125" customWidth="1"/>
    <col min="3" max="3" width="22.28515625" customWidth="1"/>
    <col min="4" max="4" width="23.42578125" customWidth="1"/>
    <col min="5" max="5" width="25.7109375" customWidth="1"/>
  </cols>
  <sheetData>
    <row r="1" spans="1:5" x14ac:dyDescent="0.25">
      <c r="A1" t="s">
        <v>2088</v>
      </c>
      <c r="B1" t="s">
        <v>2089</v>
      </c>
      <c r="C1" t="s">
        <v>2090</v>
      </c>
      <c r="D1" t="s">
        <v>2091</v>
      </c>
      <c r="E1" s="665" t="s">
        <v>2092</v>
      </c>
    </row>
    <row r="2" spans="1:5" x14ac:dyDescent="0.25">
      <c r="A2" t="s">
        <v>2095</v>
      </c>
      <c r="B2" t="s">
        <v>560</v>
      </c>
      <c r="C2" t="s">
        <v>2102</v>
      </c>
      <c r="D2" s="480">
        <v>1.56</v>
      </c>
      <c r="E2" s="658">
        <f>IFERROR(Utility_Rates[[#This Row],[Cost per Measurement]]*VLOOKUP(Utility_Rates[[#This Row],[Unit of Measurement]],Utility_UnitConversion[],3,FALSE),"")</f>
        <v>5322.940947679589</v>
      </c>
    </row>
    <row r="3" spans="1:5" x14ac:dyDescent="0.25">
      <c r="A3" t="s">
        <v>2093</v>
      </c>
      <c r="B3" t="s">
        <v>2094</v>
      </c>
      <c r="C3" t="s">
        <v>2103</v>
      </c>
      <c r="D3" s="480">
        <v>2.2025999999999999</v>
      </c>
      <c r="E3" s="658">
        <f>IFERROR(Utility_Rates[[#This Row],[Cost per Measurement]]*VLOOKUP(Utility_Rates[[#This Row],[Unit of Measurement]],Utility_UnitConversion[],3,FALSE),"")</f>
        <v>220215.94799999997</v>
      </c>
    </row>
    <row r="4" spans="1:5" x14ac:dyDescent="0.25">
      <c r="D4" s="480"/>
      <c r="E4" s="658" t="str">
        <f>IFERROR(Utility_Rates[[#This Row],[Cost per Measurement]]*VLOOKUP(Utility_Rates[[#This Row],[Unit of Measurement]],Utility_UnitConversion[],3,FALSE),"")</f>
        <v/>
      </c>
    </row>
    <row r="5" spans="1:5" x14ac:dyDescent="0.25">
      <c r="D5" s="480"/>
      <c r="E5" s="658" t="str">
        <f>IFERROR(Utility_Rates[[#This Row],[Cost per Measurement]]*VLOOKUP(Utility_Rates[[#This Row],[Unit of Measurement]],Utility_UnitConversion[],3,FALSE),"")</f>
        <v/>
      </c>
    </row>
    <row r="6" spans="1:5" x14ac:dyDescent="0.25">
      <c r="D6" s="480"/>
      <c r="E6" s="658" t="str">
        <f>IFERROR(Utility_Rates[[#This Row],[Cost per Measurement]]*VLOOKUP(Utility_Rates[[#This Row],[Unit of Measurement]],Utility_UnitConversion[],3,FALSE),"")</f>
        <v/>
      </c>
    </row>
    <row r="7" spans="1:5" x14ac:dyDescent="0.25">
      <c r="D7" s="480"/>
      <c r="E7" s="658" t="str">
        <f>IFERROR(Utility_Rates[[#This Row],[Cost per Measurement]]*VLOOKUP(Utility_Rates[[#This Row],[Unit of Measurement]],Utility_UnitConversion[],3,FALSE),"")</f>
        <v/>
      </c>
    </row>
    <row r="8" spans="1:5" x14ac:dyDescent="0.25">
      <c r="D8" s="480"/>
      <c r="E8" s="658" t="str">
        <f>IFERROR(Utility_Rates[[#This Row],[Cost per Measurement]]*VLOOKUP(Utility_Rates[[#This Row],[Unit of Measurement]],Utility_UnitConversion[],3,FALSE),"")</f>
        <v/>
      </c>
    </row>
    <row r="9" spans="1:5" x14ac:dyDescent="0.25">
      <c r="D9" s="480"/>
      <c r="E9" s="658" t="str">
        <f>IFERROR(Utility_Rates[[#This Row],[Cost per Measurement]]*VLOOKUP(Utility_Rates[[#This Row],[Unit of Measurement]],Utility_UnitConversion[],3,FALSE),"")</f>
        <v/>
      </c>
    </row>
    <row r="10" spans="1:5" x14ac:dyDescent="0.25">
      <c r="D10" s="480"/>
      <c r="E10" s="658" t="str">
        <f>IFERROR(Utility_Rates[[#This Row],[Cost per Measurement]]*VLOOKUP(Utility_Rates[[#This Row],[Unit of Measurement]],Utility_UnitConversion[],3,FALSE),"")</f>
        <v/>
      </c>
    </row>
    <row r="14" spans="1:5" x14ac:dyDescent="0.25">
      <c r="A14" t="s">
        <v>2096</v>
      </c>
      <c r="B14" t="s">
        <v>2097</v>
      </c>
      <c r="C14" t="s">
        <v>2098</v>
      </c>
    </row>
    <row r="15" spans="1:5" x14ac:dyDescent="0.25">
      <c r="A15" t="s">
        <v>2099</v>
      </c>
      <c r="B15" t="s">
        <v>2100</v>
      </c>
      <c r="C15" s="641">
        <v>3.4121416331279417</v>
      </c>
    </row>
    <row r="16" spans="1:5" x14ac:dyDescent="0.25">
      <c r="A16" t="s">
        <v>2099</v>
      </c>
      <c r="B16" t="s">
        <v>2101</v>
      </c>
      <c r="C16" s="641">
        <f>C15/1000</f>
        <v>3.4121416331279416E-3</v>
      </c>
    </row>
    <row r="17" spans="1:3" x14ac:dyDescent="0.25">
      <c r="A17" t="s">
        <v>2102</v>
      </c>
      <c r="B17" t="s">
        <v>2100</v>
      </c>
      <c r="C17" s="641">
        <f>C18*1000</f>
        <v>3412.1416331279415</v>
      </c>
    </row>
    <row r="18" spans="1:3" x14ac:dyDescent="0.25">
      <c r="A18" t="s">
        <v>2102</v>
      </c>
      <c r="B18" t="s">
        <v>2101</v>
      </c>
      <c r="C18" s="641">
        <v>3.4121416331279417</v>
      </c>
    </row>
    <row r="19" spans="1:3" x14ac:dyDescent="0.25">
      <c r="A19" t="s">
        <v>2103</v>
      </c>
      <c r="B19" t="s">
        <v>2101</v>
      </c>
      <c r="C19">
        <v>99980</v>
      </c>
    </row>
  </sheetData>
  <dataValidations count="2">
    <dataValidation type="list" allowBlank="1" showInputMessage="1" showErrorMessage="1" sqref="B2:B10" xr:uid="{10D98530-3BF1-418B-8BF9-2F02F92D0FD6}">
      <formula1>"Electrical, Natural Gas"</formula1>
    </dataValidation>
    <dataValidation type="list" allowBlank="1" showInputMessage="1" showErrorMessage="1" sqref="C2:C10" xr:uid="{7F5C28A5-84FB-410C-AB03-5859DE9C00BF}">
      <formula1>"Wh, kWh, Therms"</formula1>
    </dataValidation>
  </dataValidations>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D4932-8041-43C0-8AED-3ACA47BECEB9}">
  <sheetPr codeName="Sheet17">
    <tabColor theme="5" tint="0.79998168889431442"/>
  </sheetPr>
  <dimension ref="B1:J101"/>
  <sheetViews>
    <sheetView zoomScale="85" zoomScaleNormal="85" workbookViewId="0">
      <selection activeCell="I17" sqref="I17"/>
    </sheetView>
  </sheetViews>
  <sheetFormatPr defaultRowHeight="15" x14ac:dyDescent="0.25"/>
  <cols>
    <col min="1" max="1" width="0.7109375" customWidth="1"/>
    <col min="2" max="2" width="4" customWidth="1"/>
    <col min="3" max="3" width="26.28515625" customWidth="1"/>
    <col min="4" max="5" width="54.140625" hidden="1" customWidth="1"/>
    <col min="6" max="6" width="54.140625" customWidth="1"/>
    <col min="7" max="7" width="41.28515625" customWidth="1"/>
    <col min="9" max="9" width="17.42578125" customWidth="1"/>
    <col min="10" max="10" width="13.42578125" customWidth="1"/>
  </cols>
  <sheetData>
    <row r="1" spans="2:10" x14ac:dyDescent="0.25">
      <c r="B1" s="508"/>
      <c r="C1" s="509"/>
      <c r="D1" s="509"/>
      <c r="E1" s="509"/>
      <c r="F1" s="509"/>
    </row>
    <row r="2" spans="2:10" ht="20.25" thickBot="1" x14ac:dyDescent="0.35">
      <c r="B2" s="510"/>
      <c r="C2" s="511" t="s">
        <v>412</v>
      </c>
      <c r="D2" s="512" t="s">
        <v>413</v>
      </c>
      <c r="E2" s="512" t="s">
        <v>414</v>
      </c>
      <c r="F2" s="512" t="s">
        <v>415</v>
      </c>
      <c r="G2" s="512" t="s">
        <v>416</v>
      </c>
    </row>
    <row r="3" spans="2:10" ht="16.5" thickTop="1" thickBot="1" x14ac:dyDescent="0.3">
      <c r="B3" s="733" t="s">
        <v>417</v>
      </c>
      <c r="C3" s="513" t="s">
        <v>418</v>
      </c>
      <c r="D3" s="514" t="s">
        <v>419</v>
      </c>
      <c r="E3" s="514" t="s">
        <v>419</v>
      </c>
      <c r="F3" s="514" t="s">
        <v>419</v>
      </c>
      <c r="G3" s="514"/>
    </row>
    <row r="4" spans="2:10" ht="15.75" thickBot="1" x14ac:dyDescent="0.3">
      <c r="B4" s="734"/>
      <c r="C4" s="513" t="s">
        <v>420</v>
      </c>
      <c r="D4" s="514" t="s">
        <v>421</v>
      </c>
      <c r="E4" s="514" t="s">
        <v>421</v>
      </c>
      <c r="F4" s="514" t="s">
        <v>422</v>
      </c>
      <c r="G4" s="515" t="s">
        <v>37</v>
      </c>
    </row>
    <row r="5" spans="2:10" ht="60.75" thickBot="1" x14ac:dyDescent="0.3">
      <c r="B5" s="734"/>
      <c r="C5" s="513" t="s">
        <v>423</v>
      </c>
      <c r="D5" s="516" t="s">
        <v>424</v>
      </c>
      <c r="E5" s="516" t="s">
        <v>425</v>
      </c>
      <c r="F5" s="516" t="str">
        <f>IF(J5="99.6%/0.4%",CONCATENATE(Weather!$D$25,"°F DB @ ",Weather!$E$25,"°F MCWB: ",Weather!$D$22*100,"% Annual Cooling",CHAR(10),
Weather!$K$31," Btu/lb @ ",Weather!$L$31,"°F MCDB: ",Weather!$K$28*100,"% Enthalpy",CHAR(10),
Weather!$Q$38,"°F DB: 50-yr Cooling Extreme"),
CONCATENATE(Weather!$F$25,"°F DB @ ",Weather!$G$25,"°F MCWB: ",Weather!$F$22*100,"% Annual Cooling",CHAR(10),
Weather!$M$31," Btu/lb @ ",Weather!$N$31,"°F MCDB: ",Weather!$M$28*100,"% Enthalpy",CHAR(10),
Weather!$Q$38,"°F DB: 50-yr Cooling Extreme"))</f>
        <v>82.6°F DB @ 62.7°F MCWB: 0.4% Annual Cooling
30.4 Btu/lb @ 77.3°F MCDB: 0.4% Enthalpy
101.5°F DB: 50-yr Cooling Extreme</v>
      </c>
      <c r="G5" s="516"/>
      <c r="I5" s="547" t="s">
        <v>426</v>
      </c>
      <c r="J5" s="547" t="s">
        <v>427</v>
      </c>
    </row>
    <row r="6" spans="2:10" ht="45.75" thickBot="1" x14ac:dyDescent="0.3">
      <c r="B6" s="734"/>
      <c r="C6" s="513" t="s">
        <v>428</v>
      </c>
      <c r="D6" s="517" t="s">
        <v>429</v>
      </c>
      <c r="E6" s="518" t="s">
        <v>430</v>
      </c>
      <c r="F6" s="518" t="str">
        <f>IF(J5="99.6%/0.4%",
CONCATENATE(Weather!$C$18,"°F DB @ ",Weather!$G$18,"°F MCDB: ",Weather!$C$16*100,"% Annual Heating",CHAR(10),
Weather!$P$38,"°F DB: 50-yr Heating Extreme"),
CONCATENATE(Weather!$D$18,"°F DB @ ",Weather!$J$18,"°F MCDB: ",Weather!$D$16*100,"% Annual Heating",CHAR(10),
Weather!$P$38,"°F DB: 50-yr Heating Extreme"))</f>
        <v>39.5°F DB @ 51.5°F MCDB: 99.6% Annual Heating
28.4°F DB: 50-yr Heating Extreme</v>
      </c>
      <c r="G6" s="518"/>
    </row>
    <row r="7" spans="2:10" ht="75.75" thickBot="1" x14ac:dyDescent="0.3">
      <c r="B7" s="734"/>
      <c r="C7" s="513" t="s">
        <v>431</v>
      </c>
      <c r="D7" s="516" t="s">
        <v>432</v>
      </c>
      <c r="E7" s="516" t="s">
        <v>433</v>
      </c>
      <c r="F7" s="516" t="s">
        <v>434</v>
      </c>
      <c r="G7" s="514"/>
    </row>
    <row r="8" spans="2:10" ht="146.25" customHeight="1" thickBot="1" x14ac:dyDescent="0.3">
      <c r="B8" s="734"/>
      <c r="C8" s="513" t="s">
        <v>435</v>
      </c>
      <c r="D8" s="514"/>
      <c r="E8" s="514"/>
      <c r="F8" s="514" t="s">
        <v>436</v>
      </c>
      <c r="G8" s="519"/>
    </row>
    <row r="9" spans="2:10" ht="30.75" thickBot="1" x14ac:dyDescent="0.3">
      <c r="B9" s="734"/>
      <c r="C9" s="513" t="s">
        <v>437</v>
      </c>
      <c r="D9" s="516" t="s">
        <v>438</v>
      </c>
      <c r="E9" s="516" t="s">
        <v>439</v>
      </c>
      <c r="F9" s="516" t="s">
        <v>440</v>
      </c>
      <c r="G9" s="516" t="s">
        <v>441</v>
      </c>
    </row>
    <row r="10" spans="2:10" ht="30.75" thickBot="1" x14ac:dyDescent="0.3">
      <c r="B10" s="734"/>
      <c r="C10" s="513" t="s">
        <v>442</v>
      </c>
      <c r="D10" s="514" t="s">
        <v>443</v>
      </c>
      <c r="E10" s="516" t="s">
        <v>444</v>
      </c>
      <c r="F10" s="516" t="s">
        <v>445</v>
      </c>
      <c r="G10" s="514" t="s">
        <v>446</v>
      </c>
      <c r="H10" s="106" t="s">
        <v>447</v>
      </c>
    </row>
    <row r="11" spans="2:10" ht="15.75" thickBot="1" x14ac:dyDescent="0.3">
      <c r="B11" s="734"/>
      <c r="C11" s="513" t="s">
        <v>448</v>
      </c>
      <c r="D11" s="514" t="s">
        <v>449</v>
      </c>
      <c r="E11" s="514" t="s">
        <v>449</v>
      </c>
      <c r="F11" s="514" t="s">
        <v>449</v>
      </c>
      <c r="G11" s="514"/>
      <c r="H11" s="549" t="s">
        <v>450</v>
      </c>
    </row>
    <row r="12" spans="2:10" ht="15.75" thickBot="1" x14ac:dyDescent="0.3">
      <c r="B12" s="734"/>
      <c r="C12" s="513" t="s">
        <v>451</v>
      </c>
      <c r="D12" s="516" t="s">
        <v>452</v>
      </c>
      <c r="E12" s="516" t="s">
        <v>453</v>
      </c>
      <c r="F12" s="514" t="s">
        <v>454</v>
      </c>
      <c r="G12" s="514"/>
    </row>
    <row r="13" spans="2:10" ht="15.75" thickBot="1" x14ac:dyDescent="0.3">
      <c r="B13" s="734"/>
      <c r="C13" s="513" t="s">
        <v>241</v>
      </c>
      <c r="D13" s="514">
        <v>5</v>
      </c>
      <c r="E13" s="514">
        <v>5</v>
      </c>
      <c r="F13" s="514" t="s">
        <v>455</v>
      </c>
      <c r="G13" s="514" t="s">
        <v>456</v>
      </c>
    </row>
    <row r="14" spans="2:10" ht="45.75" thickBot="1" x14ac:dyDescent="0.3">
      <c r="B14" s="734"/>
      <c r="C14" s="513" t="s">
        <v>457</v>
      </c>
      <c r="D14" s="516" t="s">
        <v>458</v>
      </c>
      <c r="E14" s="520" t="s">
        <v>459</v>
      </c>
      <c r="F14" s="521" t="s">
        <v>460</v>
      </c>
      <c r="G14" s="514" t="s">
        <v>461</v>
      </c>
    </row>
    <row r="15" spans="2:10" ht="15.75" thickBot="1" x14ac:dyDescent="0.3">
      <c r="B15" s="734"/>
      <c r="C15" s="513" t="s">
        <v>462</v>
      </c>
      <c r="D15" s="521" t="s">
        <v>463</v>
      </c>
      <c r="E15" s="522" t="s">
        <v>464</v>
      </c>
      <c r="F15" s="522" t="s">
        <v>465</v>
      </c>
      <c r="G15" s="519" t="s">
        <v>466</v>
      </c>
    </row>
    <row r="16" spans="2:10" ht="15.75" thickBot="1" x14ac:dyDescent="0.3">
      <c r="B16" s="735"/>
      <c r="C16" s="513" t="s">
        <v>467</v>
      </c>
      <c r="D16" s="521" t="s">
        <v>468</v>
      </c>
      <c r="E16" s="521" t="s">
        <v>468</v>
      </c>
      <c r="F16" s="521" t="s">
        <v>468</v>
      </c>
      <c r="G16" s="519"/>
    </row>
    <row r="17" spans="2:7" ht="90.75" thickBot="1" x14ac:dyDescent="0.3">
      <c r="B17" s="732" t="s">
        <v>469</v>
      </c>
      <c r="C17" s="513" t="s">
        <v>469</v>
      </c>
      <c r="D17" s="516" t="s">
        <v>470</v>
      </c>
      <c r="E17" s="516" t="s">
        <v>471</v>
      </c>
      <c r="F17" s="516" t="s">
        <v>472</v>
      </c>
      <c r="G17" s="514" t="s">
        <v>473</v>
      </c>
    </row>
    <row r="18" spans="2:7" ht="76.5" thickTop="1" thickBot="1" x14ac:dyDescent="0.3">
      <c r="B18" s="732"/>
      <c r="C18" s="513" t="s">
        <v>474</v>
      </c>
      <c r="D18" s="516" t="s">
        <v>475</v>
      </c>
      <c r="E18" s="516" t="s">
        <v>475</v>
      </c>
      <c r="F18" s="520" t="s">
        <v>476</v>
      </c>
      <c r="G18" s="514" t="s">
        <v>477</v>
      </c>
    </row>
    <row r="19" spans="2:7" ht="31.5" thickTop="1" thickBot="1" x14ac:dyDescent="0.3">
      <c r="B19" s="732"/>
      <c r="C19" s="513" t="s">
        <v>478</v>
      </c>
      <c r="D19" s="516" t="s">
        <v>479</v>
      </c>
      <c r="E19" s="516" t="s">
        <v>479</v>
      </c>
      <c r="F19" s="516" t="s">
        <v>479</v>
      </c>
      <c r="G19" s="514" t="s">
        <v>477</v>
      </c>
    </row>
    <row r="20" spans="2:7" ht="31.5" thickTop="1" thickBot="1" x14ac:dyDescent="0.3">
      <c r="B20" s="732"/>
      <c r="C20" s="513" t="s">
        <v>480</v>
      </c>
      <c r="D20" s="514" t="s">
        <v>481</v>
      </c>
      <c r="E20" s="514" t="s">
        <v>481</v>
      </c>
      <c r="F20" s="516" t="s">
        <v>482</v>
      </c>
      <c r="G20" s="514" t="s">
        <v>477</v>
      </c>
    </row>
    <row r="21" spans="2:7" ht="46.5" thickTop="1" thickBot="1" x14ac:dyDescent="0.3">
      <c r="B21" s="733" t="s">
        <v>483</v>
      </c>
      <c r="C21" s="513" t="s">
        <v>484</v>
      </c>
      <c r="D21" s="516" t="s">
        <v>485</v>
      </c>
      <c r="E21" s="520" t="s">
        <v>486</v>
      </c>
      <c r="F21" s="516" t="s">
        <v>487</v>
      </c>
      <c r="G21" s="514" t="s">
        <v>473</v>
      </c>
    </row>
    <row r="22" spans="2:7" ht="60.75" thickBot="1" x14ac:dyDescent="0.3">
      <c r="B22" s="734"/>
      <c r="C22" s="513" t="s">
        <v>488</v>
      </c>
      <c r="D22" s="516" t="s">
        <v>489</v>
      </c>
      <c r="E22" s="516" t="s">
        <v>490</v>
      </c>
      <c r="F22" s="516" t="s">
        <v>491</v>
      </c>
      <c r="G22" s="514" t="s">
        <v>492</v>
      </c>
    </row>
    <row r="23" spans="2:7" ht="45.75" thickBot="1" x14ac:dyDescent="0.3">
      <c r="B23" s="734"/>
      <c r="C23" s="513" t="s">
        <v>493</v>
      </c>
      <c r="D23" s="516" t="s">
        <v>494</v>
      </c>
      <c r="E23" s="516" t="s">
        <v>495</v>
      </c>
      <c r="F23" s="516" t="s">
        <v>496</v>
      </c>
      <c r="G23" s="514" t="s">
        <v>497</v>
      </c>
    </row>
    <row r="24" spans="2:7" ht="45.75" thickBot="1" x14ac:dyDescent="0.3">
      <c r="B24" s="734"/>
      <c r="C24" s="513" t="s">
        <v>498</v>
      </c>
      <c r="D24" s="514"/>
      <c r="E24" s="514"/>
      <c r="F24" s="514"/>
      <c r="G24" s="514" t="s">
        <v>499</v>
      </c>
    </row>
    <row r="25" spans="2:7" ht="45.75" thickBot="1" x14ac:dyDescent="0.3">
      <c r="B25" s="734"/>
      <c r="C25" s="513" t="s">
        <v>500</v>
      </c>
      <c r="D25" s="514"/>
      <c r="E25" s="514"/>
      <c r="F25" s="514"/>
      <c r="G25" s="514" t="s">
        <v>499</v>
      </c>
    </row>
    <row r="26" spans="2:7" ht="45.75" thickBot="1" x14ac:dyDescent="0.3">
      <c r="B26" s="734"/>
      <c r="C26" s="513" t="s">
        <v>501</v>
      </c>
      <c r="D26" s="514"/>
      <c r="E26" s="514"/>
      <c r="F26" s="514"/>
      <c r="G26" s="514" t="s">
        <v>499</v>
      </c>
    </row>
    <row r="27" spans="2:7" ht="15.75" thickBot="1" x14ac:dyDescent="0.3">
      <c r="B27" s="735"/>
      <c r="C27" s="513" t="s">
        <v>467</v>
      </c>
      <c r="D27" s="521" t="s">
        <v>468</v>
      </c>
      <c r="E27" s="521" t="s">
        <v>468</v>
      </c>
      <c r="F27" s="521" t="s">
        <v>468</v>
      </c>
      <c r="G27" s="519"/>
    </row>
    <row r="28" spans="2:7" ht="15.75" thickBot="1" x14ac:dyDescent="0.3">
      <c r="B28" s="732" t="s">
        <v>502</v>
      </c>
      <c r="C28" s="523" t="s">
        <v>503</v>
      </c>
      <c r="D28" s="514"/>
      <c r="E28" s="514"/>
      <c r="F28" s="514"/>
      <c r="G28" s="514"/>
    </row>
    <row r="29" spans="2:7" ht="46.5" thickTop="1" thickBot="1" x14ac:dyDescent="0.3">
      <c r="B29" s="732"/>
      <c r="C29" s="513" t="s">
        <v>504</v>
      </c>
      <c r="D29" s="516" t="s">
        <v>505</v>
      </c>
      <c r="E29" s="520" t="s">
        <v>506</v>
      </c>
      <c r="F29" s="520" t="s">
        <v>507</v>
      </c>
      <c r="G29" s="514" t="s">
        <v>508</v>
      </c>
    </row>
    <row r="30" spans="2:7" ht="16.5" thickTop="1" thickBot="1" x14ac:dyDescent="0.3">
      <c r="B30" s="732"/>
      <c r="C30" s="513" t="s">
        <v>509</v>
      </c>
      <c r="D30" s="514">
        <v>7.0000000000000007E-2</v>
      </c>
      <c r="E30" s="514">
        <v>7.0000000000000007E-2</v>
      </c>
      <c r="F30" s="514">
        <v>7.0000000000000007E-2</v>
      </c>
      <c r="G30" s="514" t="s">
        <v>510</v>
      </c>
    </row>
    <row r="31" spans="2:7" ht="31.5" thickTop="1" thickBot="1" x14ac:dyDescent="0.3">
      <c r="B31" s="732"/>
      <c r="C31" s="513" t="s">
        <v>511</v>
      </c>
      <c r="D31" s="516" t="s">
        <v>512</v>
      </c>
      <c r="E31" s="520" t="s">
        <v>513</v>
      </c>
      <c r="F31" s="520" t="s">
        <v>514</v>
      </c>
      <c r="G31" s="514" t="s">
        <v>508</v>
      </c>
    </row>
    <row r="32" spans="2:7" ht="16.5" thickTop="1" thickBot="1" x14ac:dyDescent="0.3">
      <c r="B32" s="732"/>
      <c r="C32" s="513" t="s">
        <v>515</v>
      </c>
      <c r="D32" s="514">
        <v>3.2000000000000001E-2</v>
      </c>
      <c r="E32" s="514">
        <v>3.2000000000000001E-2</v>
      </c>
      <c r="F32" s="514">
        <v>3.2000000000000001E-2</v>
      </c>
      <c r="G32" s="514" t="s">
        <v>516</v>
      </c>
    </row>
    <row r="33" spans="2:7" ht="31.5" thickTop="1" thickBot="1" x14ac:dyDescent="0.3">
      <c r="B33" s="732"/>
      <c r="C33" s="513" t="s">
        <v>517</v>
      </c>
      <c r="D33" s="516" t="s">
        <v>518</v>
      </c>
      <c r="E33" s="514" t="s">
        <v>519</v>
      </c>
      <c r="F33" s="514" t="s">
        <v>519</v>
      </c>
      <c r="G33" s="514" t="s">
        <v>508</v>
      </c>
    </row>
    <row r="34" spans="2:7" ht="31.5" thickTop="1" thickBot="1" x14ac:dyDescent="0.3">
      <c r="B34" s="732"/>
      <c r="C34" s="513" t="s">
        <v>520</v>
      </c>
      <c r="D34" s="514">
        <v>0.74</v>
      </c>
      <c r="E34" s="514">
        <v>0.74</v>
      </c>
      <c r="F34" s="516" t="s">
        <v>521</v>
      </c>
      <c r="G34" s="514" t="s">
        <v>522</v>
      </c>
    </row>
    <row r="35" spans="2:7" ht="31.5" thickTop="1" thickBot="1" x14ac:dyDescent="0.3">
      <c r="B35" s="732"/>
      <c r="C35" s="513" t="s">
        <v>523</v>
      </c>
      <c r="D35" s="516" t="s">
        <v>524</v>
      </c>
      <c r="E35" s="516" t="s">
        <v>524</v>
      </c>
      <c r="F35" s="520" t="s">
        <v>525</v>
      </c>
      <c r="G35" s="514" t="s">
        <v>508</v>
      </c>
    </row>
    <row r="36" spans="2:7" ht="16.5" thickTop="1" thickBot="1" x14ac:dyDescent="0.3">
      <c r="B36" s="732"/>
      <c r="C36" s="513" t="s">
        <v>526</v>
      </c>
      <c r="D36" s="516" t="s">
        <v>527</v>
      </c>
      <c r="E36" s="516" t="s">
        <v>527</v>
      </c>
      <c r="F36" s="520">
        <v>1.1399999999999999</v>
      </c>
      <c r="G36" s="514" t="s">
        <v>528</v>
      </c>
    </row>
    <row r="37" spans="2:7" ht="31.5" thickTop="1" thickBot="1" x14ac:dyDescent="0.3">
      <c r="B37" s="732"/>
      <c r="C37" s="513" t="s">
        <v>529</v>
      </c>
      <c r="D37" s="516" t="s">
        <v>530</v>
      </c>
      <c r="E37" s="520" t="s">
        <v>531</v>
      </c>
      <c r="F37" s="520" t="s">
        <v>532</v>
      </c>
      <c r="G37" s="514" t="s">
        <v>508</v>
      </c>
    </row>
    <row r="38" spans="2:7" ht="16.5" thickTop="1" thickBot="1" x14ac:dyDescent="0.3">
      <c r="B38" s="732"/>
      <c r="C38" s="524" t="s">
        <v>533</v>
      </c>
      <c r="D38" s="514">
        <v>0.12</v>
      </c>
      <c r="E38" s="514">
        <v>4.4999999999999998E-2</v>
      </c>
      <c r="F38" s="514">
        <v>4.4999999999999998E-2</v>
      </c>
      <c r="G38" s="514" t="s">
        <v>534</v>
      </c>
    </row>
    <row r="39" spans="2:7" ht="61.5" thickTop="1" thickBot="1" x14ac:dyDescent="0.3">
      <c r="B39" s="732"/>
      <c r="C39" s="513" t="s">
        <v>535</v>
      </c>
      <c r="D39" s="516" t="s">
        <v>536</v>
      </c>
      <c r="E39" s="520" t="s">
        <v>537</v>
      </c>
      <c r="F39" s="516" t="s">
        <v>538</v>
      </c>
      <c r="G39" s="514" t="s">
        <v>539</v>
      </c>
    </row>
    <row r="40" spans="2:7" ht="16.5" thickTop="1" thickBot="1" x14ac:dyDescent="0.3">
      <c r="B40" s="732"/>
      <c r="C40" s="525" t="s">
        <v>540</v>
      </c>
      <c r="D40" s="514"/>
      <c r="E40" s="514"/>
      <c r="F40" s="514"/>
      <c r="G40" s="514"/>
    </row>
    <row r="41" spans="2:7" ht="31.5" thickTop="1" thickBot="1" x14ac:dyDescent="0.3">
      <c r="B41" s="732"/>
      <c r="C41" s="513" t="s">
        <v>541</v>
      </c>
      <c r="D41" s="516" t="s">
        <v>530</v>
      </c>
      <c r="E41" s="520" t="s">
        <v>542</v>
      </c>
      <c r="F41" s="516" t="s">
        <v>543</v>
      </c>
      <c r="G41" s="514" t="s">
        <v>508</v>
      </c>
    </row>
    <row r="42" spans="2:7" ht="31.5" thickTop="1" thickBot="1" x14ac:dyDescent="0.3">
      <c r="B42" s="732"/>
      <c r="C42" s="513" t="s">
        <v>544</v>
      </c>
      <c r="D42" s="516" t="s">
        <v>530</v>
      </c>
      <c r="E42" s="520" t="s">
        <v>545</v>
      </c>
      <c r="F42" s="516" t="s">
        <v>546</v>
      </c>
      <c r="G42" s="514" t="s">
        <v>508</v>
      </c>
    </row>
    <row r="43" spans="2:7" ht="31.5" thickTop="1" thickBot="1" x14ac:dyDescent="0.3">
      <c r="B43" s="732"/>
      <c r="C43" s="513" t="s">
        <v>547</v>
      </c>
      <c r="D43" s="516" t="s">
        <v>524</v>
      </c>
      <c r="E43" s="520" t="s">
        <v>548</v>
      </c>
      <c r="F43" s="516" t="s">
        <v>549</v>
      </c>
      <c r="G43" s="514" t="s">
        <v>508</v>
      </c>
    </row>
    <row r="44" spans="2:7" ht="31.5" thickTop="1" thickBot="1" x14ac:dyDescent="0.3">
      <c r="B44" s="732"/>
      <c r="C44" s="513" t="s">
        <v>550</v>
      </c>
      <c r="D44" s="516" t="s">
        <v>551</v>
      </c>
      <c r="E44" s="520" t="s">
        <v>552</v>
      </c>
      <c r="F44" s="520" t="s">
        <v>553</v>
      </c>
      <c r="G44" s="514" t="s">
        <v>508</v>
      </c>
    </row>
    <row r="45" spans="2:7" ht="16.5" thickTop="1" thickBot="1" x14ac:dyDescent="0.3">
      <c r="B45" s="732"/>
      <c r="C45" s="513" t="s">
        <v>554</v>
      </c>
      <c r="D45" s="514">
        <v>0.25</v>
      </c>
      <c r="E45" s="520">
        <v>0.23</v>
      </c>
      <c r="F45" s="516">
        <v>0.23</v>
      </c>
      <c r="G45" s="514" t="s">
        <v>508</v>
      </c>
    </row>
    <row r="46" spans="2:7" ht="16.5" thickTop="1" thickBot="1" x14ac:dyDescent="0.3">
      <c r="B46" s="732"/>
      <c r="C46" s="513" t="s">
        <v>555</v>
      </c>
      <c r="D46" s="526" t="s">
        <v>556</v>
      </c>
      <c r="E46" s="527" t="s">
        <v>557</v>
      </c>
      <c r="F46" s="526" t="s">
        <v>558</v>
      </c>
      <c r="G46" s="514" t="s">
        <v>508</v>
      </c>
    </row>
    <row r="47" spans="2:7" ht="16.5" thickTop="1" thickBot="1" x14ac:dyDescent="0.3">
      <c r="B47" s="732"/>
      <c r="C47" s="513" t="s">
        <v>467</v>
      </c>
      <c r="D47" s="521" t="s">
        <v>559</v>
      </c>
      <c r="E47" s="521" t="s">
        <v>559</v>
      </c>
      <c r="F47" s="521" t="s">
        <v>559</v>
      </c>
      <c r="G47" s="519"/>
    </row>
    <row r="48" spans="2:7" ht="16.5" thickTop="1" thickBot="1" x14ac:dyDescent="0.3">
      <c r="B48" s="732" t="s">
        <v>560</v>
      </c>
      <c r="C48" s="523" t="s">
        <v>500</v>
      </c>
      <c r="D48" s="514"/>
      <c r="E48" s="514"/>
      <c r="F48" s="514"/>
      <c r="G48" s="514"/>
    </row>
    <row r="49" spans="2:7" ht="136.5" thickTop="1" thickBot="1" x14ac:dyDescent="0.3">
      <c r="B49" s="732"/>
      <c r="C49" s="513" t="s">
        <v>561</v>
      </c>
      <c r="D49" s="516" t="s">
        <v>562</v>
      </c>
      <c r="E49" s="520" t="s">
        <v>563</v>
      </c>
      <c r="F49" s="516" t="s">
        <v>564</v>
      </c>
      <c r="G49" s="514" t="s">
        <v>565</v>
      </c>
    </row>
    <row r="50" spans="2:7" ht="31.5" thickTop="1" thickBot="1" x14ac:dyDescent="0.3">
      <c r="B50" s="732"/>
      <c r="C50" s="513" t="s">
        <v>566</v>
      </c>
      <c r="D50" s="516" t="s">
        <v>567</v>
      </c>
      <c r="E50" s="520" t="s">
        <v>568</v>
      </c>
      <c r="F50" s="516" t="s">
        <v>569</v>
      </c>
      <c r="G50" s="514" t="s">
        <v>508</v>
      </c>
    </row>
    <row r="51" spans="2:7" ht="46.5" thickTop="1" thickBot="1" x14ac:dyDescent="0.3">
      <c r="B51" s="732"/>
      <c r="C51" s="513" t="s">
        <v>570</v>
      </c>
      <c r="D51" s="516" t="s">
        <v>567</v>
      </c>
      <c r="E51" s="520" t="s">
        <v>571</v>
      </c>
      <c r="F51" s="520" t="s">
        <v>572</v>
      </c>
      <c r="G51" s="514" t="s">
        <v>573</v>
      </c>
    </row>
    <row r="52" spans="2:7" ht="16.5" thickTop="1" thickBot="1" x14ac:dyDescent="0.3">
      <c r="B52" s="732"/>
      <c r="C52" s="523" t="s">
        <v>574</v>
      </c>
      <c r="D52" s="514"/>
      <c r="E52" s="514"/>
      <c r="F52" s="514"/>
      <c r="G52" s="514"/>
    </row>
    <row r="53" spans="2:7" ht="136.5" thickTop="1" thickBot="1" x14ac:dyDescent="0.3">
      <c r="B53" s="732"/>
      <c r="C53" s="513" t="s">
        <v>501</v>
      </c>
      <c r="D53" s="514" t="s">
        <v>575</v>
      </c>
      <c r="E53" s="520" t="s">
        <v>576</v>
      </c>
      <c r="F53" s="520" t="s">
        <v>577</v>
      </c>
      <c r="G53" s="514" t="s">
        <v>578</v>
      </c>
    </row>
    <row r="54" spans="2:7" ht="16.5" thickTop="1" thickBot="1" x14ac:dyDescent="0.3">
      <c r="B54" s="732"/>
      <c r="C54" s="513" t="s">
        <v>579</v>
      </c>
      <c r="D54" s="514" t="s">
        <v>524</v>
      </c>
      <c r="E54" s="514" t="s">
        <v>524</v>
      </c>
      <c r="F54" s="520" t="s">
        <v>580</v>
      </c>
      <c r="G54" s="514" t="s">
        <v>581</v>
      </c>
    </row>
    <row r="55" spans="2:7" ht="31.5" thickTop="1" thickBot="1" x14ac:dyDescent="0.3">
      <c r="B55" s="732"/>
      <c r="C55" s="513" t="s">
        <v>582</v>
      </c>
      <c r="D55" s="514" t="s">
        <v>583</v>
      </c>
      <c r="E55" s="520" t="s">
        <v>584</v>
      </c>
      <c r="F55" s="520" t="s">
        <v>585</v>
      </c>
      <c r="G55" s="516" t="s">
        <v>586</v>
      </c>
    </row>
    <row r="56" spans="2:7" ht="76.5" thickTop="1" thickBot="1" x14ac:dyDescent="0.3">
      <c r="B56" s="732"/>
      <c r="C56" s="513" t="s">
        <v>587</v>
      </c>
      <c r="D56" s="514" t="s">
        <v>583</v>
      </c>
      <c r="E56" s="528" t="s">
        <v>588</v>
      </c>
      <c r="F56" s="528" t="s">
        <v>589</v>
      </c>
      <c r="G56" s="516" t="s">
        <v>590</v>
      </c>
    </row>
    <row r="57" spans="2:7" ht="16.5" thickTop="1" thickBot="1" x14ac:dyDescent="0.3">
      <c r="B57" s="732"/>
      <c r="C57" s="513" t="s">
        <v>467</v>
      </c>
      <c r="D57" s="521" t="s">
        <v>591</v>
      </c>
      <c r="E57" s="521" t="s">
        <v>591</v>
      </c>
      <c r="F57" s="521" t="s">
        <v>591</v>
      </c>
      <c r="G57" s="519"/>
    </row>
    <row r="58" spans="2:7" ht="91.5" thickTop="1" thickBot="1" x14ac:dyDescent="0.3">
      <c r="B58" s="732" t="s">
        <v>592</v>
      </c>
      <c r="C58" s="513" t="s">
        <v>593</v>
      </c>
      <c r="D58" s="514" t="s">
        <v>594</v>
      </c>
      <c r="E58" s="516" t="s">
        <v>595</v>
      </c>
      <c r="F58" s="516" t="s">
        <v>596</v>
      </c>
      <c r="G58" s="514" t="s">
        <v>597</v>
      </c>
    </row>
    <row r="59" spans="2:7" ht="61.5" thickTop="1" thickBot="1" x14ac:dyDescent="0.3">
      <c r="B59" s="732"/>
      <c r="C59" s="513" t="s">
        <v>598</v>
      </c>
      <c r="D59" s="514" t="s">
        <v>599</v>
      </c>
      <c r="E59" s="520" t="s">
        <v>600</v>
      </c>
      <c r="F59" s="516" t="s">
        <v>601</v>
      </c>
      <c r="G59" s="514" t="s">
        <v>597</v>
      </c>
    </row>
    <row r="60" spans="2:7" ht="31.5" thickTop="1" thickBot="1" x14ac:dyDescent="0.3">
      <c r="B60" s="732"/>
      <c r="C60" s="513" t="s">
        <v>602</v>
      </c>
      <c r="D60" s="516" t="s">
        <v>603</v>
      </c>
      <c r="E60" s="516" t="s">
        <v>603</v>
      </c>
      <c r="F60" s="516" t="s">
        <v>603</v>
      </c>
      <c r="G60" s="514" t="s">
        <v>604</v>
      </c>
    </row>
    <row r="61" spans="2:7" ht="31.5" thickTop="1" thickBot="1" x14ac:dyDescent="0.3">
      <c r="B61" s="732"/>
      <c r="C61" s="513" t="s">
        <v>605</v>
      </c>
      <c r="D61" s="514" t="s">
        <v>606</v>
      </c>
      <c r="E61" s="514" t="s">
        <v>606</v>
      </c>
      <c r="F61" s="514" t="s">
        <v>606</v>
      </c>
      <c r="G61" s="514" t="s">
        <v>508</v>
      </c>
    </row>
    <row r="62" spans="2:7" ht="31.5" thickTop="1" thickBot="1" x14ac:dyDescent="0.3">
      <c r="B62" s="732"/>
      <c r="C62" s="513" t="s">
        <v>607</v>
      </c>
      <c r="D62" s="514" t="s">
        <v>608</v>
      </c>
      <c r="E62" s="514" t="s">
        <v>608</v>
      </c>
      <c r="F62" s="520" t="s">
        <v>609</v>
      </c>
      <c r="G62" s="514" t="s">
        <v>508</v>
      </c>
    </row>
    <row r="63" spans="2:7" ht="31.5" thickTop="1" thickBot="1" x14ac:dyDescent="0.3">
      <c r="B63" s="732"/>
      <c r="C63" s="513" t="s">
        <v>610</v>
      </c>
      <c r="D63" s="514" t="s">
        <v>611</v>
      </c>
      <c r="E63" s="520" t="s">
        <v>612</v>
      </c>
      <c r="F63" s="520" t="s">
        <v>613</v>
      </c>
      <c r="G63" s="514" t="s">
        <v>614</v>
      </c>
    </row>
    <row r="64" spans="2:7" ht="46.5" thickTop="1" thickBot="1" x14ac:dyDescent="0.3">
      <c r="B64" s="732"/>
      <c r="C64" s="513" t="s">
        <v>615</v>
      </c>
      <c r="D64" s="514" t="s">
        <v>616</v>
      </c>
      <c r="E64" s="520" t="s">
        <v>617</v>
      </c>
      <c r="F64" s="520" t="s">
        <v>618</v>
      </c>
      <c r="G64" s="514" t="s">
        <v>619</v>
      </c>
    </row>
    <row r="65" spans="2:7" ht="16.5" thickTop="1" thickBot="1" x14ac:dyDescent="0.3">
      <c r="B65" s="732"/>
      <c r="C65" s="513" t="s">
        <v>620</v>
      </c>
      <c r="D65" s="529">
        <v>1</v>
      </c>
      <c r="E65" s="529">
        <v>1</v>
      </c>
      <c r="F65" s="527">
        <f>1-1/187</f>
        <v>0.99465240641711228</v>
      </c>
      <c r="G65" s="514" t="s">
        <v>508</v>
      </c>
    </row>
    <row r="66" spans="2:7" ht="16.5" thickTop="1" thickBot="1" x14ac:dyDescent="0.3">
      <c r="B66" s="732"/>
      <c r="C66" s="513" t="s">
        <v>621</v>
      </c>
      <c r="D66" s="514" t="s">
        <v>622</v>
      </c>
      <c r="E66" s="514" t="s">
        <v>622</v>
      </c>
      <c r="F66" s="520" t="s">
        <v>623</v>
      </c>
      <c r="G66" s="514" t="s">
        <v>624</v>
      </c>
    </row>
    <row r="67" spans="2:7" ht="31.5" thickTop="1" thickBot="1" x14ac:dyDescent="0.3">
      <c r="B67" s="732"/>
      <c r="C67" s="513" t="s">
        <v>625</v>
      </c>
      <c r="D67" s="514" t="s">
        <v>583</v>
      </c>
      <c r="E67" s="520" t="s">
        <v>626</v>
      </c>
      <c r="F67" s="520" t="s">
        <v>627</v>
      </c>
      <c r="G67" s="514" t="s">
        <v>614</v>
      </c>
    </row>
    <row r="68" spans="2:7" ht="46.5" thickTop="1" thickBot="1" x14ac:dyDescent="0.3">
      <c r="B68" s="732"/>
      <c r="C68" s="513" t="s">
        <v>628</v>
      </c>
      <c r="D68" s="514" t="s">
        <v>524</v>
      </c>
      <c r="E68" s="520" t="s">
        <v>629</v>
      </c>
      <c r="F68" s="516" t="s">
        <v>630</v>
      </c>
      <c r="G68" s="514" t="s">
        <v>631</v>
      </c>
    </row>
    <row r="69" spans="2:7" ht="16.5" thickTop="1" thickBot="1" x14ac:dyDescent="0.3">
      <c r="B69" s="732"/>
      <c r="C69" s="513" t="s">
        <v>467</v>
      </c>
      <c r="D69" s="521" t="s">
        <v>632</v>
      </c>
      <c r="E69" s="521" t="s">
        <v>632</v>
      </c>
      <c r="F69" s="521" t="s">
        <v>632</v>
      </c>
      <c r="G69" s="519"/>
    </row>
    <row r="70" spans="2:7" ht="106.5" thickTop="1" thickBot="1" x14ac:dyDescent="0.3">
      <c r="B70" s="732" t="s">
        <v>633</v>
      </c>
      <c r="C70" s="513" t="s">
        <v>634</v>
      </c>
      <c r="D70" s="516" t="s">
        <v>635</v>
      </c>
      <c r="E70" s="520" t="s">
        <v>636</v>
      </c>
      <c r="F70" s="516" t="s">
        <v>637</v>
      </c>
      <c r="G70" s="514" t="s">
        <v>508</v>
      </c>
    </row>
    <row r="71" spans="2:7" ht="31.5" thickTop="1" thickBot="1" x14ac:dyDescent="0.3">
      <c r="B71" s="732"/>
      <c r="C71" s="513" t="s">
        <v>638</v>
      </c>
      <c r="D71" s="516" t="s">
        <v>639</v>
      </c>
      <c r="E71" s="516" t="s">
        <v>639</v>
      </c>
      <c r="F71" s="516" t="s">
        <v>639</v>
      </c>
      <c r="G71" s="514" t="s">
        <v>446</v>
      </c>
    </row>
    <row r="72" spans="2:7" ht="31.5" thickTop="1" thickBot="1" x14ac:dyDescent="0.3">
      <c r="B72" s="732"/>
      <c r="C72" s="513" t="s">
        <v>640</v>
      </c>
      <c r="D72" s="516" t="s">
        <v>641</v>
      </c>
      <c r="E72" s="516" t="s">
        <v>641</v>
      </c>
      <c r="F72" s="516" t="s">
        <v>641</v>
      </c>
      <c r="G72" s="514" t="s">
        <v>446</v>
      </c>
    </row>
    <row r="73" spans="2:7" ht="91.5" thickTop="1" thickBot="1" x14ac:dyDescent="0.3">
      <c r="B73" s="732"/>
      <c r="C73" s="513" t="s">
        <v>642</v>
      </c>
      <c r="D73" s="514" t="s">
        <v>643</v>
      </c>
      <c r="E73" s="516" t="s">
        <v>644</v>
      </c>
      <c r="F73" s="520" t="s">
        <v>645</v>
      </c>
      <c r="G73" s="516" t="s">
        <v>508</v>
      </c>
    </row>
    <row r="74" spans="2:7" ht="91.5" thickTop="1" thickBot="1" x14ac:dyDescent="0.3">
      <c r="B74" s="732"/>
      <c r="C74" s="513" t="s">
        <v>646</v>
      </c>
      <c r="D74" s="518" t="s">
        <v>647</v>
      </c>
      <c r="E74" s="528" t="s">
        <v>648</v>
      </c>
      <c r="F74" s="530" t="s">
        <v>649</v>
      </c>
      <c r="G74" s="514" t="s">
        <v>650</v>
      </c>
    </row>
    <row r="75" spans="2:7" ht="181.5" thickTop="1" thickBot="1" x14ac:dyDescent="0.3">
      <c r="B75" s="732"/>
      <c r="C75" s="513" t="s">
        <v>651</v>
      </c>
      <c r="D75" s="514" t="s">
        <v>652</v>
      </c>
      <c r="E75" s="531" t="s">
        <v>653</v>
      </c>
      <c r="F75" s="532" t="s">
        <v>654</v>
      </c>
      <c r="G75" s="514" t="s">
        <v>655</v>
      </c>
    </row>
    <row r="76" spans="2:7" ht="31.5" thickTop="1" thickBot="1" x14ac:dyDescent="0.3">
      <c r="B76" s="732"/>
      <c r="C76" s="513" t="s">
        <v>656</v>
      </c>
      <c r="D76" s="514" t="s">
        <v>657</v>
      </c>
      <c r="E76" s="514" t="s">
        <v>657</v>
      </c>
      <c r="F76" s="520" t="s">
        <v>658</v>
      </c>
      <c r="G76" s="516" t="s">
        <v>659</v>
      </c>
    </row>
    <row r="77" spans="2:7" ht="46.5" thickTop="1" thickBot="1" x14ac:dyDescent="0.3">
      <c r="B77" s="732"/>
      <c r="C77" s="513" t="s">
        <v>660</v>
      </c>
      <c r="D77" s="514" t="s">
        <v>661</v>
      </c>
      <c r="E77" s="531" t="s">
        <v>662</v>
      </c>
      <c r="F77" s="532" t="s">
        <v>663</v>
      </c>
      <c r="G77" s="516" t="s">
        <v>659</v>
      </c>
    </row>
    <row r="78" spans="2:7" ht="31.5" thickTop="1" thickBot="1" x14ac:dyDescent="0.3">
      <c r="B78" s="732"/>
      <c r="C78" s="513" t="s">
        <v>664</v>
      </c>
      <c r="D78" s="514" t="s">
        <v>665</v>
      </c>
      <c r="E78" s="514" t="s">
        <v>665</v>
      </c>
      <c r="F78" s="516" t="s">
        <v>666</v>
      </c>
      <c r="G78" s="516" t="s">
        <v>667</v>
      </c>
    </row>
    <row r="79" spans="2:7" ht="61.5" thickTop="1" thickBot="1" x14ac:dyDescent="0.3">
      <c r="B79" s="732"/>
      <c r="C79" s="513" t="s">
        <v>668</v>
      </c>
      <c r="D79" s="514" t="s">
        <v>669</v>
      </c>
      <c r="E79" s="520" t="s">
        <v>670</v>
      </c>
      <c r="F79" s="516" t="s">
        <v>671</v>
      </c>
      <c r="G79" s="516" t="s">
        <v>667</v>
      </c>
    </row>
    <row r="80" spans="2:7" ht="46.5" thickTop="1" thickBot="1" x14ac:dyDescent="0.3">
      <c r="B80" s="732"/>
      <c r="C80" s="513" t="s">
        <v>672</v>
      </c>
      <c r="D80" s="514" t="s">
        <v>673</v>
      </c>
      <c r="E80" s="520" t="s">
        <v>674</v>
      </c>
      <c r="F80" s="520" t="s">
        <v>675</v>
      </c>
      <c r="G80" s="516" t="s">
        <v>676</v>
      </c>
    </row>
    <row r="81" spans="2:7" ht="31.5" thickTop="1" thickBot="1" x14ac:dyDescent="0.3">
      <c r="B81" s="732"/>
      <c r="C81" s="513" t="s">
        <v>677</v>
      </c>
      <c r="D81" s="514" t="s">
        <v>678</v>
      </c>
      <c r="E81" s="528" t="s">
        <v>679</v>
      </c>
      <c r="F81" s="528" t="s">
        <v>680</v>
      </c>
      <c r="G81" s="516" t="s">
        <v>667</v>
      </c>
    </row>
    <row r="82" spans="2:7" ht="91.5" thickTop="1" thickBot="1" x14ac:dyDescent="0.3">
      <c r="B82" s="732"/>
      <c r="C82" s="513" t="s">
        <v>681</v>
      </c>
      <c r="D82" s="518" t="s">
        <v>682</v>
      </c>
      <c r="E82" s="528" t="s">
        <v>683</v>
      </c>
      <c r="F82" s="518" t="s">
        <v>684</v>
      </c>
      <c r="G82" s="516" t="s">
        <v>685</v>
      </c>
    </row>
    <row r="83" spans="2:7" ht="46.5" thickTop="1" thickBot="1" x14ac:dyDescent="0.3">
      <c r="B83" s="732"/>
      <c r="C83" s="513" t="s">
        <v>686</v>
      </c>
      <c r="D83" s="514" t="s">
        <v>678</v>
      </c>
      <c r="E83" s="520" t="s">
        <v>687</v>
      </c>
      <c r="F83" s="516" t="s">
        <v>688</v>
      </c>
      <c r="G83" s="516" t="s">
        <v>689</v>
      </c>
    </row>
    <row r="84" spans="2:7" ht="61.5" thickTop="1" thickBot="1" x14ac:dyDescent="0.3">
      <c r="B84" s="732"/>
      <c r="C84" s="513" t="s">
        <v>690</v>
      </c>
      <c r="D84" s="514" t="s">
        <v>691</v>
      </c>
      <c r="E84" s="516" t="s">
        <v>692</v>
      </c>
      <c r="F84" s="516" t="s">
        <v>693</v>
      </c>
      <c r="G84" s="516" t="s">
        <v>659</v>
      </c>
    </row>
    <row r="85" spans="2:7" ht="16.5" thickTop="1" thickBot="1" x14ac:dyDescent="0.3">
      <c r="B85" s="732"/>
      <c r="C85" s="513" t="s">
        <v>467</v>
      </c>
      <c r="D85" s="521" t="s">
        <v>694</v>
      </c>
      <c r="E85" s="521" t="s">
        <v>694</v>
      </c>
      <c r="F85" s="521" t="s">
        <v>694</v>
      </c>
      <c r="G85" s="519"/>
    </row>
    <row r="86" spans="2:7" ht="31.5" thickTop="1" thickBot="1" x14ac:dyDescent="0.3">
      <c r="B86" s="732" t="s">
        <v>695</v>
      </c>
      <c r="C86" s="513" t="s">
        <v>638</v>
      </c>
      <c r="D86" s="514" t="s">
        <v>696</v>
      </c>
      <c r="E86" s="514" t="s">
        <v>696</v>
      </c>
      <c r="F86" s="514" t="s">
        <v>696</v>
      </c>
      <c r="G86" s="514" t="s">
        <v>446</v>
      </c>
    </row>
    <row r="87" spans="2:7" ht="31.5" thickTop="1" thickBot="1" x14ac:dyDescent="0.3">
      <c r="B87" s="732"/>
      <c r="C87" s="513" t="s">
        <v>640</v>
      </c>
      <c r="D87" s="514" t="s">
        <v>697</v>
      </c>
      <c r="E87" s="514" t="s">
        <v>697</v>
      </c>
      <c r="F87" s="514" t="s">
        <v>697</v>
      </c>
      <c r="G87" s="514" t="s">
        <v>446</v>
      </c>
    </row>
    <row r="88" spans="2:7" ht="16.5" thickTop="1" thickBot="1" x14ac:dyDescent="0.3">
      <c r="B88" s="732"/>
      <c r="C88" s="513" t="s">
        <v>698</v>
      </c>
      <c r="D88" s="514" t="s">
        <v>696</v>
      </c>
      <c r="E88" s="520" t="s">
        <v>699</v>
      </c>
      <c r="F88" s="514" t="s">
        <v>699</v>
      </c>
      <c r="G88" s="514" t="s">
        <v>700</v>
      </c>
    </row>
    <row r="89" spans="2:7" ht="61.5" thickTop="1" thickBot="1" x14ac:dyDescent="0.3">
      <c r="B89" s="732"/>
      <c r="C89" s="513" t="s">
        <v>701</v>
      </c>
      <c r="D89" s="514" t="s">
        <v>702</v>
      </c>
      <c r="E89" s="520" t="s">
        <v>703</v>
      </c>
      <c r="F89" s="516" t="s">
        <v>704</v>
      </c>
      <c r="G89" s="529" t="s">
        <v>705</v>
      </c>
    </row>
    <row r="90" spans="2:7" ht="61.5" thickTop="1" thickBot="1" x14ac:dyDescent="0.3">
      <c r="B90" s="732"/>
      <c r="C90" s="513" t="s">
        <v>706</v>
      </c>
      <c r="D90" s="518" t="s">
        <v>707</v>
      </c>
      <c r="E90" s="533" t="s">
        <v>708</v>
      </c>
      <c r="F90" s="534" t="s">
        <v>709</v>
      </c>
      <c r="G90" s="516" t="s">
        <v>710</v>
      </c>
    </row>
    <row r="91" spans="2:7" ht="31.5" thickTop="1" thickBot="1" x14ac:dyDescent="0.3">
      <c r="B91" s="732"/>
      <c r="C91" s="513" t="s">
        <v>711</v>
      </c>
      <c r="D91" s="514" t="s">
        <v>712</v>
      </c>
      <c r="E91" s="520" t="s">
        <v>713</v>
      </c>
      <c r="F91" s="520" t="s">
        <v>714</v>
      </c>
      <c r="G91" s="516" t="s">
        <v>715</v>
      </c>
    </row>
    <row r="92" spans="2:7" ht="61.5" thickTop="1" thickBot="1" x14ac:dyDescent="0.3">
      <c r="B92" s="732"/>
      <c r="C92" s="513" t="s">
        <v>716</v>
      </c>
      <c r="D92" s="514" t="s">
        <v>717</v>
      </c>
      <c r="E92" s="520" t="s">
        <v>718</v>
      </c>
      <c r="F92" s="531" t="s">
        <v>719</v>
      </c>
      <c r="G92" s="516" t="s">
        <v>715</v>
      </c>
    </row>
    <row r="93" spans="2:7" ht="61.5" thickTop="1" thickBot="1" x14ac:dyDescent="0.3">
      <c r="B93" s="732"/>
      <c r="C93" s="513" t="s">
        <v>720</v>
      </c>
      <c r="D93" s="518" t="s">
        <v>721</v>
      </c>
      <c r="E93" s="518" t="s">
        <v>722</v>
      </c>
      <c r="F93" s="518" t="s">
        <v>723</v>
      </c>
      <c r="G93" s="516" t="s">
        <v>710</v>
      </c>
    </row>
    <row r="94" spans="2:7" ht="16.5" thickTop="1" thickBot="1" x14ac:dyDescent="0.3">
      <c r="B94" s="732"/>
      <c r="C94" s="513" t="s">
        <v>724</v>
      </c>
      <c r="D94" s="514" t="s">
        <v>697</v>
      </c>
      <c r="E94" s="520" t="s">
        <v>725</v>
      </c>
      <c r="F94" s="514" t="s">
        <v>725</v>
      </c>
      <c r="G94" s="514" t="s">
        <v>700</v>
      </c>
    </row>
    <row r="95" spans="2:7" ht="91.5" thickTop="1" thickBot="1" x14ac:dyDescent="0.3">
      <c r="B95" s="732"/>
      <c r="C95" s="513" t="s">
        <v>726</v>
      </c>
      <c r="D95" s="514" t="s">
        <v>727</v>
      </c>
      <c r="E95" s="527" t="s">
        <v>728</v>
      </c>
      <c r="F95" s="527" t="s">
        <v>729</v>
      </c>
      <c r="G95" s="529" t="s">
        <v>705</v>
      </c>
    </row>
    <row r="96" spans="2:7" ht="76.5" thickTop="1" thickBot="1" x14ac:dyDescent="0.3">
      <c r="B96" s="732"/>
      <c r="C96" s="513" t="s">
        <v>730</v>
      </c>
      <c r="D96" s="535" t="s">
        <v>731</v>
      </c>
      <c r="E96" s="535" t="s">
        <v>731</v>
      </c>
      <c r="F96" s="535" t="s">
        <v>732</v>
      </c>
      <c r="G96" s="516" t="s">
        <v>733</v>
      </c>
    </row>
    <row r="97" spans="2:7" ht="31.5" thickTop="1" thickBot="1" x14ac:dyDescent="0.3">
      <c r="B97" s="732"/>
      <c r="C97" s="513" t="s">
        <v>734</v>
      </c>
      <c r="D97" s="514" t="s">
        <v>712</v>
      </c>
      <c r="E97" s="520" t="s">
        <v>735</v>
      </c>
      <c r="F97" s="520" t="s">
        <v>736</v>
      </c>
      <c r="G97" s="516" t="s">
        <v>715</v>
      </c>
    </row>
    <row r="98" spans="2:7" ht="61.5" thickTop="1" thickBot="1" x14ac:dyDescent="0.3">
      <c r="B98" s="732"/>
      <c r="C98" s="513" t="s">
        <v>737</v>
      </c>
      <c r="D98" s="514" t="s">
        <v>738</v>
      </c>
      <c r="E98" s="520" t="s">
        <v>739</v>
      </c>
      <c r="F98" s="531" t="s">
        <v>740</v>
      </c>
      <c r="G98" s="516" t="s">
        <v>715</v>
      </c>
    </row>
    <row r="99" spans="2:7" ht="46.5" thickTop="1" thickBot="1" x14ac:dyDescent="0.3">
      <c r="B99" s="732"/>
      <c r="C99" s="513" t="s">
        <v>741</v>
      </c>
      <c r="D99" s="514" t="s">
        <v>721</v>
      </c>
      <c r="E99" s="518" t="s">
        <v>722</v>
      </c>
      <c r="F99" s="518" t="s">
        <v>742</v>
      </c>
      <c r="G99" s="516" t="s">
        <v>733</v>
      </c>
    </row>
    <row r="100" spans="2:7" ht="16.5" thickTop="1" thickBot="1" x14ac:dyDescent="0.3">
      <c r="B100" s="732"/>
      <c r="C100" s="513" t="s">
        <v>467</v>
      </c>
      <c r="D100" s="521" t="s">
        <v>694</v>
      </c>
      <c r="E100" s="521" t="s">
        <v>694</v>
      </c>
      <c r="F100" s="521" t="s">
        <v>694</v>
      </c>
      <c r="G100" s="519"/>
    </row>
    <row r="101" spans="2:7" ht="15.75" thickTop="1" x14ac:dyDescent="0.25"/>
  </sheetData>
  <mergeCells count="8">
    <mergeCell ref="B70:B85"/>
    <mergeCell ref="B86:B100"/>
    <mergeCell ref="B3:B16"/>
    <mergeCell ref="B17:B20"/>
    <mergeCell ref="B21:B27"/>
    <mergeCell ref="B28:B47"/>
    <mergeCell ref="B48:B57"/>
    <mergeCell ref="B58:B69"/>
  </mergeCells>
  <dataValidations count="1">
    <dataValidation type="list" allowBlank="1" showInputMessage="1" showErrorMessage="1" sqref="J5" xr:uid="{F8EA51A2-F1A5-4B8F-A2AE-E1FE40951012}">
      <formula1>"99.6%/0.4%,99%/1%"</formula1>
    </dataValidation>
  </dataValidations>
  <hyperlinks>
    <hyperlink ref="G4" r:id="rId1" xr:uid="{8F7D27D7-9699-4492-AF96-9755BC254AAC}"/>
    <hyperlink ref="H10" r:id="rId2" xr:uid="{1879C96B-C7DD-405E-8504-8ED0DE49C2A8}"/>
    <hyperlink ref="H11" r:id="rId3" xr:uid="{EC940E55-A4BD-47E7-86F0-F1C81FA1AFD7}"/>
  </hyperlinks>
  <pageMargins left="0.7" right="0.7" top="0.75" bottom="0.75" header="0.3" footer="0.3"/>
  <pageSetup orientation="portrait" r:id="rId4"/>
  <drawing r:id="rId5"/>
  <extLst>
    <ext xmlns:x14="http://schemas.microsoft.com/office/spreadsheetml/2009/9/main" uri="{05C60535-1F16-4fd2-B633-F4F36F0B64E0}">
      <x14:sparklineGroups xmlns:xm="http://schemas.microsoft.com/office/excel/2006/main">
        <x14:sparklineGroup manualMax="1" manualMin="0" type="column" displayEmptyCellsAs="gap" minAxisType="custom" maxAxisType="custom" xr2:uid="{FFF5DBB2-78B3-4D0C-817D-ABD32B1E1DDD}">
          <x14:colorSeries rgb="FF376092"/>
          <x14:colorNegative rgb="FFD00000"/>
          <x14:colorAxis rgb="FF000000"/>
          <x14:colorMarkers rgb="FFD00000"/>
          <x14:colorFirst rgb="FFD00000"/>
          <x14:colorLast rgb="FFD00000"/>
          <x14:colorHigh rgb="FFD00000"/>
          <x14:colorLow rgb="FFD00000"/>
          <x14:sparklines>
            <x14:sparkline>
              <xm:sqref>D24</xm:sqref>
            </x14:sparkline>
            <x14:sparkline>
              <xm:sqref>E24</xm:sqref>
            </x14:sparkline>
          </x14:sparklines>
        </x14:sparklineGroup>
        <x14:sparklineGroup manualMax="1" manualMin="0" type="column" displayEmptyCellsAs="gap" minAxisType="custom" maxAxisType="custom" xr2:uid="{1E2B885C-C0EC-41FD-8849-915E4BD55EB0}">
          <x14:colorSeries rgb="FF376092"/>
          <x14:colorNegative rgb="FFD00000"/>
          <x14:colorAxis rgb="FF000000"/>
          <x14:colorMarkers rgb="FFD00000"/>
          <x14:colorFirst rgb="FFD00000"/>
          <x14:colorLast rgb="FFD00000"/>
          <x14:colorHigh rgb="FFD00000"/>
          <x14:colorLow rgb="FFD00000"/>
          <x14:sparklines>
            <x14:sparkline>
              <xm:sqref>D25</xm:sqref>
            </x14:sparkline>
            <x14:sparkline>
              <xm:sqref>E25</xm:sqref>
            </x14:sparkline>
          </x14:sparklines>
        </x14:sparklineGroup>
        <x14:sparklineGroup type="column" displayEmptyCellsAs="gap" xr2:uid="{23470846-D592-4B1D-958F-8F4DE43E7229}">
          <x14:colorSeries rgb="FF376092"/>
          <x14:colorNegative rgb="FFD00000"/>
          <x14:colorAxis rgb="FF000000"/>
          <x14:colorMarkers rgb="FFD00000"/>
          <x14:colorFirst rgb="FFD00000"/>
          <x14:colorLast rgb="FFD00000"/>
          <x14:colorHigh rgb="FFD00000"/>
          <x14:colorLow rgb="FFD00000"/>
          <x14:sparklines>
            <x14:sparkline>
              <xm:f>'Report Summary Table'!G28:Z28</xm:f>
              <xm:sqref>D28</xm:sqref>
            </x14:sparkline>
            <x14:sparkline>
              <xm:f>'Report Summary Table'!H28:AA28</xm:f>
              <xm:sqref>E28</xm:sqref>
            </x14:sparkline>
          </x14:sparklines>
        </x14:sparklineGroup>
        <x14:sparklineGroup type="column" displayEmptyCellsAs="gap" xr2:uid="{0F2633A0-1EF1-4F83-A489-FFC1068C106B}">
          <x14:colorSeries rgb="FF376092"/>
          <x14:colorNegative rgb="FFD00000"/>
          <x14:colorAxis rgb="FF000000"/>
          <x14:colorMarkers rgb="FFD00000"/>
          <x14:colorFirst rgb="FFD00000"/>
          <x14:colorLast rgb="FFD00000"/>
          <x14:colorHigh rgb="FFD00000"/>
          <x14:colorLow rgb="FFD00000"/>
          <x14:sparklines>
            <x14:sparkline>
              <xm:f>'Report Summary Table'!G28:Y28</xm:f>
              <xm:sqref>F28</xm:sqref>
            </x14:sparkline>
          </x14:sparklines>
        </x14:sparklineGroup>
        <x14:sparklineGroup manualMax="1" manualMin="0" type="column" displayEmptyCellsAs="gap" minAxisType="custom" maxAxisType="custom" xr2:uid="{434704F8-BA02-4833-899A-2752236389EB}">
          <x14:colorSeries rgb="FF376092"/>
          <x14:colorNegative rgb="FFD00000"/>
          <x14:colorAxis rgb="FF000000"/>
          <x14:colorMarkers rgb="FFD00000"/>
          <x14:colorFirst rgb="FFD00000"/>
          <x14:colorLast rgb="FFD00000"/>
          <x14:colorHigh rgb="FFD00000"/>
          <x14:colorLow rgb="FFD00000"/>
          <x14:sparklines>
            <x14:sparkline>
              <xm:sqref>D26</xm:sqref>
            </x14:sparkline>
            <x14:sparkline>
              <xm:sqref>E26</xm:sqref>
            </x14:sparkline>
          </x14:sparklines>
        </x14:sparklineGroup>
        <x14:sparklineGroup manualMax="1" manualMin="0" type="column" displayEmptyCellsAs="gap" minAxisType="custom" maxAxisType="custom" xr2:uid="{B52F5C3D-1A6C-48B5-8B55-0D5C53FFC821}">
          <x14:colorSeries rgb="FF376092"/>
          <x14:colorNegative rgb="FFD00000"/>
          <x14:colorAxis rgb="FF000000"/>
          <x14:colorMarkers rgb="FFD00000"/>
          <x14:colorFirst rgb="FFD00000"/>
          <x14:colorLast rgb="FFD00000"/>
          <x14:colorHigh rgb="FFD00000"/>
          <x14:colorLow rgb="FFD00000"/>
          <x14:sparklines>
            <x14:sparkline>
              <xm:sqref>F26</xm:sqref>
            </x14:sparkline>
          </x14:sparklines>
        </x14:sparklineGroup>
        <x14:sparklineGroup manualMax="1" manualMin="0" type="column" displayEmptyCellsAs="gap" minAxisType="custom" maxAxisType="custom" xr2:uid="{FDC2B59D-0060-43AA-804C-CD22D0286F59}">
          <x14:colorSeries rgb="FF376092"/>
          <x14:colorNegative rgb="FFD00000"/>
          <x14:colorAxis rgb="FF000000"/>
          <x14:colorMarkers rgb="FFD00000"/>
          <x14:colorFirst rgb="FFD00000"/>
          <x14:colorLast rgb="FFD00000"/>
          <x14:colorHigh rgb="FFD00000"/>
          <x14:colorLow rgb="FFD00000"/>
          <x14:sparklines>
            <x14:sparkline>
              <xm:sqref>F25</xm:sqref>
            </x14:sparkline>
          </x14:sparklines>
        </x14:sparklineGroup>
        <x14:sparklineGroup manualMax="1" manualMin="0" type="column" displayEmptyCellsAs="gap" minAxisType="custom" maxAxisType="custom" xr2:uid="{2EDCB473-641E-4114-9B94-1B1623C6BECE}">
          <x14:colorSeries rgb="FF376092"/>
          <x14:colorNegative rgb="FFD00000"/>
          <x14:colorAxis rgb="FF000000"/>
          <x14:colorMarkers rgb="FFD00000"/>
          <x14:colorFirst rgb="FFD00000"/>
          <x14:colorLast rgb="FFD00000"/>
          <x14:colorHigh rgb="FFD00000"/>
          <x14:colorLow rgb="FFD00000"/>
          <x14:sparklines>
            <x14:sparkline>
              <xm:sqref>F24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56487-F8E4-48E1-B904-6E1E6285BAB9}">
  <sheetPr codeName="Sheet19">
    <tabColor theme="5" tint="0.79998168889431442"/>
  </sheetPr>
  <dimension ref="B1:L105"/>
  <sheetViews>
    <sheetView workbookViewId="0">
      <selection activeCell="H8" sqref="H8"/>
    </sheetView>
  </sheetViews>
  <sheetFormatPr defaultRowHeight="15" x14ac:dyDescent="0.25"/>
  <cols>
    <col min="2" max="2" width="22.28515625" customWidth="1"/>
    <col min="3" max="3" width="21.28515625" customWidth="1"/>
    <col min="4" max="8" width="19.85546875" customWidth="1"/>
    <col min="9" max="11" width="16.42578125" customWidth="1"/>
  </cols>
  <sheetData>
    <row r="1" spans="3:8" ht="15.75" thickBot="1" x14ac:dyDescent="0.3"/>
    <row r="2" spans="3:8" ht="15.75" thickBot="1" x14ac:dyDescent="0.3">
      <c r="C2" s="589"/>
      <c r="D2" s="591" t="s">
        <v>743</v>
      </c>
    </row>
    <row r="3" spans="3:8" ht="15.75" customHeight="1" x14ac:dyDescent="0.25">
      <c r="C3" s="736" t="s">
        <v>420</v>
      </c>
      <c r="D3" s="24" t="s">
        <v>744</v>
      </c>
    </row>
    <row r="4" spans="3:8" x14ac:dyDescent="0.25">
      <c r="C4" s="737"/>
      <c r="D4" s="26" t="s">
        <v>745</v>
      </c>
    </row>
    <row r="5" spans="3:8" x14ac:dyDescent="0.25">
      <c r="C5" s="737"/>
      <c r="D5" s="26" t="s">
        <v>746</v>
      </c>
    </row>
    <row r="6" spans="3:8" ht="45.75" thickBot="1" x14ac:dyDescent="0.3">
      <c r="C6" s="738"/>
      <c r="D6" s="592" t="s">
        <v>747</v>
      </c>
    </row>
    <row r="9" spans="3:8" ht="60.75" thickBot="1" x14ac:dyDescent="0.3">
      <c r="C9" s="96" t="s">
        <v>748</v>
      </c>
      <c r="D9" s="561" t="s">
        <v>199</v>
      </c>
      <c r="E9" s="561" t="s">
        <v>201</v>
      </c>
      <c r="F9" s="561" t="s">
        <v>204</v>
      </c>
    </row>
    <row r="10" spans="3:8" ht="15.75" thickBot="1" x14ac:dyDescent="0.3"/>
    <row r="11" spans="3:8" ht="15.75" thickBot="1" x14ac:dyDescent="0.3">
      <c r="C11" s="741"/>
      <c r="D11" s="743" t="s">
        <v>749</v>
      </c>
      <c r="E11" s="744"/>
      <c r="F11" s="745"/>
      <c r="G11" s="736" t="s">
        <v>750</v>
      </c>
      <c r="H11" s="736" t="s">
        <v>751</v>
      </c>
    </row>
    <row r="12" spans="3:8" ht="15.75" thickBot="1" x14ac:dyDescent="0.3">
      <c r="C12" s="742"/>
      <c r="D12" s="561" t="s">
        <v>752</v>
      </c>
      <c r="E12" s="561" t="s">
        <v>753</v>
      </c>
      <c r="F12" s="561" t="s">
        <v>754</v>
      </c>
      <c r="G12" s="738"/>
      <c r="H12" s="738"/>
    </row>
    <row r="13" spans="3:8" ht="30" x14ac:dyDescent="0.25">
      <c r="C13" s="739" t="s">
        <v>755</v>
      </c>
      <c r="D13" s="563" t="str">
        <f ca="1">CONCATENATE("U-factor= ",OFFSET(Architectural!$A$14,MATCH('Summary Table 2'!D$14,Architectural!$A$14:$A$60,0)-1,MATCH('Summary Table 2'!D$9,Architectural!$A$14:$S$14,0)-1)," Btu/h·ft²·°F")</f>
        <v>U-factor= 0.048 Btu/h·ft²·°F</v>
      </c>
      <c r="E13" s="563" t="str">
        <f ca="1">CONCATENATE("U-factor= ",OFFSET(Architectural!$A$14,MATCH('Summary Table 2'!E$14,Architectural!$A$14:$A$60,0)-1,MATCH('Summary Table 2'!E$9,Architectural!$A$14:$S$14,0)-1)," Btu/h·ft²·°F")</f>
        <v>U-factor= 0.039 Btu/h·ft²·°F</v>
      </c>
      <c r="F13" s="563" t="str">
        <f ca="1">CONCATENATE("U-factor= ",OFFSET(Architectural!$A$14,MATCH('Summary Table 2'!F$14,Architectural!$A$14:$A$60,0)-1,MATCH('Summary Table 2'!F$9,Architectural!$A$14:$S$14,0)-1)," Btu/h·ft²·°F")</f>
        <v>U-factor= 0.63 Btu/h·ft²·°F</v>
      </c>
      <c r="G13" s="563" t="s">
        <v>756</v>
      </c>
      <c r="H13" s="747" t="s">
        <v>757</v>
      </c>
    </row>
    <row r="14" spans="3:8" ht="30.75" thickBot="1" x14ac:dyDescent="0.3">
      <c r="C14" s="740"/>
      <c r="D14" s="564" t="s">
        <v>211</v>
      </c>
      <c r="E14" s="564" t="s">
        <v>211</v>
      </c>
      <c r="F14" s="564" t="s">
        <v>222</v>
      </c>
      <c r="G14" s="565" t="s">
        <v>758</v>
      </c>
      <c r="H14" s="748"/>
    </row>
    <row r="15" spans="3:8" ht="60" customHeight="1" x14ac:dyDescent="0.25">
      <c r="C15" s="739" t="s">
        <v>759</v>
      </c>
      <c r="D15" s="563" t="str">
        <f ca="1">CONCATENATE("U-factor= ",OFFSET(Architectural!$A$14,MATCH('Summary Table 2'!D$16,Architectural!$A$14:$A$60,0)-1,MATCH('Summary Table 2'!D$9,Architectural!$A$14:$S$14,0)-1)," Btu/h·ft²·°F")</f>
        <v>U-factor= 0.084 Btu/h·ft²·°F</v>
      </c>
      <c r="E15" s="563" t="str">
        <f ca="1">CONCATENATE("U-factor= ",OFFSET(Architectural!$A$14,MATCH('Summary Table 2'!E$16,Architectural!$A$14:$A$60,0)-1,MATCH('Summary Table 2'!E$9,Architectural!$A$14:$S$14,0)-1)," Btu/h·ft²·°F")</f>
        <v>U-factor= 0.077 Btu/h·ft²·°F</v>
      </c>
      <c r="F15" s="563" t="str">
        <f ca="1">CONCATENATE("U-factor= ",OFFSET(Architectural!$A$14,MATCH('Summary Table 2'!F$16,Architectural!$A$14:$A$60,0)-1,MATCH('Summary Table 2'!F$9,Architectural!$A$14:$S$14,0)-1)," Btu/h·ft²·°F")</f>
        <v>U-factor= 0.082 Btu/h·ft²·°F</v>
      </c>
      <c r="G15" s="563" t="s">
        <v>760</v>
      </c>
      <c r="H15" s="747" t="s">
        <v>757</v>
      </c>
    </row>
    <row r="16" spans="3:8" ht="75.75" customHeight="1" thickBot="1" x14ac:dyDescent="0.3">
      <c r="C16" s="740"/>
      <c r="D16" s="564" t="s">
        <v>233</v>
      </c>
      <c r="E16" s="564" t="s">
        <v>233</v>
      </c>
      <c r="F16" s="564" t="s">
        <v>233</v>
      </c>
      <c r="G16" s="564" t="s">
        <v>761</v>
      </c>
      <c r="H16" s="748"/>
    </row>
    <row r="17" spans="3:8" ht="30" x14ac:dyDescent="0.25">
      <c r="C17" s="562" t="s">
        <v>762</v>
      </c>
      <c r="D17" s="572" t="s">
        <v>763</v>
      </c>
      <c r="E17" s="563" t="s">
        <v>763</v>
      </c>
      <c r="F17" s="563" t="s">
        <v>763</v>
      </c>
      <c r="G17" s="563" t="s">
        <v>763</v>
      </c>
      <c r="H17" s="747" t="s">
        <v>757</v>
      </c>
    </row>
    <row r="18" spans="3:8" ht="105.75" customHeight="1" thickBot="1" x14ac:dyDescent="0.3">
      <c r="C18" s="566" t="s">
        <v>248</v>
      </c>
      <c r="D18" s="566" t="str">
        <f ca="1">CONCATENATE(OFFSET(Architectural!$A$14,MATCH('Summary Table 2'!$C$18,Architectural!$A$14:$A$60,0)-1,MATCH('Summary Table 2'!D$9,Architectural!$A$14:$S$14,0)-1)," Btu/h·ft²·°F")</f>
        <v>F-0.730 Btu/h·ft²·°F</v>
      </c>
      <c r="E18" s="566" t="str">
        <f ca="1">CONCATENATE(OFFSET(Architectural!$A$14,MATCH('Summary Table 2'!$C$18,Architectural!$A$14:$A$60,0)-1,MATCH('Summary Table 2'!E$9,Architectural!$A$14:$S$14,0)-1)," Btu/h·ft²·°F")</f>
        <v>F-0.730 Btu/h·ft²·°F</v>
      </c>
      <c r="F18" s="566" t="str">
        <f ca="1">CONCATENATE(OFFSET(Architectural!$A$14,MATCH('Summary Table 2'!$C$18,Architectural!$A$14:$A$60,0)-1,MATCH('Summary Table 2'!F$9,Architectural!$A$14:$S$14,0)-1)," Btu/h·ft²·°F")</f>
        <v>U-0.071 Btu/h·ft²·°F</v>
      </c>
      <c r="G18" s="564" t="s">
        <v>764</v>
      </c>
      <c r="H18" s="748"/>
    </row>
    <row r="19" spans="3:8" ht="15.75" thickBot="1" x14ac:dyDescent="0.3"/>
    <row r="20" spans="3:8" ht="15.75" thickBot="1" x14ac:dyDescent="0.3">
      <c r="C20" s="741"/>
      <c r="D20" s="743" t="s">
        <v>749</v>
      </c>
      <c r="E20" s="744"/>
      <c r="F20" s="745"/>
      <c r="G20" s="736" t="s">
        <v>750</v>
      </c>
      <c r="H20" s="736" t="s">
        <v>751</v>
      </c>
    </row>
    <row r="21" spans="3:8" ht="15.75" thickBot="1" x14ac:dyDescent="0.3">
      <c r="C21" s="742"/>
      <c r="D21" s="561" t="str">
        <f>$D$12</f>
        <v>ASHRAE 2007</v>
      </c>
      <c r="E21" s="561" t="str">
        <f>$E$12</f>
        <v>ASHRAE 2013</v>
      </c>
      <c r="F21" s="561" t="str">
        <f>$F$12</f>
        <v>Title 24 - 2019</v>
      </c>
      <c r="G21" s="738"/>
      <c r="H21" s="738"/>
    </row>
    <row r="22" spans="3:8" x14ac:dyDescent="0.25">
      <c r="C22" s="739" t="s">
        <v>765</v>
      </c>
      <c r="D22" s="563" t="s">
        <v>766</v>
      </c>
      <c r="E22" s="563" t="s">
        <v>767</v>
      </c>
      <c r="F22" s="563" t="s">
        <v>767</v>
      </c>
      <c r="G22" s="574">
        <v>70.900000000000006</v>
      </c>
      <c r="H22" s="739" t="s">
        <v>768</v>
      </c>
    </row>
    <row r="23" spans="3:8" x14ac:dyDescent="0.25">
      <c r="C23" s="746"/>
      <c r="D23" s="563" t="s">
        <v>769</v>
      </c>
      <c r="E23" s="563" t="s">
        <v>769</v>
      </c>
      <c r="F23" s="563" t="s">
        <v>769</v>
      </c>
      <c r="G23" s="575">
        <v>37.4</v>
      </c>
      <c r="H23" s="746"/>
    </row>
    <row r="24" spans="3:8" x14ac:dyDescent="0.25">
      <c r="C24" s="746"/>
      <c r="D24" s="563" t="s">
        <v>770</v>
      </c>
      <c r="E24" s="563" t="s">
        <v>770</v>
      </c>
      <c r="F24" s="563" t="s">
        <v>770</v>
      </c>
      <c r="G24" s="576">
        <v>15.3</v>
      </c>
      <c r="H24" s="746"/>
    </row>
    <row r="25" spans="3:8" x14ac:dyDescent="0.25">
      <c r="C25" s="746"/>
      <c r="D25" s="563" t="s">
        <v>771</v>
      </c>
      <c r="E25" s="563" t="s">
        <v>771</v>
      </c>
      <c r="F25" s="563" t="s">
        <v>771</v>
      </c>
      <c r="G25" s="577">
        <v>38.4</v>
      </c>
      <c r="H25" s="746"/>
    </row>
    <row r="26" spans="3:8" ht="15.75" thickBot="1" x14ac:dyDescent="0.3">
      <c r="C26" s="740"/>
      <c r="D26" s="564"/>
      <c r="E26" s="564"/>
      <c r="F26" s="564"/>
      <c r="G26" s="564"/>
      <c r="H26" s="740"/>
    </row>
    <row r="27" spans="3:8" ht="30" x14ac:dyDescent="0.25">
      <c r="C27" s="739" t="s">
        <v>268</v>
      </c>
      <c r="D27" s="573" t="str">
        <f ca="1">CONCATENATE("U-Factor = ",OFFSET(Architectural!$A$14,MATCH('Summary Table 2'!$C$27,Architectural!$A$14:$A$60,0)-1,MATCH('Summary Table 2'!D$9,Architectural!$A$14:$S$14,0)-1)," Btu/h·ft²·°F")</f>
        <v>U-Factor = 0.6 Btu/h·ft²·°F</v>
      </c>
      <c r="E27" s="573" t="str">
        <f ca="1">CONCATENATE("U-Factor = ",OFFSET(Architectural!$A$14,MATCH('Summary Table 2'!$C$27,Architectural!$A$14:$A$60,0)-1,MATCH('Summary Table 2'!E$9,Architectural!$A$14:$S$14,0)-1)," Btu/h·ft²·°F")</f>
        <v>U-Factor = 0.5 Btu/h·ft²·°F</v>
      </c>
      <c r="F27" s="573" t="str">
        <f ca="1">CONCATENATE("U-Factor = ",OFFSET(Architectural!$A$14,MATCH('Summary Table 2'!$C$27,Architectural!$A$14:$A$60,0)-1,MATCH('Summary Table 2'!F$9,Architectural!$A$14:$S$14,0)-1)," Btu/h·ft²·°F")</f>
        <v>U-Factor = 0.41 Btu/h·ft²·°F</v>
      </c>
      <c r="G27" s="573" t="s">
        <v>772</v>
      </c>
      <c r="H27" s="739"/>
    </row>
    <row r="28" spans="3:8" x14ac:dyDescent="0.25">
      <c r="C28" s="746"/>
      <c r="D28" s="563" t="str">
        <f ca="1">CONCATENATE("SHGC = ",OFFSET(Architectural!$A$14,MATCH('Summary Table 2'!$C$27,Architectural!$A$14:$A$60,0)-1,MATCH('Summary Table 2'!D$9,Architectural!$A$14:$S$14,0)))</f>
        <v>SHGC = 0.25</v>
      </c>
      <c r="E28" s="563" t="str">
        <f ca="1">CONCATENATE("SHGC = ",OFFSET(Architectural!$A$14,MATCH('Summary Table 2'!$C$27,Architectural!$A$14:$A$60,0)-1,MATCH('Summary Table 2'!E$9,Architectural!$A$14:$S$14,0)))</f>
        <v>SHGC = 0.25</v>
      </c>
      <c r="F28" s="563" t="str">
        <f ca="1">CONCATENATE("SHGC = ",OFFSET(Architectural!$A$14,MATCH('Summary Table 2'!$C$27,Architectural!$A$14:$A$60,0)-1,MATCH('Summary Table 2'!F$9,Architectural!$A$14:$S$14,0)))</f>
        <v>SHGC = 0.26</v>
      </c>
      <c r="G28" s="563" t="s">
        <v>773</v>
      </c>
      <c r="H28" s="746"/>
    </row>
    <row r="29" spans="3:8" ht="15.75" thickBot="1" x14ac:dyDescent="0.3">
      <c r="C29" s="740"/>
      <c r="D29" s="566" t="str">
        <f ca="1">IF(OFFSET(Architectural!$A$14,MATCH('Summary Table 2'!$C$27,Architectural!$A$14:$A$60,0)-1,MATCH('Summary Table 2'!D$9,Architectural!$A$14:$S$14,0)+1)="-","VLT = N/a",CONCATENATE("VLT = ",OFFSET(Architectural!$A$14,MATCH('Summary Table 2'!$C$27,Architectural!$A$14:$A$60,0)-1,MATCH('Summary Table 2'!D$9,Architectural!$A$14:$S$14,0)+1)))</f>
        <v>VLT = N/a</v>
      </c>
      <c r="E29" s="566" t="str">
        <f ca="1">IF(OFFSET(Architectural!$A$14,MATCH('Summary Table 2'!$C$27,Architectural!$A$14:$A$60,0)-1,MATCH('Summary Table 2'!E$9,Architectural!$A$14:$S$14,0)+1)="-","VLT = N/a",CONCATENATE("VLT = ",OFFSET(Architectural!$A$14,MATCH('Summary Table 2'!$C$27,Architectural!$A$14:$A$60,0)-1,MATCH('Summary Table 2'!E$9,Architectural!$A$14:$S$14,0)+1)))</f>
        <v>VLT = N/a</v>
      </c>
      <c r="F29" s="566" t="str">
        <f ca="1">IF(OFFSET(Architectural!$A$14,MATCH('Summary Table 2'!$C$27,Architectural!$A$14:$A$60,0)-1,MATCH('Summary Table 2'!F$9,Architectural!$A$14:$S$14,0)+1)="-","VLT = N/a",CONCATENATE("VLT = ",OFFSET(Architectural!$A$14,MATCH('Summary Table 2'!$C$27,Architectural!$A$14:$A$60,0)-1,MATCH('Summary Table 2'!F$9,Architectural!$A$14:$S$14,0)+1)))</f>
        <v>VLT = 0.46</v>
      </c>
      <c r="G29" s="564" t="s">
        <v>774</v>
      </c>
      <c r="H29" s="740"/>
    </row>
    <row r="31" spans="3:8" ht="30.75" thickBot="1" x14ac:dyDescent="0.3">
      <c r="C31" s="96" t="s">
        <v>775</v>
      </c>
      <c r="D31" s="561" t="s">
        <v>289</v>
      </c>
      <c r="E31" s="561" t="s">
        <v>291</v>
      </c>
      <c r="F31" s="561" t="s">
        <v>288</v>
      </c>
    </row>
    <row r="32" spans="3:8" ht="15.75" thickBot="1" x14ac:dyDescent="0.3"/>
    <row r="33" spans="2:12" ht="15.75" thickBot="1" x14ac:dyDescent="0.3">
      <c r="C33" s="736"/>
      <c r="D33" s="743" t="s">
        <v>776</v>
      </c>
      <c r="E33" s="744"/>
      <c r="F33" s="745"/>
      <c r="G33" s="736" t="s">
        <v>777</v>
      </c>
      <c r="H33" s="736" t="s">
        <v>778</v>
      </c>
      <c r="I33" s="736" t="s">
        <v>779</v>
      </c>
      <c r="J33" s="751" t="s">
        <v>780</v>
      </c>
      <c r="K33" s="752"/>
      <c r="L33" s="736" t="s">
        <v>751</v>
      </c>
    </row>
    <row r="34" spans="2:12" ht="15.75" thickBot="1" x14ac:dyDescent="0.3">
      <c r="C34" s="738"/>
      <c r="D34" s="561" t="str">
        <f>$D$12</f>
        <v>ASHRAE 2007</v>
      </c>
      <c r="E34" s="561" t="str">
        <f>$E$12</f>
        <v>ASHRAE 2013</v>
      </c>
      <c r="F34" s="561" t="str">
        <f>$F$12</f>
        <v>Title 24 - 2019</v>
      </c>
      <c r="G34" s="738"/>
      <c r="H34" s="738"/>
      <c r="I34" s="738"/>
      <c r="J34" s="594" t="s">
        <v>781</v>
      </c>
      <c r="K34" s="561" t="s">
        <v>782</v>
      </c>
      <c r="L34" s="738"/>
    </row>
    <row r="35" spans="2:12" ht="15.75" thickBot="1" x14ac:dyDescent="0.3">
      <c r="B35" s="96"/>
      <c r="C35" s="566" t="s">
        <v>783</v>
      </c>
      <c r="D35" s="579">
        <v>1.4</v>
      </c>
      <c r="E35" s="579">
        <v>1.81</v>
      </c>
      <c r="F35" s="579"/>
      <c r="G35" s="579">
        <v>1</v>
      </c>
      <c r="H35" s="593">
        <v>6</v>
      </c>
      <c r="I35" s="593">
        <v>100</v>
      </c>
      <c r="J35" s="595">
        <v>15</v>
      </c>
      <c r="K35" s="595">
        <v>15</v>
      </c>
      <c r="L35" s="578"/>
    </row>
    <row r="36" spans="2:12" ht="15.75" thickBot="1" x14ac:dyDescent="0.3">
      <c r="B36" s="96"/>
      <c r="C36" s="566" t="s">
        <v>784</v>
      </c>
      <c r="D36" s="579">
        <v>1.4</v>
      </c>
      <c r="E36" s="579">
        <v>1.81</v>
      </c>
      <c r="F36" s="579"/>
      <c r="G36" s="579">
        <v>1</v>
      </c>
      <c r="H36" s="593">
        <v>6</v>
      </c>
      <c r="I36" s="593">
        <v>100</v>
      </c>
      <c r="J36" s="595">
        <v>8</v>
      </c>
      <c r="K36" s="595">
        <v>8</v>
      </c>
      <c r="L36" s="578"/>
    </row>
    <row r="37" spans="2:12" ht="15.75" thickBot="1" x14ac:dyDescent="0.3">
      <c r="B37" s="96" t="str">
        <f>Lighting!C20</f>
        <v/>
      </c>
      <c r="C37" s="566" t="str">
        <f>MID(B37,8,LEN(B37))</f>
        <v/>
      </c>
      <c r="D37" s="579" t="str" cm="1">
        <f t="array" ref="D37">IF(D$31="Title-24 2019",CONCATENATE(INDEX(Lighting!$B$18:$AF$69,MATCH($B37,Lighting!$C$18:$C$69,0),MATCH(D$31,Lighting!$B$18:$AF$18,0)+6)),CONCATENATE(INDEX(Lighting!$B$18:$AF$69,MATCH($B37,Lighting!$C$18:$C$69,0),MATCH(D$31,Lighting!$B$18:$AF$18,0)+1)))</f>
        <v>1.3</v>
      </c>
      <c r="E37" s="579" t="str" cm="1">
        <f t="array" ref="E37">IF(E$31="Title-24 2019",CONCATENATE(INDEX(Lighting!$B$18:$AF$69,MATCH($B37,Lighting!$C$18:$C$69,0),MATCH(E$31,Lighting!$B$18:$AF$18,0)+6)),CONCATENATE(INDEX(Lighting!$B$18:$AF$69,MATCH($B37,Lighting!$C$18:$C$69,0),MATCH(E$31,Lighting!$B$18:$AF$18,0)+1)))</f>
        <v>1.23</v>
      </c>
      <c r="F37" s="579" t="str" cm="1">
        <f t="array" ref="F37">IF(F$31="Title-24 2019",CONCATENATE(INDEX(Lighting!$B$18:$AF$69,MATCH($B37,Lighting!$C$18:$C$69,0),MATCH(F$31,Lighting!$B$18:$AF$18,0)+6)),CONCATENATE(INDEX(Lighting!$B$18:$AF$69,MATCH($B37,Lighting!$C$18:$C$69,0),MATCH(F$31,Lighting!$B$18:$AF$18,0)+1)))</f>
        <v>0.85</v>
      </c>
      <c r="G37" s="579" cm="1">
        <f t="array" ref="G37">INDEX(Lighting!$B$18:$AF$69,MATCH('Summary Table 2'!$B37,Lighting!$C$18:$C$69,0),MATCH("Basis of Design",Lighting!$B$18:$AF$18,0)+2)</f>
        <v>0.85</v>
      </c>
      <c r="H37" s="593" cm="1">
        <f t="array" ref="H37">INDEX(Lighting!$B$18:$AF$69,MATCH('Summary Table 2'!$B37,Lighting!$C$18:$C$69,0),MATCH("Basis of Design",Lighting!$B$18:$AF$18,0)+4)</f>
        <v>2</v>
      </c>
      <c r="I37" s="593">
        <f>INDEX(OccupancyAssumptions[[#All],[Space Type]:[Notes]],MATCH('Summary Table 2'!$B37,OccupancyAssumptions[[#All],[Space Type]],0),MATCH("Design Occupant Density [SF/Person]",OccupancyAssumptions[[#Headers],[Space Type]:[Notes]],0))</f>
        <v>20</v>
      </c>
      <c r="J37" s="595">
        <f>INDEX(OccupancyAssumptions[[#All],[Space Type]:[Notes]],MATCH('Summary Table 2'!$B37,OccupancyAssumptions[[#All],[Space Type]],0),MATCH("Design Min OA ACH",OccupancyAssumptions[[#Headers],[Space Type]:[Notes]],0))</f>
        <v>2</v>
      </c>
      <c r="K37" s="595">
        <f>INDEX(OccupancyAssumptions[[#All],[Space Type]:[Notes]],MATCH('Summary Table 2'!$B37,OccupancyAssumptions[[#All],[Space Type]],0),MATCH("Design Min Total ACH",OccupancyAssumptions[[#Headers],[Space Type]:[Notes]],0))</f>
        <v>4</v>
      </c>
      <c r="L37" s="578" t="s">
        <v>757</v>
      </c>
    </row>
    <row r="38" spans="2:12" ht="15.75" thickBot="1" x14ac:dyDescent="0.3">
      <c r="B38" s="96" t="str">
        <f>Lighting!C21</f>
        <v/>
      </c>
      <c r="C38" s="566" t="str">
        <f t="shared" ref="C38:C50" si="0">MID(B38,8,LEN(B38))</f>
        <v/>
      </c>
      <c r="D38" s="579" t="str" cm="1">
        <f t="array" ref="D38">IF(D$31="Title-24 2019",CONCATENATE(INDEX(Lighting!$B$18:$AF$69,MATCH($B38,Lighting!$C$18:$C$69,0),MATCH(D$31,Lighting!$B$18:$AF$18,0)+6)),CONCATENATE(INDEX(Lighting!$B$18:$AF$69,MATCH($B38,Lighting!$C$18:$C$69,0),MATCH(D$31,Lighting!$B$18:$AF$18,0)+1)))</f>
        <v>1.3</v>
      </c>
      <c r="E38" s="579" t="str" cm="1">
        <f t="array" ref="E38">IF(E$31="Title-24 2019",CONCATENATE(INDEX(Lighting!$B$18:$AF$69,MATCH($B38,Lighting!$C$18:$C$69,0),MATCH(E$31,Lighting!$B$18:$AF$18,0)+6)),CONCATENATE(INDEX(Lighting!$B$18:$AF$69,MATCH($B38,Lighting!$C$18:$C$69,0),MATCH(E$31,Lighting!$B$18:$AF$18,0)+1)))</f>
        <v>1.23</v>
      </c>
      <c r="F38" s="579" t="str" cm="1">
        <f t="array" ref="F38">IF(F$31="Title-24 2019",CONCATENATE(INDEX(Lighting!$B$18:$AF$69,MATCH($B38,Lighting!$C$18:$C$69,0),MATCH(F$31,Lighting!$B$18:$AF$18,0)+6)),CONCATENATE(INDEX(Lighting!$B$18:$AF$69,MATCH($B38,Lighting!$C$18:$C$69,0),MATCH(F$31,Lighting!$B$18:$AF$18,0)+1)))</f>
        <v>0.85</v>
      </c>
      <c r="G38" s="579" cm="1">
        <f t="array" ref="G38">INDEX(Lighting!$B$18:$AF$69,MATCH('Summary Table 2'!$B38,Lighting!$C$18:$C$69,0),MATCH("Basis of Design",Lighting!$B$18:$AF$18,0)+2)</f>
        <v>0.85</v>
      </c>
      <c r="H38" s="593" cm="1">
        <f t="array" ref="H38">INDEX(Lighting!$B$18:$AF$69,MATCH('Summary Table 2'!$B38,Lighting!$C$18:$C$69,0),MATCH("Basis of Design",Lighting!$B$18:$AF$18,0)+4)</f>
        <v>2</v>
      </c>
      <c r="I38" s="593">
        <f>INDEX(OccupancyAssumptions[[#All],[Space Type]:[Notes]],MATCH('Summary Table 2'!$B38,OccupancyAssumptions[[#All],[Space Type]],0),MATCH("Design Occupant Density [SF/Person]",OccupancyAssumptions[[#Headers],[Space Type]:[Notes]],0))</f>
        <v>20</v>
      </c>
      <c r="J38" s="595">
        <f>INDEX(OccupancyAssumptions[[#All],[Space Type]:[Notes]],MATCH('Summary Table 2'!$B38,OccupancyAssumptions[[#All],[Space Type]],0),MATCH("Design Min OA ACH",OccupancyAssumptions[[#Headers],[Space Type]:[Notes]],0))</f>
        <v>2</v>
      </c>
      <c r="K38" s="595">
        <f>INDEX(OccupancyAssumptions[[#All],[Space Type]:[Notes]],MATCH('Summary Table 2'!$B38,OccupancyAssumptions[[#All],[Space Type]],0),MATCH("Design Min Total ACH",OccupancyAssumptions[[#Headers],[Space Type]:[Notes]],0))</f>
        <v>4</v>
      </c>
      <c r="L38" s="564" t="s">
        <v>757</v>
      </c>
    </row>
    <row r="39" spans="2:12" ht="15.75" thickBot="1" x14ac:dyDescent="0.3">
      <c r="B39" s="96" t="str">
        <f>Lighting!C22</f>
        <v/>
      </c>
      <c r="C39" s="566" t="str">
        <f t="shared" si="0"/>
        <v/>
      </c>
      <c r="D39" s="579" t="str" cm="1">
        <f t="array" ref="D39">IF(D$31="Title-24 2019",CONCATENATE(INDEX(Lighting!$B$18:$AF$69,MATCH($B39,Lighting!$C$18:$C$69,0),MATCH(D$31,Lighting!$B$18:$AF$18,0)+6)),CONCATENATE(INDEX(Lighting!$B$18:$AF$69,MATCH($B39,Lighting!$C$18:$C$69,0),MATCH(D$31,Lighting!$B$18:$AF$18,0)+1)))</f>
        <v>1.3</v>
      </c>
      <c r="E39" s="579" t="str" cm="1">
        <f t="array" ref="E39">IF(E$31="Title-24 2019",CONCATENATE(INDEX(Lighting!$B$18:$AF$69,MATCH($B39,Lighting!$C$18:$C$69,0),MATCH(E$31,Lighting!$B$18:$AF$18,0)+6)),CONCATENATE(INDEX(Lighting!$B$18:$AF$69,MATCH($B39,Lighting!$C$18:$C$69,0),MATCH(E$31,Lighting!$B$18:$AF$18,0)+1)))</f>
        <v>1.23</v>
      </c>
      <c r="F39" s="579" t="str" cm="1">
        <f t="array" ref="F39">IF(F$31="Title-24 2019",CONCATENATE(INDEX(Lighting!$B$18:$AF$69,MATCH($B39,Lighting!$C$18:$C$69,0),MATCH(F$31,Lighting!$B$18:$AF$18,0)+6)),CONCATENATE(INDEX(Lighting!$B$18:$AF$69,MATCH($B39,Lighting!$C$18:$C$69,0),MATCH(F$31,Lighting!$B$18:$AF$18,0)+1)))</f>
        <v>0.85</v>
      </c>
      <c r="G39" s="579" cm="1">
        <f t="array" ref="G39">INDEX(Lighting!$B$18:$AF$69,MATCH('Summary Table 2'!$B39,Lighting!$C$18:$C$69,0),MATCH("Basis of Design",Lighting!$B$18:$AF$18,0)+2)</f>
        <v>0.85</v>
      </c>
      <c r="H39" s="593" cm="1">
        <f t="array" ref="H39">INDEX(Lighting!$B$18:$AF$69,MATCH('Summary Table 2'!$B39,Lighting!$C$18:$C$69,0),MATCH("Basis of Design",Lighting!$B$18:$AF$18,0)+4)</f>
        <v>2</v>
      </c>
      <c r="I39" s="593">
        <f>INDEX(OccupancyAssumptions[[#All],[Space Type]:[Notes]],MATCH('Summary Table 2'!$B39,OccupancyAssumptions[[#All],[Space Type]],0),MATCH("Design Occupant Density [SF/Person]",OccupancyAssumptions[[#Headers],[Space Type]:[Notes]],0))</f>
        <v>20</v>
      </c>
      <c r="J39" s="595">
        <f>INDEX(OccupancyAssumptions[[#All],[Space Type]:[Notes]],MATCH('Summary Table 2'!$B39,OccupancyAssumptions[[#All],[Space Type]],0),MATCH("Design Min OA ACH",OccupancyAssumptions[[#Headers],[Space Type]:[Notes]],0))</f>
        <v>2</v>
      </c>
      <c r="K39" s="595">
        <f>INDEX(OccupancyAssumptions[[#All],[Space Type]:[Notes]],MATCH('Summary Table 2'!$B39,OccupancyAssumptions[[#All],[Space Type]],0),MATCH("Design Min Total ACH",OccupancyAssumptions[[#Headers],[Space Type]:[Notes]],0))</f>
        <v>4</v>
      </c>
      <c r="L39" s="564" t="s">
        <v>757</v>
      </c>
    </row>
    <row r="40" spans="2:12" ht="15.75" thickBot="1" x14ac:dyDescent="0.3">
      <c r="B40" s="96" t="str">
        <f>Lighting!C23</f>
        <v/>
      </c>
      <c r="C40" s="566" t="str">
        <f t="shared" si="0"/>
        <v/>
      </c>
      <c r="D40" s="579" t="str" cm="1">
        <f t="array" ref="D40">IF(D$31="Title-24 2019",CONCATENATE(INDEX(Lighting!$B$18:$AF$69,MATCH($B40,Lighting!$C$18:$C$69,0),MATCH(D$31,Lighting!$B$18:$AF$18,0)+6)),CONCATENATE(INDEX(Lighting!$B$18:$AF$69,MATCH($B40,Lighting!$C$18:$C$69,0),MATCH(D$31,Lighting!$B$18:$AF$18,0)+1)))</f>
        <v>1.3</v>
      </c>
      <c r="E40" s="579" t="str" cm="1">
        <f t="array" ref="E40">IF(E$31="Title-24 2019",CONCATENATE(INDEX(Lighting!$B$18:$AF$69,MATCH($B40,Lighting!$C$18:$C$69,0),MATCH(E$31,Lighting!$B$18:$AF$18,0)+6)),CONCATENATE(INDEX(Lighting!$B$18:$AF$69,MATCH($B40,Lighting!$C$18:$C$69,0),MATCH(E$31,Lighting!$B$18:$AF$18,0)+1)))</f>
        <v>1.23</v>
      </c>
      <c r="F40" s="579" t="str" cm="1">
        <f t="array" ref="F40">IF(F$31="Title-24 2019",CONCATENATE(INDEX(Lighting!$B$18:$AF$69,MATCH($B40,Lighting!$C$18:$C$69,0),MATCH(F$31,Lighting!$B$18:$AF$18,0)+6)),CONCATENATE(INDEX(Lighting!$B$18:$AF$69,MATCH($B40,Lighting!$C$18:$C$69,0),MATCH(F$31,Lighting!$B$18:$AF$18,0)+1)))</f>
        <v>0.85</v>
      </c>
      <c r="G40" s="579" cm="1">
        <f t="array" ref="G40">INDEX(Lighting!$B$18:$AF$69,MATCH('Summary Table 2'!$B40,Lighting!$C$18:$C$69,0),MATCH("Basis of Design",Lighting!$B$18:$AF$18,0)+2)</f>
        <v>0.85</v>
      </c>
      <c r="H40" s="593" cm="1">
        <f t="array" ref="H40">INDEX(Lighting!$B$18:$AF$69,MATCH('Summary Table 2'!$B40,Lighting!$C$18:$C$69,0),MATCH("Basis of Design",Lighting!$B$18:$AF$18,0)+4)</f>
        <v>2</v>
      </c>
      <c r="I40" s="593">
        <f>INDEX(OccupancyAssumptions[[#All],[Space Type]:[Notes]],MATCH('Summary Table 2'!$B40,OccupancyAssumptions[[#All],[Space Type]],0),MATCH("Design Occupant Density [SF/Person]",OccupancyAssumptions[[#Headers],[Space Type]:[Notes]],0))</f>
        <v>20</v>
      </c>
      <c r="J40" s="595">
        <f>INDEX(OccupancyAssumptions[[#All],[Space Type]:[Notes]],MATCH('Summary Table 2'!$B40,OccupancyAssumptions[[#All],[Space Type]],0),MATCH("Design Min OA ACH",OccupancyAssumptions[[#Headers],[Space Type]:[Notes]],0))</f>
        <v>2</v>
      </c>
      <c r="K40" s="595">
        <f>INDEX(OccupancyAssumptions[[#All],[Space Type]:[Notes]],MATCH('Summary Table 2'!$B40,OccupancyAssumptions[[#All],[Space Type]],0),MATCH("Design Min Total ACH",OccupancyAssumptions[[#Headers],[Space Type]:[Notes]],0))</f>
        <v>4</v>
      </c>
      <c r="L40" s="564" t="s">
        <v>757</v>
      </c>
    </row>
    <row r="41" spans="2:12" ht="15.75" thickBot="1" x14ac:dyDescent="0.3">
      <c r="B41" s="96" t="str">
        <f>Lighting!C24</f>
        <v/>
      </c>
      <c r="C41" s="566" t="str">
        <f t="shared" si="0"/>
        <v/>
      </c>
      <c r="D41" s="579" t="str" cm="1">
        <f t="array" ref="D41">IF(D$31="Title-24 2019",CONCATENATE(INDEX(Lighting!$B$18:$AF$69,MATCH($B41,Lighting!$C$18:$C$69,0),MATCH(D$31,Lighting!$B$18:$AF$18,0)+6)),CONCATENATE(INDEX(Lighting!$B$18:$AF$69,MATCH($B41,Lighting!$C$18:$C$69,0),MATCH(D$31,Lighting!$B$18:$AF$18,0)+1)))</f>
        <v>1.3</v>
      </c>
      <c r="E41" s="579" t="str" cm="1">
        <f t="array" ref="E41">IF(E$31="Title-24 2019",CONCATENATE(INDEX(Lighting!$B$18:$AF$69,MATCH($B41,Lighting!$C$18:$C$69,0),MATCH(E$31,Lighting!$B$18:$AF$18,0)+6)),CONCATENATE(INDEX(Lighting!$B$18:$AF$69,MATCH($B41,Lighting!$C$18:$C$69,0),MATCH(E$31,Lighting!$B$18:$AF$18,0)+1)))</f>
        <v>1.23</v>
      </c>
      <c r="F41" s="579" t="str" cm="1">
        <f t="array" ref="F41">IF(F$31="Title-24 2019",CONCATENATE(INDEX(Lighting!$B$18:$AF$69,MATCH($B41,Lighting!$C$18:$C$69,0),MATCH(F$31,Lighting!$B$18:$AF$18,0)+6)),CONCATENATE(INDEX(Lighting!$B$18:$AF$69,MATCH($B41,Lighting!$C$18:$C$69,0),MATCH(F$31,Lighting!$B$18:$AF$18,0)+1)))</f>
        <v>0.85</v>
      </c>
      <c r="G41" s="579" cm="1">
        <f t="array" ref="G41">INDEX(Lighting!$B$18:$AF$69,MATCH('Summary Table 2'!$B41,Lighting!$C$18:$C$69,0),MATCH("Basis of Design",Lighting!$B$18:$AF$18,0)+2)</f>
        <v>0.85</v>
      </c>
      <c r="H41" s="593" cm="1">
        <f t="array" ref="H41">INDEX(Lighting!$B$18:$AF$69,MATCH('Summary Table 2'!$B41,Lighting!$C$18:$C$69,0),MATCH("Basis of Design",Lighting!$B$18:$AF$18,0)+4)</f>
        <v>2</v>
      </c>
      <c r="I41" s="593">
        <f>INDEX(OccupancyAssumptions[[#All],[Space Type]:[Notes]],MATCH('Summary Table 2'!$B41,OccupancyAssumptions[[#All],[Space Type]],0),MATCH("Design Occupant Density [SF/Person]",OccupancyAssumptions[[#Headers],[Space Type]:[Notes]],0))</f>
        <v>20</v>
      </c>
      <c r="J41" s="595">
        <f>INDEX(OccupancyAssumptions[[#All],[Space Type]:[Notes]],MATCH('Summary Table 2'!$B41,OccupancyAssumptions[[#All],[Space Type]],0),MATCH("Design Min OA ACH",OccupancyAssumptions[[#Headers],[Space Type]:[Notes]],0))</f>
        <v>2</v>
      </c>
      <c r="K41" s="595">
        <f>INDEX(OccupancyAssumptions[[#All],[Space Type]:[Notes]],MATCH('Summary Table 2'!$B41,OccupancyAssumptions[[#All],[Space Type]],0),MATCH("Design Min Total ACH",OccupancyAssumptions[[#Headers],[Space Type]:[Notes]],0))</f>
        <v>4</v>
      </c>
      <c r="L41" s="564" t="s">
        <v>757</v>
      </c>
    </row>
    <row r="42" spans="2:12" ht="15.75" thickBot="1" x14ac:dyDescent="0.3">
      <c r="B42" s="96" t="str">
        <f>OCC_Airflow!C34</f>
        <v/>
      </c>
      <c r="C42" s="566" t="s">
        <v>785</v>
      </c>
      <c r="D42" s="579">
        <v>1.5</v>
      </c>
      <c r="E42" s="579">
        <v>0.42</v>
      </c>
      <c r="F42" s="579"/>
      <c r="G42" s="579">
        <v>0.4</v>
      </c>
      <c r="H42" s="593">
        <v>20</v>
      </c>
      <c r="I42" s="593">
        <f>INDEX(OccupancyAssumptions[[#All],[Space Type]:[Notes]],MATCH('Summary Table 2'!$B42,OccupancyAssumptions[[#All],[Space Type]],0),MATCH("Design Occupant Density [SF/Person]",OccupancyAssumptions[[#Headers],[Space Type]:[Notes]],0))</f>
        <v>20</v>
      </c>
      <c r="J42" s="595">
        <f>INDEX(OccupancyAssumptions[[#All],[Space Type]:[Notes]],MATCH('Summary Table 2'!$B42,OccupancyAssumptions[[#All],[Space Type]],0),MATCH("Design Min OA ACH",OccupancyAssumptions[[#Headers],[Space Type]:[Notes]],0))</f>
        <v>2</v>
      </c>
      <c r="K42" s="595">
        <f>INDEX(OccupancyAssumptions[[#All],[Space Type]:[Notes]],MATCH('Summary Table 2'!$B42,OccupancyAssumptions[[#All],[Space Type]],0),MATCH("Design Min Total ACH",OccupancyAssumptions[[#Headers],[Space Type]:[Notes]],0))</f>
        <v>4</v>
      </c>
      <c r="L42" s="564"/>
    </row>
    <row r="43" spans="2:12" ht="15.75" thickBot="1" x14ac:dyDescent="0.3">
      <c r="B43" s="96" t="str">
        <f>Lighting!C25</f>
        <v/>
      </c>
      <c r="C43" s="566" t="str">
        <f t="shared" si="0"/>
        <v/>
      </c>
      <c r="D43" s="579" t="str" cm="1">
        <f t="array" ref="D43">IF(D$31="Title-24 2019",CONCATENATE(INDEX(Lighting!$B$18:$AF$69,MATCH($B43,Lighting!$C$18:$C$69,0),MATCH(D$31,Lighting!$B$18:$AF$18,0)+6)),CONCATENATE(INDEX(Lighting!$B$18:$AF$69,MATCH($B43,Lighting!$C$18:$C$69,0),MATCH(D$31,Lighting!$B$18:$AF$18,0)+1)))</f>
        <v>1.3</v>
      </c>
      <c r="E43" s="579" t="str" cm="1">
        <f t="array" ref="E43">IF(E$31="Title-24 2019",CONCATENATE(INDEX(Lighting!$B$18:$AF$69,MATCH($B43,Lighting!$C$18:$C$69,0),MATCH(E$31,Lighting!$B$18:$AF$18,0)+6)),CONCATENATE(INDEX(Lighting!$B$18:$AF$69,MATCH($B43,Lighting!$C$18:$C$69,0),MATCH(E$31,Lighting!$B$18:$AF$18,0)+1)))</f>
        <v>1.23</v>
      </c>
      <c r="F43" s="579" t="str" cm="1">
        <f t="array" ref="F43">IF(F$31="Title-24 2019",CONCATENATE(INDEX(Lighting!$B$18:$AF$69,MATCH($B43,Lighting!$C$18:$C$69,0),MATCH(F$31,Lighting!$B$18:$AF$18,0)+6)),CONCATENATE(INDEX(Lighting!$B$18:$AF$69,MATCH($B43,Lighting!$C$18:$C$69,0),MATCH(F$31,Lighting!$B$18:$AF$18,0)+1)))</f>
        <v>0.85</v>
      </c>
      <c r="G43" s="579" cm="1">
        <f t="array" ref="G43">INDEX(Lighting!$B$18:$AF$69,MATCH('Summary Table 2'!$B43,Lighting!$C$18:$C$69,0),MATCH("Basis of Design",Lighting!$B$18:$AF$18,0)+2)</f>
        <v>0.85</v>
      </c>
      <c r="H43" s="593" cm="1">
        <f t="array" ref="H43">INDEX(Lighting!$B$18:$AF$69,MATCH('Summary Table 2'!$B43,Lighting!$C$18:$C$69,0),MATCH("Basis of Design",Lighting!$B$18:$AF$18,0)+4)</f>
        <v>2</v>
      </c>
      <c r="I43" s="593">
        <f>INDEX(OccupancyAssumptions[[#All],[Space Type]:[Notes]],MATCH('Summary Table 2'!$B43,OccupancyAssumptions[[#All],[Space Type]],0),MATCH("Design Occupant Density [SF/Person]",OccupancyAssumptions[[#Headers],[Space Type]:[Notes]],0))</f>
        <v>20</v>
      </c>
      <c r="J43" s="595">
        <f>INDEX(OccupancyAssumptions[[#All],[Space Type]:[Notes]],MATCH('Summary Table 2'!$B43,OccupancyAssumptions[[#All],[Space Type]],0),MATCH("Design Min OA ACH",OccupancyAssumptions[[#Headers],[Space Type]:[Notes]],0))</f>
        <v>2</v>
      </c>
      <c r="K43" s="595">
        <f>INDEX(OccupancyAssumptions[[#All],[Space Type]:[Notes]],MATCH('Summary Table 2'!$B43,OccupancyAssumptions[[#All],[Space Type]],0),MATCH("Design Min Total ACH",OccupancyAssumptions[[#Headers],[Space Type]:[Notes]],0))</f>
        <v>4</v>
      </c>
      <c r="L43" s="564" t="s">
        <v>757</v>
      </c>
    </row>
    <row r="44" spans="2:12" ht="15.75" thickBot="1" x14ac:dyDescent="0.3">
      <c r="B44" s="96" t="str">
        <f>Lighting!C26</f>
        <v/>
      </c>
      <c r="C44" s="566" t="str">
        <f t="shared" si="0"/>
        <v/>
      </c>
      <c r="D44" s="579" t="str" cm="1">
        <f t="array" ref="D44">IF(D$31="Title-24 2019",CONCATENATE(INDEX(Lighting!$B$18:$AF$69,MATCH($B44,Lighting!$C$18:$C$69,0),MATCH(D$31,Lighting!$B$18:$AF$18,0)+6)),CONCATENATE(INDEX(Lighting!$B$18:$AF$69,MATCH($B44,Lighting!$C$18:$C$69,0),MATCH(D$31,Lighting!$B$18:$AF$18,0)+1)))</f>
        <v>1.3</v>
      </c>
      <c r="E44" s="579" t="str" cm="1">
        <f t="array" ref="E44">IF(E$31="Title-24 2019",CONCATENATE(INDEX(Lighting!$B$18:$AF$69,MATCH($B44,Lighting!$C$18:$C$69,0),MATCH(E$31,Lighting!$B$18:$AF$18,0)+6)),CONCATENATE(INDEX(Lighting!$B$18:$AF$69,MATCH($B44,Lighting!$C$18:$C$69,0),MATCH(E$31,Lighting!$B$18:$AF$18,0)+1)))</f>
        <v>1.23</v>
      </c>
      <c r="F44" s="579" t="str" cm="1">
        <f t="array" ref="F44">IF(F$31="Title-24 2019",CONCATENATE(INDEX(Lighting!$B$18:$AF$69,MATCH($B44,Lighting!$C$18:$C$69,0),MATCH(F$31,Lighting!$B$18:$AF$18,0)+6)),CONCATENATE(INDEX(Lighting!$B$18:$AF$69,MATCH($B44,Lighting!$C$18:$C$69,0),MATCH(F$31,Lighting!$B$18:$AF$18,0)+1)))</f>
        <v>0.85</v>
      </c>
      <c r="G44" s="579" cm="1">
        <f t="array" ref="G44">INDEX(Lighting!$B$18:$AF$69,MATCH('Summary Table 2'!$B44,Lighting!$C$18:$C$69,0),MATCH("Basis of Design",Lighting!$B$18:$AF$18,0)+2)</f>
        <v>0.85</v>
      </c>
      <c r="H44" s="593" cm="1">
        <f t="array" ref="H44">INDEX(Lighting!$B$18:$AF$69,MATCH('Summary Table 2'!$B44,Lighting!$C$18:$C$69,0),MATCH("Basis of Design",Lighting!$B$18:$AF$18,0)+4)</f>
        <v>2</v>
      </c>
      <c r="I44" s="593">
        <f>INDEX(OccupancyAssumptions[[#All],[Space Type]:[Notes]],MATCH('Summary Table 2'!$B44,OccupancyAssumptions[[#All],[Space Type]],0),MATCH("Design Occupant Density [SF/Person]",OccupancyAssumptions[[#Headers],[Space Type]:[Notes]],0))</f>
        <v>20</v>
      </c>
      <c r="J44" s="595">
        <f>INDEX(OccupancyAssumptions[[#All],[Space Type]:[Notes]],MATCH('Summary Table 2'!$B44,OccupancyAssumptions[[#All],[Space Type]],0),MATCH("Design Min OA ACH",OccupancyAssumptions[[#Headers],[Space Type]:[Notes]],0))</f>
        <v>2</v>
      </c>
      <c r="K44" s="595">
        <f>INDEX(OccupancyAssumptions[[#All],[Space Type]:[Notes]],MATCH('Summary Table 2'!$B44,OccupancyAssumptions[[#All],[Space Type]],0),MATCH("Design Min Total ACH",OccupancyAssumptions[[#Headers],[Space Type]:[Notes]],0))</f>
        <v>4</v>
      </c>
      <c r="L44" s="564" t="s">
        <v>757</v>
      </c>
    </row>
    <row r="45" spans="2:12" ht="15.75" thickBot="1" x14ac:dyDescent="0.3">
      <c r="B45" s="96" t="str">
        <f>Lighting!C27</f>
        <v/>
      </c>
      <c r="C45" s="566" t="str">
        <f t="shared" si="0"/>
        <v/>
      </c>
      <c r="D45" s="579" t="str" cm="1">
        <f t="array" ref="D45">IF(D$31="Title-24 2019",CONCATENATE(INDEX(Lighting!$B$18:$AF$69,MATCH($B45,Lighting!$C$18:$C$69,0),MATCH(D$31,Lighting!$B$18:$AF$18,0)+6)),CONCATENATE(INDEX(Lighting!$B$18:$AF$69,MATCH($B45,Lighting!$C$18:$C$69,0),MATCH(D$31,Lighting!$B$18:$AF$18,0)+1)))</f>
        <v>1.3</v>
      </c>
      <c r="E45" s="579" t="str" cm="1">
        <f t="array" ref="E45">IF(E$31="Title-24 2019",CONCATENATE(INDEX(Lighting!$B$18:$AF$69,MATCH($B45,Lighting!$C$18:$C$69,0),MATCH(E$31,Lighting!$B$18:$AF$18,0)+6)),CONCATENATE(INDEX(Lighting!$B$18:$AF$69,MATCH($B45,Lighting!$C$18:$C$69,0),MATCH(E$31,Lighting!$B$18:$AF$18,0)+1)))</f>
        <v>1.23</v>
      </c>
      <c r="F45" s="579" t="str" cm="1">
        <f t="array" ref="F45">IF(F$31="Title-24 2019",CONCATENATE(INDEX(Lighting!$B$18:$AF$69,MATCH($B45,Lighting!$C$18:$C$69,0),MATCH(F$31,Lighting!$B$18:$AF$18,0)+6)),CONCATENATE(INDEX(Lighting!$B$18:$AF$69,MATCH($B45,Lighting!$C$18:$C$69,0),MATCH(F$31,Lighting!$B$18:$AF$18,0)+1)))</f>
        <v>0.85</v>
      </c>
      <c r="G45" s="579" cm="1">
        <f t="array" ref="G45">INDEX(Lighting!$B$18:$AF$69,MATCH('Summary Table 2'!$B45,Lighting!$C$18:$C$69,0),MATCH("Basis of Design",Lighting!$B$18:$AF$18,0)+2)</f>
        <v>0.85</v>
      </c>
      <c r="H45" s="593" cm="1">
        <f t="array" ref="H45">INDEX(Lighting!$B$18:$AF$69,MATCH('Summary Table 2'!$B45,Lighting!$C$18:$C$69,0),MATCH("Basis of Design",Lighting!$B$18:$AF$18,0)+4)</f>
        <v>2</v>
      </c>
      <c r="I45" s="593">
        <f>INDEX(OccupancyAssumptions[[#All],[Space Type]:[Notes]],MATCH('Summary Table 2'!$B45,OccupancyAssumptions[[#All],[Space Type]],0),MATCH("Design Occupant Density [SF/Person]",OccupancyAssumptions[[#Headers],[Space Type]:[Notes]],0))</f>
        <v>20</v>
      </c>
      <c r="J45" s="595">
        <f>INDEX(OccupancyAssumptions[[#All],[Space Type]:[Notes]],MATCH('Summary Table 2'!$B45,OccupancyAssumptions[[#All],[Space Type]],0),MATCH("Design Min OA ACH",OccupancyAssumptions[[#Headers],[Space Type]:[Notes]],0))</f>
        <v>2</v>
      </c>
      <c r="K45" s="595">
        <f>INDEX(OccupancyAssumptions[[#All],[Space Type]:[Notes]],MATCH('Summary Table 2'!$B45,OccupancyAssumptions[[#All],[Space Type]],0),MATCH("Design Min Total ACH",OccupancyAssumptions[[#Headers],[Space Type]:[Notes]],0))</f>
        <v>4</v>
      </c>
      <c r="L45" s="564" t="s">
        <v>757</v>
      </c>
    </row>
    <row r="46" spans="2:12" ht="15.75" thickBot="1" x14ac:dyDescent="0.3">
      <c r="B46" s="96" t="str">
        <f>Lighting!C28</f>
        <v/>
      </c>
      <c r="C46" s="566" t="str">
        <f t="shared" si="0"/>
        <v/>
      </c>
      <c r="D46" s="579" t="str" cm="1">
        <f t="array" ref="D46">IF(D$31="Title-24 2019",CONCATENATE(INDEX(Lighting!$B$18:$AF$69,MATCH($B46,Lighting!$C$18:$C$69,0),MATCH(D$31,Lighting!$B$18:$AF$18,0)+6)),CONCATENATE(INDEX(Lighting!$B$18:$AF$69,MATCH($B46,Lighting!$C$18:$C$69,0),MATCH(D$31,Lighting!$B$18:$AF$18,0)+1)))</f>
        <v>1.3</v>
      </c>
      <c r="E46" s="579" t="str" cm="1">
        <f t="array" ref="E46">IF(E$31="Title-24 2019",CONCATENATE(INDEX(Lighting!$B$18:$AF$69,MATCH($B46,Lighting!$C$18:$C$69,0),MATCH(E$31,Lighting!$B$18:$AF$18,0)+6)),CONCATENATE(INDEX(Lighting!$B$18:$AF$69,MATCH($B46,Lighting!$C$18:$C$69,0),MATCH(E$31,Lighting!$B$18:$AF$18,0)+1)))</f>
        <v>1.23</v>
      </c>
      <c r="F46" s="579" t="str" cm="1">
        <f t="array" ref="F46">IF(F$31="Title-24 2019",CONCATENATE(INDEX(Lighting!$B$18:$AF$69,MATCH($B46,Lighting!$C$18:$C$69,0),MATCH(F$31,Lighting!$B$18:$AF$18,0)+6)),CONCATENATE(INDEX(Lighting!$B$18:$AF$69,MATCH($B46,Lighting!$C$18:$C$69,0),MATCH(F$31,Lighting!$B$18:$AF$18,0)+1)))</f>
        <v>0.85</v>
      </c>
      <c r="G46" s="579" cm="1">
        <f t="array" ref="G46">INDEX(Lighting!$B$18:$AF$69,MATCH('Summary Table 2'!$B46,Lighting!$C$18:$C$69,0),MATCH("Basis of Design",Lighting!$B$18:$AF$18,0)+2)</f>
        <v>0.85</v>
      </c>
      <c r="H46" s="593" cm="1">
        <f t="array" ref="H46">INDEX(Lighting!$B$18:$AF$69,MATCH('Summary Table 2'!$B46,Lighting!$C$18:$C$69,0),MATCH("Basis of Design",Lighting!$B$18:$AF$18,0)+4)</f>
        <v>2</v>
      </c>
      <c r="I46" s="593">
        <f>INDEX(OccupancyAssumptions[[#All],[Space Type]:[Notes]],MATCH('Summary Table 2'!$B46,OccupancyAssumptions[[#All],[Space Type]],0),MATCH("Design Occupant Density [SF/Person]",OccupancyAssumptions[[#Headers],[Space Type]:[Notes]],0))</f>
        <v>20</v>
      </c>
      <c r="J46" s="595">
        <f>INDEX(OccupancyAssumptions[[#All],[Space Type]:[Notes]],MATCH('Summary Table 2'!$B46,OccupancyAssumptions[[#All],[Space Type]],0),MATCH("Design Min OA ACH",OccupancyAssumptions[[#Headers],[Space Type]:[Notes]],0))</f>
        <v>2</v>
      </c>
      <c r="K46" s="595">
        <f>INDEX(OccupancyAssumptions[[#All],[Space Type]:[Notes]],MATCH('Summary Table 2'!$B46,OccupancyAssumptions[[#All],[Space Type]],0),MATCH("Design Min Total ACH",OccupancyAssumptions[[#Headers],[Space Type]:[Notes]],0))</f>
        <v>4</v>
      </c>
      <c r="L46" s="564" t="s">
        <v>757</v>
      </c>
    </row>
    <row r="47" spans="2:12" ht="15.75" thickBot="1" x14ac:dyDescent="0.3">
      <c r="B47" s="96" t="str">
        <f>Lighting!C29</f>
        <v/>
      </c>
      <c r="C47" s="566" t="str">
        <f t="shared" si="0"/>
        <v/>
      </c>
      <c r="D47" s="579" t="str" cm="1">
        <f t="array" ref="D47">IF(D$31="Title-24 2019",CONCATENATE(INDEX(Lighting!$B$18:$AF$69,MATCH($B47,Lighting!$C$18:$C$69,0),MATCH(D$31,Lighting!$B$18:$AF$18,0)+6)),CONCATENATE(INDEX(Lighting!$B$18:$AF$69,MATCH($B47,Lighting!$C$18:$C$69,0),MATCH(D$31,Lighting!$B$18:$AF$18,0)+1)))</f>
        <v>1.3</v>
      </c>
      <c r="E47" s="579" t="str" cm="1">
        <f t="array" ref="E47">IF(E$31="Title-24 2019",CONCATENATE(INDEX(Lighting!$B$18:$AF$69,MATCH($B47,Lighting!$C$18:$C$69,0),MATCH(E$31,Lighting!$B$18:$AF$18,0)+6)),CONCATENATE(INDEX(Lighting!$B$18:$AF$69,MATCH($B47,Lighting!$C$18:$C$69,0),MATCH(E$31,Lighting!$B$18:$AF$18,0)+1)))</f>
        <v>1.23</v>
      </c>
      <c r="F47" s="579" t="str" cm="1">
        <f t="array" ref="F47">IF(F$31="Title-24 2019",CONCATENATE(INDEX(Lighting!$B$18:$AF$69,MATCH($B47,Lighting!$C$18:$C$69,0),MATCH(F$31,Lighting!$B$18:$AF$18,0)+6)),CONCATENATE(INDEX(Lighting!$B$18:$AF$69,MATCH($B47,Lighting!$C$18:$C$69,0),MATCH(F$31,Lighting!$B$18:$AF$18,0)+1)))</f>
        <v>0.85</v>
      </c>
      <c r="G47" s="579" cm="1">
        <f t="array" ref="G47">INDEX(Lighting!$B$18:$AF$69,MATCH('Summary Table 2'!$B47,Lighting!$C$18:$C$69,0),MATCH("Basis of Design",Lighting!$B$18:$AF$18,0)+2)</f>
        <v>0.85</v>
      </c>
      <c r="H47" s="593" cm="1">
        <f t="array" ref="H47">INDEX(Lighting!$B$18:$AF$69,MATCH('Summary Table 2'!$B47,Lighting!$C$18:$C$69,0),MATCH("Basis of Design",Lighting!$B$18:$AF$18,0)+4)</f>
        <v>2</v>
      </c>
      <c r="I47" s="593">
        <f>INDEX(OccupancyAssumptions[[#All],[Space Type]:[Notes]],MATCH('Summary Table 2'!$B47,OccupancyAssumptions[[#All],[Space Type]],0),MATCH("Design Occupant Density [SF/Person]",OccupancyAssumptions[[#Headers],[Space Type]:[Notes]],0))</f>
        <v>20</v>
      </c>
      <c r="J47" s="595">
        <f>INDEX(OccupancyAssumptions[[#All],[Space Type]:[Notes]],MATCH('Summary Table 2'!$B47,OccupancyAssumptions[[#All],[Space Type]],0),MATCH("Design Min OA ACH",OccupancyAssumptions[[#Headers],[Space Type]:[Notes]],0))</f>
        <v>2</v>
      </c>
      <c r="K47" s="595">
        <f>INDEX(OccupancyAssumptions[[#All],[Space Type]:[Notes]],MATCH('Summary Table 2'!$B47,OccupancyAssumptions[[#All],[Space Type]],0),MATCH("Design Min Total ACH",OccupancyAssumptions[[#Headers],[Space Type]:[Notes]],0))</f>
        <v>4</v>
      </c>
      <c r="L47" s="564" t="s">
        <v>757</v>
      </c>
    </row>
    <row r="48" spans="2:12" ht="15.75" thickBot="1" x14ac:dyDescent="0.3">
      <c r="B48" s="96" t="str">
        <f>Lighting!C30</f>
        <v/>
      </c>
      <c r="C48" s="566" t="str">
        <f t="shared" si="0"/>
        <v/>
      </c>
      <c r="D48" s="579" t="str" cm="1">
        <f t="array" ref="D48">IF(D$31="Title-24 2019",CONCATENATE(INDEX(Lighting!$B$18:$AF$69,MATCH($B48,Lighting!$C$18:$C$69,0),MATCH(D$31,Lighting!$B$18:$AF$18,0)+6)),CONCATENATE(INDEX(Lighting!$B$18:$AF$69,MATCH($B48,Lighting!$C$18:$C$69,0),MATCH(D$31,Lighting!$B$18:$AF$18,0)+1)))</f>
        <v>1.3</v>
      </c>
      <c r="E48" s="579" t="str" cm="1">
        <f t="array" ref="E48">IF(E$31="Title-24 2019",CONCATENATE(INDEX(Lighting!$B$18:$AF$69,MATCH($B48,Lighting!$C$18:$C$69,0),MATCH(E$31,Lighting!$B$18:$AF$18,0)+6)),CONCATENATE(INDEX(Lighting!$B$18:$AF$69,MATCH($B48,Lighting!$C$18:$C$69,0),MATCH(E$31,Lighting!$B$18:$AF$18,0)+1)))</f>
        <v>1.23</v>
      </c>
      <c r="F48" s="579" t="str" cm="1">
        <f t="array" ref="F48">IF(F$31="Title-24 2019",CONCATENATE(INDEX(Lighting!$B$18:$AF$69,MATCH($B48,Lighting!$C$18:$C$69,0),MATCH(F$31,Lighting!$B$18:$AF$18,0)+6)),CONCATENATE(INDEX(Lighting!$B$18:$AF$69,MATCH($B48,Lighting!$C$18:$C$69,0),MATCH(F$31,Lighting!$B$18:$AF$18,0)+1)))</f>
        <v>0.85</v>
      </c>
      <c r="G48" s="579" cm="1">
        <f t="array" ref="G48">INDEX(Lighting!$B$18:$AF$69,MATCH('Summary Table 2'!$B48,Lighting!$C$18:$C$69,0),MATCH("Basis of Design",Lighting!$B$18:$AF$18,0)+2)</f>
        <v>0.85</v>
      </c>
      <c r="H48" s="593" cm="1">
        <f t="array" ref="H48">INDEX(Lighting!$B$18:$AF$69,MATCH('Summary Table 2'!$B48,Lighting!$C$18:$C$69,0),MATCH("Basis of Design",Lighting!$B$18:$AF$18,0)+4)</f>
        <v>2</v>
      </c>
      <c r="I48" s="593">
        <f>INDEX(OccupancyAssumptions[[#All],[Space Type]:[Notes]],MATCH('Summary Table 2'!$B48,OccupancyAssumptions[[#All],[Space Type]],0),MATCH("Design Occupant Density [SF/Person]",OccupancyAssumptions[[#Headers],[Space Type]:[Notes]],0))</f>
        <v>20</v>
      </c>
      <c r="J48" s="595">
        <f>INDEX(OccupancyAssumptions[[#All],[Space Type]:[Notes]],MATCH('Summary Table 2'!$B48,OccupancyAssumptions[[#All],[Space Type]],0),MATCH("Design Min OA ACH",OccupancyAssumptions[[#Headers],[Space Type]:[Notes]],0))</f>
        <v>2</v>
      </c>
      <c r="K48" s="595">
        <f>INDEX(OccupancyAssumptions[[#All],[Space Type]:[Notes]],MATCH('Summary Table 2'!$B48,OccupancyAssumptions[[#All],[Space Type]],0),MATCH("Design Min Total ACH",OccupancyAssumptions[[#Headers],[Space Type]:[Notes]],0))</f>
        <v>4</v>
      </c>
      <c r="L48" s="564" t="s">
        <v>757</v>
      </c>
    </row>
    <row r="49" spans="2:12" ht="15.75" thickBot="1" x14ac:dyDescent="0.3">
      <c r="B49" s="96" t="str">
        <f>Lighting!C31</f>
        <v/>
      </c>
      <c r="C49" s="566" t="str">
        <f t="shared" si="0"/>
        <v/>
      </c>
      <c r="D49" s="579" t="str" cm="1">
        <f t="array" ref="D49">IF(D$31="Title-24 2019",CONCATENATE(INDEX(Lighting!$B$18:$AF$69,MATCH($B49,Lighting!$C$18:$C$69,0),MATCH(D$31,Lighting!$B$18:$AF$18,0)+6)),CONCATENATE(INDEX(Lighting!$B$18:$AF$69,MATCH($B49,Lighting!$C$18:$C$69,0),MATCH(D$31,Lighting!$B$18:$AF$18,0)+1)))</f>
        <v>1.3</v>
      </c>
      <c r="E49" s="579" t="str" cm="1">
        <f t="array" ref="E49">IF(E$31="Title-24 2019",CONCATENATE(INDEX(Lighting!$B$18:$AF$69,MATCH($B49,Lighting!$C$18:$C$69,0),MATCH(E$31,Lighting!$B$18:$AF$18,0)+6)),CONCATENATE(INDEX(Lighting!$B$18:$AF$69,MATCH($B49,Lighting!$C$18:$C$69,0),MATCH(E$31,Lighting!$B$18:$AF$18,0)+1)))</f>
        <v>1.23</v>
      </c>
      <c r="F49" s="579" t="str" cm="1">
        <f t="array" ref="F49">IF(F$31="Title-24 2019",CONCATENATE(INDEX(Lighting!$B$18:$AF$69,MATCH($B49,Lighting!$C$18:$C$69,0),MATCH(F$31,Lighting!$B$18:$AF$18,0)+6)),CONCATENATE(INDEX(Lighting!$B$18:$AF$69,MATCH($B49,Lighting!$C$18:$C$69,0),MATCH(F$31,Lighting!$B$18:$AF$18,0)+1)))</f>
        <v>0.85</v>
      </c>
      <c r="G49" s="579" cm="1">
        <f t="array" ref="G49">INDEX(Lighting!$B$18:$AF$69,MATCH('Summary Table 2'!$B49,Lighting!$C$18:$C$69,0),MATCH("Basis of Design",Lighting!$B$18:$AF$18,0)+2)</f>
        <v>0.85</v>
      </c>
      <c r="H49" s="593" cm="1">
        <f t="array" ref="H49">INDEX(Lighting!$B$18:$AF$69,MATCH('Summary Table 2'!$B49,Lighting!$C$18:$C$69,0),MATCH("Basis of Design",Lighting!$B$18:$AF$18,0)+4)</f>
        <v>2</v>
      </c>
      <c r="I49" s="593">
        <f>INDEX(OccupancyAssumptions[[#All],[Space Type]:[Notes]],MATCH('Summary Table 2'!$B49,OccupancyAssumptions[[#All],[Space Type]],0),MATCH("Design Occupant Density [SF/Person]",OccupancyAssumptions[[#Headers],[Space Type]:[Notes]],0))</f>
        <v>20</v>
      </c>
      <c r="J49" s="595">
        <f>INDEX(OccupancyAssumptions[[#All],[Space Type]:[Notes]],MATCH('Summary Table 2'!$B49,OccupancyAssumptions[[#All],[Space Type]],0),MATCH("Design Min OA ACH",OccupancyAssumptions[[#Headers],[Space Type]:[Notes]],0))</f>
        <v>2</v>
      </c>
      <c r="K49" s="595">
        <f>INDEX(OccupancyAssumptions[[#All],[Space Type]:[Notes]],MATCH('Summary Table 2'!$B49,OccupancyAssumptions[[#All],[Space Type]],0),MATCH("Design Min Total ACH",OccupancyAssumptions[[#Headers],[Space Type]:[Notes]],0))</f>
        <v>4</v>
      </c>
      <c r="L49" s="564" t="s">
        <v>757</v>
      </c>
    </row>
    <row r="50" spans="2:12" ht="15.75" thickBot="1" x14ac:dyDescent="0.3">
      <c r="B50" s="96" t="str">
        <f>Lighting!C32</f>
        <v/>
      </c>
      <c r="C50" s="566" t="str">
        <f t="shared" si="0"/>
        <v/>
      </c>
      <c r="D50" s="579" t="str" cm="1">
        <f t="array" ref="D50">IF(D$31="Title-24 2019",CONCATENATE(INDEX(Lighting!$B$18:$AF$69,MATCH($B50,Lighting!$C$18:$C$69,0),MATCH(D$31,Lighting!$B$18:$AF$18,0)+6)),CONCATENATE(INDEX(Lighting!$B$18:$AF$69,MATCH($B50,Lighting!$C$18:$C$69,0),MATCH(D$31,Lighting!$B$18:$AF$18,0)+1)))</f>
        <v>1.3</v>
      </c>
      <c r="E50" s="579" t="str" cm="1">
        <f t="array" ref="E50">IF(E$31="Title-24 2019",CONCATENATE(INDEX(Lighting!$B$18:$AF$69,MATCH($B50,Lighting!$C$18:$C$69,0),MATCH(E$31,Lighting!$B$18:$AF$18,0)+6)),CONCATENATE(INDEX(Lighting!$B$18:$AF$69,MATCH($B50,Lighting!$C$18:$C$69,0),MATCH(E$31,Lighting!$B$18:$AF$18,0)+1)))</f>
        <v>1.23</v>
      </c>
      <c r="F50" s="579" t="str" cm="1">
        <f t="array" ref="F50">IF(F$31="Title-24 2019",CONCATENATE(INDEX(Lighting!$B$18:$AF$69,MATCH($B50,Lighting!$C$18:$C$69,0),MATCH(F$31,Lighting!$B$18:$AF$18,0)+6)),CONCATENATE(INDEX(Lighting!$B$18:$AF$69,MATCH($B50,Lighting!$C$18:$C$69,0),MATCH(F$31,Lighting!$B$18:$AF$18,0)+1)))</f>
        <v>0.85</v>
      </c>
      <c r="G50" s="579" cm="1">
        <f t="array" ref="G50">INDEX(Lighting!$B$18:$AF$69,MATCH('Summary Table 2'!$B50,Lighting!$C$18:$C$69,0),MATCH("Basis of Design",Lighting!$B$18:$AF$18,0)+2)</f>
        <v>0.85</v>
      </c>
      <c r="H50" s="593" cm="1">
        <f t="array" ref="H50">INDEX(Lighting!$B$18:$AF$69,MATCH('Summary Table 2'!$B50,Lighting!$C$18:$C$69,0),MATCH("Basis of Design",Lighting!$B$18:$AF$18,0)+4)</f>
        <v>2</v>
      </c>
      <c r="I50" s="593">
        <f>INDEX(OccupancyAssumptions[[#All],[Space Type]:[Notes]],MATCH('Summary Table 2'!$B50,OccupancyAssumptions[[#All],[Space Type]],0),MATCH("Design Occupant Density [SF/Person]",OccupancyAssumptions[[#Headers],[Space Type]:[Notes]],0))</f>
        <v>20</v>
      </c>
      <c r="J50" s="595">
        <f>INDEX(OccupancyAssumptions[[#All],[Space Type]:[Notes]],MATCH('Summary Table 2'!$B50,OccupancyAssumptions[[#All],[Space Type]],0),MATCH("Design Min OA ACH",OccupancyAssumptions[[#Headers],[Space Type]:[Notes]],0))</f>
        <v>2</v>
      </c>
      <c r="K50" s="595">
        <f>INDEX(OccupancyAssumptions[[#All],[Space Type]:[Notes]],MATCH('Summary Table 2'!$B50,OccupancyAssumptions[[#All],[Space Type]],0),MATCH("Design Min Total ACH",OccupancyAssumptions[[#Headers],[Space Type]:[Notes]],0))</f>
        <v>4</v>
      </c>
      <c r="L50" s="564" t="s">
        <v>757</v>
      </c>
    </row>
    <row r="51" spans="2:12" ht="15.75" thickBot="1" x14ac:dyDescent="0.3"/>
    <row r="52" spans="2:12" ht="15.75" thickBot="1" x14ac:dyDescent="0.3">
      <c r="C52" s="749"/>
      <c r="D52" s="743" t="s">
        <v>749</v>
      </c>
      <c r="E52" s="744"/>
      <c r="F52" s="745"/>
      <c r="G52" s="749" t="s">
        <v>750</v>
      </c>
      <c r="H52" s="749" t="s">
        <v>751</v>
      </c>
    </row>
    <row r="53" spans="2:12" ht="15.75" thickBot="1" x14ac:dyDescent="0.3">
      <c r="C53" s="750"/>
      <c r="D53" s="561" t="str">
        <f>$D$12</f>
        <v>ASHRAE 2007</v>
      </c>
      <c r="E53" s="561" t="str">
        <f>$E$12</f>
        <v>ASHRAE 2013</v>
      </c>
      <c r="F53" s="561" t="str">
        <f>$F$12</f>
        <v>Title 24 - 2019</v>
      </c>
      <c r="G53" s="750"/>
      <c r="H53" s="750"/>
    </row>
    <row r="54" spans="2:12" ht="15.75" thickBot="1" x14ac:dyDescent="0.3">
      <c r="C54" s="566" t="s">
        <v>185</v>
      </c>
      <c r="D54" s="564" t="s">
        <v>786</v>
      </c>
      <c r="E54" s="564" t="s">
        <v>786</v>
      </c>
      <c r="F54" s="564" t="s">
        <v>786</v>
      </c>
      <c r="G54" s="564" t="s">
        <v>787</v>
      </c>
      <c r="H54" s="564" t="s">
        <v>757</v>
      </c>
    </row>
    <row r="55" spans="2:12" ht="15.75" thickBot="1" x14ac:dyDescent="0.3">
      <c r="C55" s="566" t="s">
        <v>788</v>
      </c>
      <c r="D55" s="564" t="s">
        <v>789</v>
      </c>
      <c r="E55" s="564" t="s">
        <v>789</v>
      </c>
      <c r="F55" s="564" t="s">
        <v>789</v>
      </c>
      <c r="G55" s="564" t="s">
        <v>789</v>
      </c>
      <c r="H55" s="564" t="s">
        <v>757</v>
      </c>
    </row>
    <row r="56" spans="2:12" ht="15.75" thickBot="1" x14ac:dyDescent="0.3">
      <c r="C56" s="566" t="s">
        <v>734</v>
      </c>
      <c r="D56" s="564" t="s">
        <v>611</v>
      </c>
      <c r="E56" s="564"/>
      <c r="F56" s="564" t="s">
        <v>611</v>
      </c>
      <c r="G56" s="564"/>
      <c r="H56" s="564"/>
    </row>
    <row r="57" spans="2:12" ht="15.75" thickBot="1" x14ac:dyDescent="0.3">
      <c r="C57" s="566" t="s">
        <v>790</v>
      </c>
      <c r="D57" s="567" t="s">
        <v>786</v>
      </c>
      <c r="E57" s="567" t="s">
        <v>786</v>
      </c>
      <c r="F57" s="567">
        <v>0.8</v>
      </c>
      <c r="G57" s="564" t="s">
        <v>789</v>
      </c>
      <c r="H57" s="578" t="s">
        <v>791</v>
      </c>
    </row>
    <row r="58" spans="2:12" x14ac:dyDescent="0.25">
      <c r="C58" s="739" t="s">
        <v>792</v>
      </c>
      <c r="D58" s="563" t="s">
        <v>786</v>
      </c>
      <c r="E58" s="563" t="s">
        <v>786</v>
      </c>
      <c r="F58" s="563" t="s">
        <v>786</v>
      </c>
      <c r="G58" s="563" t="s">
        <v>793</v>
      </c>
      <c r="H58" s="739"/>
    </row>
    <row r="59" spans="2:12" x14ac:dyDescent="0.25">
      <c r="C59" s="746"/>
      <c r="D59" s="563"/>
      <c r="E59" s="563"/>
      <c r="F59" s="563"/>
      <c r="G59" s="563" t="s">
        <v>794</v>
      </c>
      <c r="H59" s="746"/>
    </row>
    <row r="60" spans="2:12" ht="15.75" thickBot="1" x14ac:dyDescent="0.3">
      <c r="C60" s="740"/>
      <c r="D60" s="564"/>
      <c r="E60" s="564"/>
      <c r="F60" s="564"/>
      <c r="G60" s="564" t="s">
        <v>795</v>
      </c>
      <c r="H60" s="740"/>
    </row>
    <row r="61" spans="2:12" ht="30.75" thickBot="1" x14ac:dyDescent="0.3">
      <c r="C61" s="566" t="s">
        <v>796</v>
      </c>
      <c r="D61" s="564" t="s">
        <v>786</v>
      </c>
      <c r="E61" s="564" t="s">
        <v>786</v>
      </c>
      <c r="F61" s="564"/>
      <c r="G61" s="564" t="s">
        <v>797</v>
      </c>
      <c r="H61" s="564"/>
    </row>
    <row r="62" spans="2:12" ht="30.75" thickBot="1" x14ac:dyDescent="0.3">
      <c r="C62" s="566" t="s">
        <v>798</v>
      </c>
      <c r="D62" s="564" t="s">
        <v>786</v>
      </c>
      <c r="E62" s="564" t="s">
        <v>786</v>
      </c>
      <c r="F62" s="564"/>
      <c r="G62" s="564" t="s">
        <v>799</v>
      </c>
      <c r="H62" s="564"/>
    </row>
    <row r="63" spans="2:12" ht="15.75" thickBot="1" x14ac:dyDescent="0.3">
      <c r="C63" s="566" t="s">
        <v>800</v>
      </c>
      <c r="D63" s="564" t="s">
        <v>786</v>
      </c>
      <c r="E63" s="564" t="s">
        <v>786</v>
      </c>
      <c r="F63" s="564"/>
      <c r="G63" s="564" t="s">
        <v>801</v>
      </c>
      <c r="H63" s="564"/>
    </row>
    <row r="64" spans="2:12" ht="30.75" thickBot="1" x14ac:dyDescent="0.3">
      <c r="C64" s="566" t="s">
        <v>802</v>
      </c>
      <c r="D64" s="564" t="s">
        <v>803</v>
      </c>
      <c r="E64" s="564" t="s">
        <v>803</v>
      </c>
      <c r="F64" s="564" t="s">
        <v>803</v>
      </c>
      <c r="G64" s="564" t="s">
        <v>803</v>
      </c>
      <c r="H64" s="564"/>
    </row>
    <row r="65" spans="3:8" ht="15.75" thickBot="1" x14ac:dyDescent="0.3"/>
    <row r="66" spans="3:8" ht="15.75" thickBot="1" x14ac:dyDescent="0.3">
      <c r="C66" s="753"/>
      <c r="D66" s="743" t="s">
        <v>749</v>
      </c>
      <c r="E66" s="744"/>
      <c r="F66" s="745"/>
      <c r="G66" s="736" t="s">
        <v>750</v>
      </c>
      <c r="H66" s="736" t="s">
        <v>751</v>
      </c>
    </row>
    <row r="67" spans="3:8" ht="15.75" thickBot="1" x14ac:dyDescent="0.3">
      <c r="C67" s="754"/>
      <c r="D67" s="561" t="str">
        <f>$D$12</f>
        <v>ASHRAE 2007</v>
      </c>
      <c r="E67" s="561" t="str">
        <f>$E$12</f>
        <v>ASHRAE 2013</v>
      </c>
      <c r="F67" s="561" t="str">
        <f>$F$12</f>
        <v>Title 24 - 2019</v>
      </c>
      <c r="G67" s="738"/>
      <c r="H67" s="738"/>
    </row>
    <row r="68" spans="3:8" ht="30.75" thickBot="1" x14ac:dyDescent="0.3">
      <c r="C68" s="566" t="s">
        <v>183</v>
      </c>
      <c r="D68" s="564" t="s">
        <v>804</v>
      </c>
      <c r="E68" s="564" t="s">
        <v>804</v>
      </c>
      <c r="F68" s="564" t="s">
        <v>804</v>
      </c>
      <c r="G68" s="564" t="s">
        <v>805</v>
      </c>
      <c r="H68" s="564"/>
    </row>
    <row r="69" spans="3:8" ht="15.75" thickBot="1" x14ac:dyDescent="0.3">
      <c r="C69" s="566" t="s">
        <v>806</v>
      </c>
      <c r="D69" s="564" t="s">
        <v>807</v>
      </c>
      <c r="E69" s="564" t="s">
        <v>807</v>
      </c>
      <c r="F69" s="564" t="s">
        <v>807</v>
      </c>
      <c r="G69" s="564">
        <v>5</v>
      </c>
      <c r="H69" s="564">
        <v>-1</v>
      </c>
    </row>
    <row r="70" spans="3:8" x14ac:dyDescent="0.25">
      <c r="C70" s="739" t="s">
        <v>808</v>
      </c>
      <c r="D70" s="739" t="s">
        <v>809</v>
      </c>
      <c r="E70" s="739" t="s">
        <v>809</v>
      </c>
      <c r="F70" s="739" t="s">
        <v>809</v>
      </c>
      <c r="G70" s="563" t="s">
        <v>810</v>
      </c>
      <c r="H70" s="739">
        <v>-2</v>
      </c>
    </row>
    <row r="71" spans="3:8" ht="15.75" thickBot="1" x14ac:dyDescent="0.3">
      <c r="C71" s="740"/>
      <c r="D71" s="740"/>
      <c r="E71" s="740"/>
      <c r="F71" s="740"/>
      <c r="G71" s="564" t="s">
        <v>811</v>
      </c>
      <c r="H71" s="740"/>
    </row>
    <row r="72" spans="3:8" ht="15.75" thickBot="1" x14ac:dyDescent="0.3">
      <c r="C72" s="566" t="s">
        <v>711</v>
      </c>
      <c r="D72" s="564" t="s">
        <v>611</v>
      </c>
      <c r="E72" s="564" t="s">
        <v>611</v>
      </c>
      <c r="F72" s="564" t="s">
        <v>611</v>
      </c>
      <c r="G72" s="564" t="s">
        <v>812</v>
      </c>
      <c r="H72" s="564"/>
    </row>
    <row r="73" spans="3:8" ht="15.75" thickBot="1" x14ac:dyDescent="0.3">
      <c r="C73" s="566" t="s">
        <v>800</v>
      </c>
      <c r="D73" s="564" t="s">
        <v>813</v>
      </c>
      <c r="E73" s="564" t="s">
        <v>813</v>
      </c>
      <c r="F73" s="564" t="s">
        <v>813</v>
      </c>
      <c r="G73" s="564" t="s">
        <v>813</v>
      </c>
      <c r="H73" s="564"/>
    </row>
    <row r="74" spans="3:8" x14ac:dyDescent="0.25">
      <c r="C74" s="739" t="s">
        <v>814</v>
      </c>
      <c r="D74" s="563" t="s">
        <v>815</v>
      </c>
      <c r="E74" s="563" t="s">
        <v>815</v>
      </c>
      <c r="F74" s="563" t="s">
        <v>815</v>
      </c>
      <c r="G74" s="563" t="s">
        <v>816</v>
      </c>
      <c r="H74" s="739"/>
    </row>
    <row r="75" spans="3:8" x14ac:dyDescent="0.25">
      <c r="C75" s="746"/>
      <c r="D75" s="563" t="s">
        <v>817</v>
      </c>
      <c r="E75" s="563" t="s">
        <v>817</v>
      </c>
      <c r="F75" s="563" t="s">
        <v>817</v>
      </c>
      <c r="G75" s="563" t="s">
        <v>818</v>
      </c>
      <c r="H75" s="746"/>
    </row>
    <row r="76" spans="3:8" ht="15.75" thickBot="1" x14ac:dyDescent="0.3">
      <c r="C76" s="740"/>
      <c r="D76" s="564" t="s">
        <v>819</v>
      </c>
      <c r="E76" s="564" t="s">
        <v>819</v>
      </c>
      <c r="F76" s="564" t="s">
        <v>819</v>
      </c>
      <c r="G76" s="564" t="s">
        <v>820</v>
      </c>
      <c r="H76" s="740"/>
    </row>
    <row r="77" spans="3:8" ht="15.75" thickBot="1" x14ac:dyDescent="0.3">
      <c r="C77" s="566" t="s">
        <v>821</v>
      </c>
      <c r="D77" s="564" t="s">
        <v>822</v>
      </c>
      <c r="E77" s="564" t="s">
        <v>822</v>
      </c>
      <c r="F77" s="564" t="s">
        <v>822</v>
      </c>
      <c r="G77" s="564" t="s">
        <v>822</v>
      </c>
      <c r="H77" s="564"/>
    </row>
    <row r="78" spans="3:8" ht="30.75" thickBot="1" x14ac:dyDescent="0.3">
      <c r="C78" s="566" t="s">
        <v>823</v>
      </c>
      <c r="D78" s="564">
        <v>1</v>
      </c>
      <c r="E78" s="564">
        <v>1</v>
      </c>
      <c r="F78" s="564">
        <v>1</v>
      </c>
      <c r="G78" s="564">
        <v>2</v>
      </c>
      <c r="H78" s="564"/>
    </row>
    <row r="79" spans="3:8" x14ac:dyDescent="0.25">
      <c r="C79" s="739" t="s">
        <v>824</v>
      </c>
      <c r="D79" s="739" t="s">
        <v>825</v>
      </c>
      <c r="E79" s="739" t="s">
        <v>825</v>
      </c>
      <c r="F79" s="739" t="s">
        <v>825</v>
      </c>
      <c r="G79" s="739" t="s">
        <v>826</v>
      </c>
      <c r="H79" s="739"/>
    </row>
    <row r="80" spans="3:8" ht="15.75" thickBot="1" x14ac:dyDescent="0.3">
      <c r="C80" s="740"/>
      <c r="D80" s="740"/>
      <c r="E80" s="740"/>
      <c r="F80" s="740"/>
      <c r="G80" s="740"/>
      <c r="H80" s="740"/>
    </row>
    <row r="81" spans="3:8" ht="15.75" thickBot="1" x14ac:dyDescent="0.3">
      <c r="C81" s="566" t="s">
        <v>827</v>
      </c>
      <c r="D81" s="564" t="s">
        <v>828</v>
      </c>
      <c r="E81" s="564" t="s">
        <v>828</v>
      </c>
      <c r="F81" s="564" t="s">
        <v>828</v>
      </c>
      <c r="G81" s="564" t="s">
        <v>828</v>
      </c>
      <c r="H81" s="564"/>
    </row>
    <row r="82" spans="3:8" ht="15.75" thickBot="1" x14ac:dyDescent="0.3"/>
    <row r="83" spans="3:8" ht="15.75" thickBot="1" x14ac:dyDescent="0.3">
      <c r="C83" s="736"/>
      <c r="D83" s="743" t="s">
        <v>749</v>
      </c>
      <c r="E83" s="744"/>
      <c r="F83" s="745"/>
      <c r="G83" s="736" t="s">
        <v>750</v>
      </c>
      <c r="H83" s="736" t="s">
        <v>751</v>
      </c>
    </row>
    <row r="84" spans="3:8" ht="15.75" thickBot="1" x14ac:dyDescent="0.3">
      <c r="C84" s="738"/>
      <c r="D84" s="561" t="str">
        <f>$D$12</f>
        <v>ASHRAE 2007</v>
      </c>
      <c r="E84" s="561" t="str">
        <f>$E$12</f>
        <v>ASHRAE 2013</v>
      </c>
      <c r="F84" s="561" t="str">
        <f>$F$12</f>
        <v>Title 24 - 2019</v>
      </c>
      <c r="G84" s="738"/>
      <c r="H84" s="738"/>
    </row>
    <row r="85" spans="3:8" ht="29.25" customHeight="1" x14ac:dyDescent="0.25">
      <c r="C85" s="739" t="s">
        <v>829</v>
      </c>
      <c r="D85" s="739" t="s">
        <v>807</v>
      </c>
      <c r="E85" s="739" t="s">
        <v>807</v>
      </c>
      <c r="F85" s="739" t="s">
        <v>807</v>
      </c>
      <c r="G85" s="563" t="s">
        <v>830</v>
      </c>
      <c r="H85" s="739"/>
    </row>
    <row r="86" spans="3:8" x14ac:dyDescent="0.25">
      <c r="C86" s="746"/>
      <c r="D86" s="746"/>
      <c r="E86" s="746"/>
      <c r="F86" s="746"/>
      <c r="G86" s="563" t="s">
        <v>831</v>
      </c>
      <c r="H86" s="746"/>
    </row>
    <row r="87" spans="3:8" ht="15.75" thickBot="1" x14ac:dyDescent="0.3">
      <c r="C87" s="740"/>
      <c r="D87" s="740"/>
      <c r="E87" s="740"/>
      <c r="F87" s="740"/>
      <c r="G87" s="564" t="s">
        <v>832</v>
      </c>
      <c r="H87" s="740"/>
    </row>
    <row r="88" spans="3:8" ht="15.75" thickBot="1" x14ac:dyDescent="0.3">
      <c r="C88" s="566" t="s">
        <v>833</v>
      </c>
      <c r="D88" s="564" t="s">
        <v>807</v>
      </c>
      <c r="E88" s="564" t="s">
        <v>807</v>
      </c>
      <c r="F88" s="564" t="s">
        <v>807</v>
      </c>
      <c r="G88" s="564" t="s">
        <v>834</v>
      </c>
      <c r="H88" s="564"/>
    </row>
    <row r="89" spans="3:8" ht="30.75" thickBot="1" x14ac:dyDescent="0.3">
      <c r="C89" s="566" t="s">
        <v>835</v>
      </c>
      <c r="D89" s="564" t="s">
        <v>807</v>
      </c>
      <c r="E89" s="564" t="s">
        <v>807</v>
      </c>
      <c r="F89" s="564" t="s">
        <v>807</v>
      </c>
      <c r="G89" s="564" t="s">
        <v>836</v>
      </c>
      <c r="H89" s="564"/>
    </row>
    <row r="90" spans="3:8" ht="15.75" thickBot="1" x14ac:dyDescent="0.3"/>
    <row r="91" spans="3:8" ht="15.75" thickBot="1" x14ac:dyDescent="0.3">
      <c r="C91" s="753"/>
      <c r="D91" s="743" t="s">
        <v>749</v>
      </c>
      <c r="E91" s="744"/>
      <c r="F91" s="745"/>
      <c r="G91" s="736" t="s">
        <v>750</v>
      </c>
      <c r="H91" s="736" t="s">
        <v>751</v>
      </c>
    </row>
    <row r="92" spans="3:8" ht="15.75" thickBot="1" x14ac:dyDescent="0.3">
      <c r="C92" s="754"/>
      <c r="D92" s="561" t="str">
        <f>$D$12</f>
        <v>ASHRAE 2007</v>
      </c>
      <c r="E92" s="561" t="str">
        <f>$E$12</f>
        <v>ASHRAE 2013</v>
      </c>
      <c r="F92" s="561" t="str">
        <f>$F$12</f>
        <v>Title 24 - 2019</v>
      </c>
      <c r="G92" s="738"/>
      <c r="H92" s="738"/>
    </row>
    <row r="93" spans="3:8" x14ac:dyDescent="0.25">
      <c r="C93" s="739" t="s">
        <v>642</v>
      </c>
      <c r="D93" s="563" t="s">
        <v>837</v>
      </c>
      <c r="E93" s="563" t="s">
        <v>837</v>
      </c>
      <c r="F93" s="563" t="s">
        <v>838</v>
      </c>
      <c r="G93" s="563" t="s">
        <v>839</v>
      </c>
      <c r="H93" s="739">
        <v>-1</v>
      </c>
    </row>
    <row r="94" spans="3:8" ht="45" x14ac:dyDescent="0.25">
      <c r="C94" s="746"/>
      <c r="D94" s="563" t="s">
        <v>840</v>
      </c>
      <c r="E94" s="563" t="s">
        <v>840</v>
      </c>
      <c r="F94" s="563" t="s">
        <v>840</v>
      </c>
      <c r="G94" s="563" t="s">
        <v>841</v>
      </c>
      <c r="H94" s="746"/>
    </row>
    <row r="95" spans="3:8" x14ac:dyDescent="0.25">
      <c r="C95" s="746"/>
      <c r="D95" s="563"/>
      <c r="E95" s="563"/>
      <c r="F95" s="563"/>
      <c r="G95" s="563" t="s">
        <v>842</v>
      </c>
      <c r="H95" s="746"/>
    </row>
    <row r="96" spans="3:8" ht="45" x14ac:dyDescent="0.25">
      <c r="C96" s="746"/>
      <c r="D96" s="563"/>
      <c r="E96" s="563"/>
      <c r="F96" s="563"/>
      <c r="G96" s="563" t="s">
        <v>843</v>
      </c>
      <c r="H96" s="746"/>
    </row>
    <row r="97" spans="3:8" x14ac:dyDescent="0.25">
      <c r="C97" s="746"/>
      <c r="D97" s="568"/>
      <c r="E97" s="568"/>
      <c r="F97" s="568"/>
      <c r="G97" s="563" t="s">
        <v>844</v>
      </c>
      <c r="H97" s="746"/>
    </row>
    <row r="98" spans="3:8" ht="30.75" thickBot="1" x14ac:dyDescent="0.3">
      <c r="C98" s="740"/>
      <c r="D98" s="569"/>
      <c r="E98" s="569"/>
      <c r="F98" s="569"/>
      <c r="G98" s="564" t="s">
        <v>845</v>
      </c>
      <c r="H98" s="740"/>
    </row>
    <row r="99" spans="3:8" ht="45.75" thickBot="1" x14ac:dyDescent="0.3">
      <c r="C99" s="566" t="s">
        <v>846</v>
      </c>
      <c r="D99" s="564" t="s">
        <v>527</v>
      </c>
      <c r="E99" s="564" t="s">
        <v>527</v>
      </c>
      <c r="F99" s="564" t="s">
        <v>847</v>
      </c>
      <c r="G99" s="564" t="s">
        <v>527</v>
      </c>
      <c r="H99" s="564"/>
    </row>
    <row r="100" spans="3:8" ht="30.75" thickBot="1" x14ac:dyDescent="0.3">
      <c r="C100" s="566" t="s">
        <v>646</v>
      </c>
      <c r="D100" s="564" t="s">
        <v>848</v>
      </c>
      <c r="E100" s="564" t="s">
        <v>848</v>
      </c>
      <c r="F100" s="564" t="s">
        <v>849</v>
      </c>
      <c r="G100" s="564" t="s">
        <v>850</v>
      </c>
      <c r="H100" s="564"/>
    </row>
    <row r="101" spans="3:8" ht="30.75" thickBot="1" x14ac:dyDescent="0.3">
      <c r="C101" s="566" t="s">
        <v>851</v>
      </c>
      <c r="D101" s="564" t="s">
        <v>807</v>
      </c>
      <c r="E101" s="564" t="s">
        <v>807</v>
      </c>
      <c r="F101" s="564" t="s">
        <v>807</v>
      </c>
      <c r="G101" s="564" t="s">
        <v>852</v>
      </c>
      <c r="H101" s="564"/>
    </row>
    <row r="102" spans="3:8" ht="30.75" thickBot="1" x14ac:dyDescent="0.3">
      <c r="C102" s="566" t="s">
        <v>853</v>
      </c>
      <c r="D102" s="564" t="s">
        <v>854</v>
      </c>
      <c r="E102" s="564" t="s">
        <v>854</v>
      </c>
      <c r="F102" s="564" t="s">
        <v>854</v>
      </c>
      <c r="G102" s="564" t="s">
        <v>854</v>
      </c>
      <c r="H102" s="564"/>
    </row>
    <row r="103" spans="3:8" ht="45.75" thickBot="1" x14ac:dyDescent="0.3">
      <c r="C103" s="566" t="s">
        <v>855</v>
      </c>
      <c r="D103" s="564" t="s">
        <v>856</v>
      </c>
      <c r="E103" s="564" t="s">
        <v>856</v>
      </c>
      <c r="F103" s="564" t="s">
        <v>856</v>
      </c>
      <c r="G103" s="564" t="s">
        <v>856</v>
      </c>
      <c r="H103" s="564"/>
    </row>
    <row r="104" spans="3:8" ht="45.75" thickBot="1" x14ac:dyDescent="0.3">
      <c r="C104" s="596" t="s">
        <v>857</v>
      </c>
      <c r="D104" s="596" t="s">
        <v>858</v>
      </c>
      <c r="E104" s="596" t="s">
        <v>858</v>
      </c>
      <c r="F104" s="596" t="s">
        <v>858</v>
      </c>
      <c r="G104" s="564" t="s">
        <v>859</v>
      </c>
      <c r="H104" s="596">
        <v>-2</v>
      </c>
    </row>
    <row r="105" spans="3:8" ht="30.75" thickBot="1" x14ac:dyDescent="0.3">
      <c r="C105" s="566" t="s">
        <v>690</v>
      </c>
      <c r="D105" s="564" t="s">
        <v>527</v>
      </c>
      <c r="E105" s="564" t="s">
        <v>527</v>
      </c>
      <c r="F105" s="564" t="s">
        <v>847</v>
      </c>
      <c r="G105" s="564" t="s">
        <v>860</v>
      </c>
      <c r="H105" s="564"/>
    </row>
  </sheetData>
  <mergeCells count="63">
    <mergeCell ref="C91:C92"/>
    <mergeCell ref="D91:F91"/>
    <mergeCell ref="G91:G92"/>
    <mergeCell ref="H91:H92"/>
    <mergeCell ref="C93:C98"/>
    <mergeCell ref="H93:H98"/>
    <mergeCell ref="C85:C87"/>
    <mergeCell ref="D85:D87"/>
    <mergeCell ref="F85:F87"/>
    <mergeCell ref="H85:H87"/>
    <mergeCell ref="E85:E87"/>
    <mergeCell ref="C83:C84"/>
    <mergeCell ref="D83:F83"/>
    <mergeCell ref="G83:G84"/>
    <mergeCell ref="H83:H84"/>
    <mergeCell ref="C70:C71"/>
    <mergeCell ref="D70:D71"/>
    <mergeCell ref="F70:F71"/>
    <mergeCell ref="H70:H71"/>
    <mergeCell ref="C74:C76"/>
    <mergeCell ref="H74:H76"/>
    <mergeCell ref="C79:C80"/>
    <mergeCell ref="D79:D80"/>
    <mergeCell ref="F79:F80"/>
    <mergeCell ref="G79:G80"/>
    <mergeCell ref="H79:H80"/>
    <mergeCell ref="E79:E80"/>
    <mergeCell ref="H58:H60"/>
    <mergeCell ref="C66:C67"/>
    <mergeCell ref="D66:F66"/>
    <mergeCell ref="G66:G67"/>
    <mergeCell ref="H66:H67"/>
    <mergeCell ref="L33:L34"/>
    <mergeCell ref="C52:C53"/>
    <mergeCell ref="D52:F52"/>
    <mergeCell ref="G52:G53"/>
    <mergeCell ref="H52:H53"/>
    <mergeCell ref="H33:H34"/>
    <mergeCell ref="I33:I34"/>
    <mergeCell ref="J33:K33"/>
    <mergeCell ref="H27:H29"/>
    <mergeCell ref="C15:C16"/>
    <mergeCell ref="H15:H16"/>
    <mergeCell ref="H17:H18"/>
    <mergeCell ref="C20:C21"/>
    <mergeCell ref="D20:F20"/>
    <mergeCell ref="G20:G21"/>
    <mergeCell ref="H20:H21"/>
    <mergeCell ref="H11:H12"/>
    <mergeCell ref="C13:C14"/>
    <mergeCell ref="H13:H14"/>
    <mergeCell ref="C22:C26"/>
    <mergeCell ref="H22:H26"/>
    <mergeCell ref="C3:C6"/>
    <mergeCell ref="E70:E71"/>
    <mergeCell ref="C11:C12"/>
    <mergeCell ref="D11:F11"/>
    <mergeCell ref="G11:G12"/>
    <mergeCell ref="C27:C29"/>
    <mergeCell ref="C33:C34"/>
    <mergeCell ref="D33:F33"/>
    <mergeCell ref="G33:G34"/>
    <mergeCell ref="C58:C60"/>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8C48D98C-0C0B-4CB8-BC4C-52A2721CEB00}">
          <x14:formula1>
            <xm:f>Architectural!$A$16:$A$24</xm:f>
          </x14:formula1>
          <xm:sqref>D14:F14</xm:sqref>
        </x14:dataValidation>
        <x14:dataValidation type="list" allowBlank="1" showInputMessage="1" showErrorMessage="1" xr:uid="{C8A0FA21-67EC-4989-8D9A-C22A3F4A98DA}">
          <x14:formula1>
            <xm:f>Architectural!$A$25:$A$30</xm:f>
          </x14:formula1>
          <xm:sqref>D16:F16</xm:sqref>
        </x14:dataValidation>
        <x14:dataValidation type="list" allowBlank="1" showInputMessage="1" showErrorMessage="1" xr:uid="{98405C3E-791B-417F-921A-B117B420EFE9}">
          <x14:formula1>
            <xm:f>Architectural!$A$44:$A$60</xm:f>
          </x14:formula1>
          <xm:sqref>C27:C29</xm:sqref>
        </x14:dataValidation>
        <x14:dataValidation type="list" allowBlank="1" showInputMessage="1" showErrorMessage="1" xr:uid="{BD32AE45-BC93-49D6-9FEA-30EFD8C46CF8}">
          <x14:formula1>
            <xm:f>Lighting!$E$18:$AF$18</xm:f>
          </x14:formula1>
          <xm:sqref>D31:F31</xm:sqref>
        </x14:dataValidation>
        <x14:dataValidation type="list" allowBlank="1" showInputMessage="1" showErrorMessage="1" xr:uid="{18579DC4-5A34-4DC0-AB4C-8BB6200EFABA}">
          <x14:formula1>
            <xm:f>Architectural!A$14:S$14</xm:f>
          </x14:formula1>
          <xm:sqref>D9:F9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53B68-0D00-4CA2-81E7-3F341DDF0A12}">
  <sheetPr codeName="Sheet6">
    <tabColor theme="5" tint="0.79998168889431442"/>
  </sheetPr>
  <dimension ref="A2:EW61"/>
  <sheetViews>
    <sheetView zoomScale="70" zoomScaleNormal="70" workbookViewId="0">
      <selection activeCell="O30" sqref="O30"/>
    </sheetView>
  </sheetViews>
  <sheetFormatPr defaultRowHeight="15" x14ac:dyDescent="0.25"/>
  <cols>
    <col min="1" max="1" width="13.5703125" bestFit="1" customWidth="1"/>
    <col min="2" max="2" width="29.85546875" customWidth="1"/>
    <col min="3" max="5" width="14.140625" customWidth="1"/>
    <col min="6" max="6" width="13.7109375" bestFit="1" customWidth="1"/>
    <col min="7" max="8" width="14.140625" customWidth="1"/>
    <col min="9" max="9" width="18" customWidth="1"/>
    <col min="10" max="13" width="14.140625" customWidth="1"/>
    <col min="14" max="14" width="33.7109375" bestFit="1" customWidth="1"/>
    <col min="15" max="33" width="13.85546875" customWidth="1"/>
    <col min="34" max="34" width="15.28515625" bestFit="1" customWidth="1"/>
    <col min="35" max="127" width="15.28515625" customWidth="1"/>
    <col min="132" max="153" width="0" hidden="1" customWidth="1"/>
  </cols>
  <sheetData>
    <row r="2" spans="1:153" hidden="1" x14ac:dyDescent="0.25">
      <c r="O2" s="19">
        <f t="shared" ref="O2:AG2" si="0">IF(O4="YES",1,0)</f>
        <v>0</v>
      </c>
      <c r="P2" s="19">
        <f t="shared" si="0"/>
        <v>0</v>
      </c>
      <c r="Q2" s="19">
        <f t="shared" si="0"/>
        <v>1</v>
      </c>
      <c r="R2" s="19">
        <f t="shared" si="0"/>
        <v>0</v>
      </c>
      <c r="S2" s="19">
        <f t="shared" si="0"/>
        <v>0</v>
      </c>
      <c r="T2" s="19">
        <f t="shared" si="0"/>
        <v>1</v>
      </c>
      <c r="U2" s="19">
        <f t="shared" si="0"/>
        <v>0</v>
      </c>
      <c r="V2" s="19">
        <f t="shared" si="0"/>
        <v>0</v>
      </c>
      <c r="W2" s="19">
        <f t="shared" si="0"/>
        <v>1</v>
      </c>
      <c r="X2" s="19">
        <f t="shared" si="0"/>
        <v>0</v>
      </c>
      <c r="Y2" s="19">
        <f t="shared" si="0"/>
        <v>0</v>
      </c>
      <c r="Z2" s="19">
        <f t="shared" si="0"/>
        <v>1</v>
      </c>
      <c r="AA2" s="19">
        <f t="shared" si="0"/>
        <v>0</v>
      </c>
      <c r="AB2" s="19">
        <f t="shared" si="0"/>
        <v>0</v>
      </c>
      <c r="AC2" s="19">
        <f t="shared" si="0"/>
        <v>1</v>
      </c>
      <c r="AD2" s="19">
        <f t="shared" si="0"/>
        <v>0</v>
      </c>
      <c r="AE2" s="19">
        <f t="shared" si="0"/>
        <v>0</v>
      </c>
      <c r="AF2" s="19">
        <f t="shared" si="0"/>
        <v>1</v>
      </c>
      <c r="AG2" s="19">
        <f t="shared" si="0"/>
        <v>0</v>
      </c>
      <c r="ED2">
        <f>IF(ED3="Yes",0,1)</f>
        <v>1</v>
      </c>
      <c r="EE2">
        <f t="shared" ref="EE2:EV2" si="1">IF(EE3="Yes",0,1)</f>
        <v>1</v>
      </c>
      <c r="EF2">
        <f t="shared" si="1"/>
        <v>0</v>
      </c>
      <c r="EG2">
        <f t="shared" si="1"/>
        <v>1</v>
      </c>
      <c r="EH2">
        <f t="shared" si="1"/>
        <v>1</v>
      </c>
      <c r="EI2">
        <f t="shared" si="1"/>
        <v>0</v>
      </c>
      <c r="EJ2">
        <f t="shared" si="1"/>
        <v>1</v>
      </c>
      <c r="EK2">
        <f t="shared" si="1"/>
        <v>1</v>
      </c>
      <c r="EL2">
        <f t="shared" si="1"/>
        <v>0</v>
      </c>
      <c r="EM2">
        <f t="shared" si="1"/>
        <v>1</v>
      </c>
      <c r="EN2">
        <f t="shared" si="1"/>
        <v>1</v>
      </c>
      <c r="EO2">
        <f t="shared" si="1"/>
        <v>0</v>
      </c>
      <c r="EP2">
        <f t="shared" si="1"/>
        <v>1</v>
      </c>
      <c r="EQ2">
        <f t="shared" si="1"/>
        <v>1</v>
      </c>
      <c r="ER2">
        <f t="shared" si="1"/>
        <v>0</v>
      </c>
      <c r="ES2">
        <f t="shared" si="1"/>
        <v>1</v>
      </c>
      <c r="ET2">
        <f t="shared" si="1"/>
        <v>1</v>
      </c>
      <c r="EU2">
        <f t="shared" si="1"/>
        <v>0</v>
      </c>
      <c r="EV2">
        <f t="shared" si="1"/>
        <v>1</v>
      </c>
    </row>
    <row r="3" spans="1:153" ht="15.75" thickBot="1" x14ac:dyDescent="0.3">
      <c r="EC3" t="s">
        <v>861</v>
      </c>
      <c r="ED3" t="str">
        <f t="shared" ref="ED3:EV3" si="2">O4</f>
        <v>No</v>
      </c>
      <c r="EE3" t="str">
        <f t="shared" si="2"/>
        <v>No</v>
      </c>
      <c r="EF3" t="str">
        <f t="shared" si="2"/>
        <v>Yes</v>
      </c>
      <c r="EG3" t="str">
        <f t="shared" si="2"/>
        <v>No</v>
      </c>
      <c r="EH3" t="str">
        <f t="shared" si="2"/>
        <v>No</v>
      </c>
      <c r="EI3" t="str">
        <f t="shared" si="2"/>
        <v>Yes</v>
      </c>
      <c r="EJ3" t="str">
        <f t="shared" si="2"/>
        <v>No</v>
      </c>
      <c r="EK3" t="str">
        <f t="shared" si="2"/>
        <v>No</v>
      </c>
      <c r="EL3" t="str">
        <f t="shared" si="2"/>
        <v>Yes</v>
      </c>
      <c r="EM3" t="str">
        <f t="shared" si="2"/>
        <v>No</v>
      </c>
      <c r="EN3" t="str">
        <f t="shared" si="2"/>
        <v>No</v>
      </c>
      <c r="EO3" t="str">
        <f t="shared" si="2"/>
        <v>Yes</v>
      </c>
      <c r="EP3" t="str">
        <f t="shared" si="2"/>
        <v>No</v>
      </c>
      <c r="EQ3" t="str">
        <f t="shared" si="2"/>
        <v>No</v>
      </c>
      <c r="ER3" t="str">
        <f t="shared" si="2"/>
        <v>Yes</v>
      </c>
      <c r="ES3" t="str">
        <f t="shared" si="2"/>
        <v>No</v>
      </c>
      <c r="ET3" t="str">
        <f t="shared" si="2"/>
        <v>No</v>
      </c>
      <c r="EU3" t="str">
        <f t="shared" si="2"/>
        <v>Yes</v>
      </c>
      <c r="EV3" t="str">
        <f t="shared" si="2"/>
        <v>No</v>
      </c>
    </row>
    <row r="4" spans="1:153" ht="60" x14ac:dyDescent="0.25">
      <c r="A4" s="662"/>
      <c r="B4" s="662"/>
      <c r="C4" s="757" t="s">
        <v>862</v>
      </c>
      <c r="D4" s="757"/>
      <c r="E4" s="757"/>
      <c r="F4" s="757"/>
      <c r="G4" s="757" t="s">
        <v>863</v>
      </c>
      <c r="H4" s="757"/>
      <c r="I4" s="757"/>
      <c r="J4" s="757" t="s">
        <v>864</v>
      </c>
      <c r="K4" s="757"/>
      <c r="N4" s="638" t="s">
        <v>861</v>
      </c>
      <c r="O4" s="639" t="s">
        <v>1224</v>
      </c>
      <c r="P4" s="639" t="s">
        <v>1224</v>
      </c>
      <c r="Q4" s="639" t="s">
        <v>852</v>
      </c>
      <c r="R4" s="639" t="s">
        <v>1224</v>
      </c>
      <c r="S4" s="639" t="s">
        <v>1224</v>
      </c>
      <c r="T4" s="639" t="s">
        <v>852</v>
      </c>
      <c r="U4" s="639" t="s">
        <v>1224</v>
      </c>
      <c r="V4" s="639" t="s">
        <v>1224</v>
      </c>
      <c r="W4" s="639" t="s">
        <v>852</v>
      </c>
      <c r="X4" s="639" t="s">
        <v>1224</v>
      </c>
      <c r="Y4" s="639" t="s">
        <v>1224</v>
      </c>
      <c r="Z4" s="639" t="s">
        <v>852</v>
      </c>
      <c r="AA4" s="639" t="s">
        <v>1224</v>
      </c>
      <c r="AB4" s="639" t="s">
        <v>1224</v>
      </c>
      <c r="AC4" s="639" t="s">
        <v>852</v>
      </c>
      <c r="AD4" s="639" t="s">
        <v>1224</v>
      </c>
      <c r="AE4" s="639" t="s">
        <v>1224</v>
      </c>
      <c r="AF4" s="639" t="s">
        <v>852</v>
      </c>
      <c r="AG4" s="639" t="s">
        <v>1224</v>
      </c>
      <c r="AH4" s="639" t="s">
        <v>1224</v>
      </c>
      <c r="AI4" s="639" t="s">
        <v>852</v>
      </c>
      <c r="AJ4" s="639" t="s">
        <v>1224</v>
      </c>
      <c r="AK4" s="639" t="s">
        <v>1224</v>
      </c>
      <c r="AL4" s="639" t="s">
        <v>852</v>
      </c>
      <c r="AM4" s="639" t="s">
        <v>1224</v>
      </c>
      <c r="AN4" s="639" t="s">
        <v>1224</v>
      </c>
      <c r="AO4" s="639" t="s">
        <v>852</v>
      </c>
      <c r="AP4" s="639" t="s">
        <v>1224</v>
      </c>
      <c r="AQ4" s="639" t="s">
        <v>1224</v>
      </c>
      <c r="AR4" s="639" t="s">
        <v>852</v>
      </c>
      <c r="AS4" s="639" t="s">
        <v>1224</v>
      </c>
      <c r="AT4" s="639" t="s">
        <v>1224</v>
      </c>
      <c r="AU4" s="639" t="s">
        <v>852</v>
      </c>
      <c r="AV4" s="639" t="s">
        <v>1224</v>
      </c>
      <c r="AW4" s="639" t="s">
        <v>1224</v>
      </c>
      <c r="AX4" s="639" t="s">
        <v>852</v>
      </c>
      <c r="AY4" s="639" t="s">
        <v>1224</v>
      </c>
      <c r="AZ4" s="639" t="s">
        <v>1224</v>
      </c>
      <c r="BA4" s="639" t="s">
        <v>852</v>
      </c>
      <c r="BB4" s="639" t="s">
        <v>1224</v>
      </c>
      <c r="BC4" s="639" t="s">
        <v>1224</v>
      </c>
      <c r="BD4" s="639" t="s">
        <v>852</v>
      </c>
      <c r="BE4" s="639" t="s">
        <v>1224</v>
      </c>
      <c r="BF4" s="639" t="s">
        <v>1224</v>
      </c>
      <c r="BG4" s="639" t="s">
        <v>852</v>
      </c>
      <c r="BH4" s="639" t="s">
        <v>1224</v>
      </c>
      <c r="BI4" s="639" t="s">
        <v>1224</v>
      </c>
      <c r="BJ4" s="639" t="s">
        <v>852</v>
      </c>
      <c r="BK4" s="639" t="s">
        <v>1224</v>
      </c>
      <c r="BL4" s="639" t="s">
        <v>1224</v>
      </c>
      <c r="BM4" s="639" t="s">
        <v>852</v>
      </c>
      <c r="BN4" s="639" t="s">
        <v>1224</v>
      </c>
      <c r="BO4" s="639" t="s">
        <v>1224</v>
      </c>
      <c r="BP4" s="639" t="s">
        <v>852</v>
      </c>
      <c r="BQ4" s="639" t="s">
        <v>1224</v>
      </c>
      <c r="BR4" s="639" t="s">
        <v>1224</v>
      </c>
      <c r="BS4" s="639" t="s">
        <v>852</v>
      </c>
      <c r="BT4" s="224"/>
      <c r="BU4" s="224"/>
      <c r="BV4" s="224"/>
      <c r="BW4" s="224"/>
      <c r="BX4" s="224"/>
      <c r="BY4" s="224"/>
      <c r="BZ4" s="224"/>
      <c r="CA4" s="224"/>
      <c r="CB4" s="224"/>
      <c r="CC4" s="224"/>
      <c r="CD4" s="224"/>
      <c r="CE4" s="224"/>
      <c r="CF4" s="224"/>
      <c r="CG4" s="224"/>
      <c r="CH4" s="224"/>
      <c r="CI4" s="224"/>
      <c r="CJ4" s="224"/>
      <c r="CK4" s="224"/>
      <c r="CL4" s="224"/>
      <c r="CM4" s="224"/>
      <c r="CN4" s="224"/>
      <c r="CO4" s="224"/>
      <c r="CP4" s="224"/>
      <c r="CQ4" s="224"/>
      <c r="CR4" s="224"/>
      <c r="CS4" s="224"/>
      <c r="CT4" s="224"/>
      <c r="CU4" s="224"/>
      <c r="CV4" s="224"/>
      <c r="CW4" s="224"/>
      <c r="CX4" s="224"/>
      <c r="CY4" s="224"/>
      <c r="CZ4" s="224"/>
      <c r="DA4" s="224"/>
      <c r="DB4" s="224"/>
      <c r="DC4" s="224"/>
      <c r="DD4" s="224"/>
      <c r="DE4" s="224"/>
      <c r="DF4" s="224"/>
      <c r="DG4" s="224"/>
      <c r="DH4" s="224"/>
      <c r="DI4" s="224"/>
      <c r="DJ4" s="224"/>
      <c r="DK4" s="224"/>
      <c r="DL4" s="224"/>
      <c r="DM4" s="224"/>
      <c r="DN4" s="224"/>
      <c r="DO4" s="224"/>
      <c r="DP4" s="224"/>
      <c r="DQ4" s="224"/>
      <c r="DR4" s="224"/>
      <c r="DS4" s="224"/>
      <c r="DT4" s="224"/>
      <c r="DU4" s="224"/>
      <c r="DV4" s="224"/>
      <c r="DW4" s="224"/>
      <c r="EB4" s="755" t="s">
        <v>865</v>
      </c>
      <c r="EC4" s="756"/>
      <c r="ED4" s="550" t="str">
        <f>'ECM Data'!B6</f>
        <v>Internal Lighting</v>
      </c>
      <c r="EE4" s="550" t="str">
        <f>'ECM Data'!C6</f>
        <v>External Lighting</v>
      </c>
      <c r="EF4" s="550" t="str">
        <f>'ECM Data'!D6</f>
        <v>Space Heating</v>
      </c>
      <c r="EG4" s="550" t="str">
        <f>'ECM Data'!E6</f>
        <v>Space Cooling</v>
      </c>
      <c r="EH4" s="550" t="str">
        <f>'ECM Data'!F6</f>
        <v>Pumps</v>
      </c>
      <c r="EI4" s="550" t="str">
        <f>'ECM Data'!G6</f>
        <v>Fans Process</v>
      </c>
      <c r="EJ4" s="550" t="str">
        <f>'ECM Data'!H6</f>
        <v>Fans Interior</v>
      </c>
      <c r="EK4" s="550" t="str">
        <f>'ECM Data'!I6</f>
        <v>Fans Parking Garage</v>
      </c>
      <c r="EL4" s="550" t="str">
        <f>'ECM Data'!J6</f>
        <v>Service Water Heating</v>
      </c>
      <c r="EM4" s="550" t="str">
        <f>'ECM Data'!K6</f>
        <v>Receptacle Equipment</v>
      </c>
      <c r="EN4" s="550" t="str">
        <f>'ECM Data'!L6</f>
        <v>Interior Lighting Process</v>
      </c>
      <c r="EO4" s="550" t="str">
        <f>'ECM Data'!M6</f>
        <v>Refrigeration</v>
      </c>
      <c r="EP4" s="550" t="str">
        <f>'ECM Data'!N6</f>
        <v>Data Centre Equipment</v>
      </c>
      <c r="EQ4" s="550" t="str">
        <f>'ECM Data'!O6</f>
        <v>Cooking</v>
      </c>
      <c r="ER4" s="550" t="str">
        <f>'ECM Data'!P6</f>
        <v>Elevators/ Escalators</v>
      </c>
      <c r="ES4" s="550" t="str">
        <f>'ECM Data'!Q6</f>
        <v>Heat Rejection</v>
      </c>
      <c r="ET4" s="550" t="str">
        <f>'ECM Data'!R6</f>
        <v>Combined Heat and Power</v>
      </c>
      <c r="EU4" s="550" t="str">
        <f>'ECM Data'!S6</f>
        <v>Humidification</v>
      </c>
      <c r="EV4" s="558" t="str">
        <f>'ECM Data'!T6</f>
        <v>Other Processes</v>
      </c>
      <c r="EW4" s="552" t="s">
        <v>206</v>
      </c>
    </row>
    <row r="5" spans="1:153" ht="45" x14ac:dyDescent="0.25">
      <c r="A5" s="496" t="s">
        <v>867</v>
      </c>
      <c r="B5" s="496" t="s">
        <v>868</v>
      </c>
      <c r="C5" s="497" t="s">
        <v>869</v>
      </c>
      <c r="D5" s="497" t="s">
        <v>870</v>
      </c>
      <c r="E5" s="497" t="s">
        <v>871</v>
      </c>
      <c r="F5" s="497" t="s">
        <v>872</v>
      </c>
      <c r="G5" s="497" t="s">
        <v>873</v>
      </c>
      <c r="H5" s="497" t="s">
        <v>874</v>
      </c>
      <c r="I5" s="497" t="s">
        <v>206</v>
      </c>
      <c r="J5" s="497" t="s">
        <v>875</v>
      </c>
      <c r="K5" s="497" t="s">
        <v>876</v>
      </c>
      <c r="M5" s="19" t="s">
        <v>867</v>
      </c>
      <c r="N5" s="3" t="s">
        <v>868</v>
      </c>
      <c r="O5" s="27" t="s">
        <v>2104</v>
      </c>
      <c r="P5" s="27" t="s">
        <v>2105</v>
      </c>
      <c r="Q5" s="27" t="s">
        <v>2106</v>
      </c>
      <c r="R5" s="27" t="s">
        <v>2107</v>
      </c>
      <c r="S5" s="27" t="s">
        <v>2108</v>
      </c>
      <c r="T5" s="27" t="s">
        <v>2109</v>
      </c>
      <c r="U5" s="27" t="s">
        <v>2110</v>
      </c>
      <c r="V5" s="661" t="s">
        <v>2111</v>
      </c>
      <c r="W5" s="661" t="s">
        <v>2112</v>
      </c>
      <c r="X5" s="27" t="s">
        <v>2113</v>
      </c>
      <c r="Y5" s="27" t="s">
        <v>2114</v>
      </c>
      <c r="Z5" s="27" t="s">
        <v>2115</v>
      </c>
      <c r="AA5" s="27" t="s">
        <v>2116</v>
      </c>
      <c r="AB5" s="27" t="s">
        <v>2117</v>
      </c>
      <c r="AC5" s="27" t="s">
        <v>2118</v>
      </c>
      <c r="AD5" s="27" t="s">
        <v>2119</v>
      </c>
      <c r="AE5" s="27" t="s">
        <v>2120</v>
      </c>
      <c r="AF5" s="27" t="s">
        <v>2121</v>
      </c>
      <c r="AG5" s="27" t="s">
        <v>2122</v>
      </c>
      <c r="AH5" s="27" t="s">
        <v>2123</v>
      </c>
      <c r="AI5" s="27" t="s">
        <v>2124</v>
      </c>
      <c r="AJ5" s="27" t="s">
        <v>2125</v>
      </c>
      <c r="AK5" s="27" t="s">
        <v>2126</v>
      </c>
      <c r="AL5" s="27" t="s">
        <v>2127</v>
      </c>
      <c r="AM5" s="27" t="s">
        <v>2128</v>
      </c>
      <c r="AN5" s="27" t="s">
        <v>2129</v>
      </c>
      <c r="AO5" s="27" t="s">
        <v>2130</v>
      </c>
      <c r="AP5" s="27" t="s">
        <v>2131</v>
      </c>
      <c r="AQ5" s="27" t="s">
        <v>2132</v>
      </c>
      <c r="AR5" s="27" t="s">
        <v>2133</v>
      </c>
      <c r="AS5" s="27" t="s">
        <v>2134</v>
      </c>
      <c r="AT5" s="27" t="s">
        <v>2135</v>
      </c>
      <c r="AU5" s="27" t="s">
        <v>2136</v>
      </c>
      <c r="AV5" s="27" t="s">
        <v>2137</v>
      </c>
      <c r="AW5" s="27" t="s">
        <v>2138</v>
      </c>
      <c r="AX5" s="27" t="s">
        <v>2139</v>
      </c>
      <c r="AY5" s="27" t="s">
        <v>2140</v>
      </c>
      <c r="AZ5" s="27" t="s">
        <v>2141</v>
      </c>
      <c r="BA5" s="27" t="s">
        <v>2142</v>
      </c>
      <c r="BB5" s="27" t="s">
        <v>2143</v>
      </c>
      <c r="BC5" s="27" t="s">
        <v>2144</v>
      </c>
      <c r="BD5" s="224" t="s">
        <v>2145</v>
      </c>
      <c r="BE5" s="224" t="s">
        <v>2146</v>
      </c>
      <c r="BF5" s="224" t="s">
        <v>2147</v>
      </c>
      <c r="BG5" s="224" t="s">
        <v>2148</v>
      </c>
      <c r="BH5" s="224" t="s">
        <v>2149</v>
      </c>
      <c r="BI5" s="224" t="s">
        <v>2150</v>
      </c>
      <c r="BJ5" s="224" t="s">
        <v>2151</v>
      </c>
      <c r="BK5" s="224" t="s">
        <v>2152</v>
      </c>
      <c r="BL5" s="224" t="s">
        <v>2153</v>
      </c>
      <c r="BM5" s="224" t="s">
        <v>2154</v>
      </c>
      <c r="BN5" s="224" t="s">
        <v>2155</v>
      </c>
      <c r="BO5" s="224" t="s">
        <v>2156</v>
      </c>
      <c r="BP5" s="224" t="s">
        <v>2157</v>
      </c>
      <c r="BQ5" s="224" t="s">
        <v>2158</v>
      </c>
      <c r="BR5" s="224" t="s">
        <v>2159</v>
      </c>
      <c r="BS5" s="224" t="s">
        <v>2160</v>
      </c>
      <c r="BT5" s="224"/>
      <c r="BU5" s="224"/>
      <c r="BV5" s="224"/>
      <c r="BW5" s="224"/>
      <c r="BX5" s="224"/>
      <c r="BY5" s="224"/>
      <c r="BZ5" s="224"/>
      <c r="CA5" s="224"/>
      <c r="CB5" s="224"/>
      <c r="CC5" s="224"/>
      <c r="CD5" s="224"/>
      <c r="CE5" s="224"/>
      <c r="CF5" s="224"/>
      <c r="CG5" s="224"/>
      <c r="CH5" s="224"/>
      <c r="CI5" s="224"/>
      <c r="CJ5" s="224"/>
      <c r="CK5" s="224"/>
      <c r="CL5" s="224"/>
      <c r="CM5" s="224"/>
      <c r="CN5" s="224"/>
      <c r="CO5" s="224"/>
      <c r="CP5" s="224"/>
      <c r="CQ5" s="224"/>
      <c r="CR5" s="224"/>
      <c r="CS5" s="224"/>
      <c r="CT5" s="224"/>
      <c r="CU5" s="224"/>
      <c r="CV5" s="224"/>
      <c r="CW5" s="224"/>
      <c r="CX5" s="224"/>
      <c r="CY5" s="224"/>
      <c r="CZ5" s="224"/>
      <c r="DA5" s="224"/>
      <c r="DB5" s="224"/>
      <c r="DC5" s="224"/>
      <c r="DD5" s="224"/>
      <c r="DE5" s="224"/>
      <c r="DF5" s="224"/>
      <c r="DG5" s="224"/>
      <c r="DH5" s="224"/>
      <c r="DI5" s="224"/>
      <c r="DJ5" s="224"/>
      <c r="DK5" s="224"/>
      <c r="DL5" s="224"/>
      <c r="DM5" s="224"/>
      <c r="DN5" s="224"/>
      <c r="DO5" s="224"/>
      <c r="DP5" s="224"/>
      <c r="DQ5" s="224"/>
      <c r="DR5" s="224"/>
      <c r="DS5" s="224"/>
      <c r="DT5" s="224"/>
      <c r="DU5" s="224"/>
      <c r="DV5" s="224"/>
      <c r="DW5" s="224"/>
      <c r="EB5" s="551" t="s">
        <v>867</v>
      </c>
      <c r="EC5" s="496" t="s">
        <v>868</v>
      </c>
      <c r="ED5" s="497" t="e">
        <f>'ECM Data'!#REF!</f>
        <v>#REF!</v>
      </c>
      <c r="EE5" s="497" t="e">
        <f>'ECM Data'!#REF!</f>
        <v>#REF!</v>
      </c>
      <c r="EF5" s="497" t="e">
        <f>'ECM Data'!#REF!</f>
        <v>#REF!</v>
      </c>
      <c r="EG5" s="497" t="e">
        <f>'ECM Data'!#REF!</f>
        <v>#REF!</v>
      </c>
      <c r="EH5" s="497" t="e">
        <f>'ECM Data'!#REF!</f>
        <v>#REF!</v>
      </c>
      <c r="EI5" s="497" t="e">
        <f>'ECM Data'!#REF!</f>
        <v>#REF!</v>
      </c>
      <c r="EJ5" s="497" t="e">
        <f>'ECM Data'!#REF!</f>
        <v>#REF!</v>
      </c>
      <c r="EK5" s="497" t="e">
        <f>'ECM Data'!#REF!</f>
        <v>#REF!</v>
      </c>
      <c r="EL5" s="497" t="e">
        <f>'ECM Data'!#REF!</f>
        <v>#REF!</v>
      </c>
      <c r="EM5" s="497" t="e">
        <f>'ECM Data'!#REF!</f>
        <v>#REF!</v>
      </c>
      <c r="EN5" s="497" t="e">
        <f>'ECM Data'!#REF!</f>
        <v>#REF!</v>
      </c>
      <c r="EO5" s="497" t="e">
        <f>'ECM Data'!#REF!</f>
        <v>#REF!</v>
      </c>
      <c r="EP5" s="497" t="e">
        <f>'ECM Data'!#REF!</f>
        <v>#REF!</v>
      </c>
      <c r="EQ5" s="497" t="e">
        <f>'ECM Data'!#REF!</f>
        <v>#REF!</v>
      </c>
      <c r="ER5" s="497" t="e">
        <f>'ECM Data'!#REF!</f>
        <v>#REF!</v>
      </c>
      <c r="ES5" s="497" t="e">
        <f>'ECM Data'!#REF!</f>
        <v>#REF!</v>
      </c>
      <c r="ET5" s="497" t="e">
        <f>'ECM Data'!#REF!</f>
        <v>#REF!</v>
      </c>
      <c r="EU5" s="497" t="e">
        <f>'ECM Data'!#REF!</f>
        <v>#REF!</v>
      </c>
      <c r="EV5" s="559" t="e">
        <f>'ECM Data'!#REF!</f>
        <v>#REF!</v>
      </c>
      <c r="EW5" s="498"/>
    </row>
    <row r="6" spans="1:153" x14ac:dyDescent="0.25">
      <c r="A6" s="19" t="s">
        <v>749</v>
      </c>
      <c r="B6" s="590">
        <f ca="1">OFFSET('ECM Data'!$A$1,MATCH('ECM Reports'!$A6,'ECM Data'!$A:$A,0)-1,1)</f>
        <v>0</v>
      </c>
      <c r="C6" s="20">
        <f ca="1">OFFSET('ECM Data'!$A$1,MATCH('ECM Reports'!$A6,'ECM Data'!$A:$A,0)+6,1)</f>
        <v>0</v>
      </c>
      <c r="D6" s="20">
        <f ca="1">OFFSET('ECM Data'!$A$1,MATCH('ECM Reports'!$A6,'ECM Data'!$A:$A,0)+7,1)</f>
        <v>0</v>
      </c>
      <c r="E6" s="20">
        <f ca="1">OFFSET('ECM Data'!$A$1,MATCH('ECM Reports'!$A6,'ECM Data'!$A:$A,0)+8,1)</f>
        <v>0</v>
      </c>
      <c r="F6" s="506" t="str">
        <f ca="1">IFERROR(ECMData_Summary[[#This Row],[Column5]]/SUM(MasterRoomList_SpaceTypeTable[Area (sf)]),"")</f>
        <v/>
      </c>
      <c r="G6" s="663">
        <f ca="1">OFFSET('ECM Data'!$A$1,MATCH('ECM Reports'!$A6,'ECM Data'!$A:$A,0)+6,3)</f>
        <v>0</v>
      </c>
      <c r="H6" s="663">
        <f ca="1">OFFSET('ECM Data'!$A$1,MATCH('ECM Reports'!$A6,'ECM Data'!$A:$A,0)+7,3)</f>
        <v>0</v>
      </c>
      <c r="I6" s="663">
        <f ca="1">OFFSET('ECM Data'!$A$1,MATCH('ECM Reports'!$A6,'ECM Data'!$A:$A,0)+8,3)</f>
        <v>0</v>
      </c>
      <c r="J6" s="505">
        <v>0</v>
      </c>
      <c r="K6" s="505">
        <v>0</v>
      </c>
      <c r="M6" s="19" t="str">
        <f>ECMData_Summary[[#This Row],[Column1]]</f>
        <v>Baseline</v>
      </c>
      <c r="N6" s="590">
        <f ca="1">ECMData_Summary[[#This Row],[Column2]]</f>
        <v>0</v>
      </c>
      <c r="O6" s="634">
        <f>INDEX(ECMData_Baseline[#All],MATCH("Electrical Energy Use [kBTU]",ECMData_Baseline[[#All],[Energy]],0),MATCH("Internal Lighting",ECMData_Baseline[#Headers],0))</f>
        <v>0</v>
      </c>
      <c r="P6" s="634">
        <f>INDEX(ECMData_Baseline[#All],MATCH("Natural Gas Energy Use [kBTU]",ECMData_Baseline[[#All],[Energy]],0),MATCH("Internal Lighting",ECMData_Baseline[#Headers],0))</f>
        <v>0</v>
      </c>
      <c r="Q6" s="634">
        <f>SUM(ECMData_EndUse[[#This Row],[Internal Lighitng - Elec]:[Internal Lighting - Gas]])</f>
        <v>0</v>
      </c>
      <c r="R6" s="634">
        <f>INDEX(ECMData_Baseline[#All],MATCH("Electrical Energy Use [kBTU]",ECMData_Baseline[[#All],[Energy]],0),MATCH("External Lighting",ECMData_Baseline[#Headers],0))</f>
        <v>0</v>
      </c>
      <c r="S6" s="634">
        <f>INDEX(ECMData_Baseline[#All],MATCH("Natural Gas Energy Use [kBTU]",ECMData_Baseline[[#All],[Energy]],0),MATCH("External Lighting",ECMData_Baseline[#Headers],0))</f>
        <v>0</v>
      </c>
      <c r="T6" s="634">
        <f>SUM(ECMData_EndUse[[#This Row],[External Lighting - Elec]:[External Lighting - Gas]])</f>
        <v>0</v>
      </c>
      <c r="U6" s="634">
        <f>INDEX(ECMData_Baseline[#All],MATCH("Electrical Energy Use [kBTU]",ECMData_Baseline[[#All],[Energy]],0),MATCH("Space Heating",ECMData_Baseline[#Headers],0))</f>
        <v>0</v>
      </c>
      <c r="V6" s="634">
        <f>INDEX(ECMData_Baseline[#All],MATCH("Natural Gas Energy Use [kBTU]",ECMData_Baseline[[#All],[Energy]],0),MATCH("Space Heating",ECMData_Baseline[#Headers],0))</f>
        <v>0</v>
      </c>
      <c r="W6" s="634">
        <f>SUM(ECMData_EndUse[[#This Row],[Space Heating - Elec]:[Space Heating - Gas]])</f>
        <v>0</v>
      </c>
      <c r="X6" s="634">
        <f>INDEX(ECMData_Baseline[#All],MATCH("Electrical Energy Use [kBTU]",ECMData_Baseline[[#All],[Energy]],0),MATCH("Space Cooling",ECMData_Baseline[#Headers],0))</f>
        <v>0</v>
      </c>
      <c r="Y6" s="634">
        <f>INDEX(ECMData_Baseline[#All],MATCH("Natural Gas Energy Use [kBTU]",ECMData_Baseline[[#All],[Energy]],0),MATCH("Space Cooling",ECMData_Baseline[#Headers],0))</f>
        <v>0</v>
      </c>
      <c r="Z6" s="634">
        <f>SUM(ECMData_EndUse[[#This Row],[Space Cooling - Elec]:[Space Cooling - Gas]])</f>
        <v>0</v>
      </c>
      <c r="AA6" s="634">
        <f>INDEX(ECMData_Baseline[#All],MATCH("Electrical Energy Use [kBTU]",ECMData_Baseline[[#All],[Energy]],0),MATCH("Pumps",ECMData_Baseline[#Headers],0))</f>
        <v>0</v>
      </c>
      <c r="AB6" s="634">
        <f>INDEX(ECMData_Baseline[#All],MATCH("Natural Gas Energy Use [kBTU]",ECMData_Baseline[[#All],[Energy]],0),MATCH("Pumps",ECMData_Baseline[#Headers],0))</f>
        <v>0</v>
      </c>
      <c r="AC6" s="634">
        <f>SUM(ECMData_EndUse[[#This Row],[Pumps - Elec]:[Pumps - Gas]])</f>
        <v>0</v>
      </c>
      <c r="AD6" s="634">
        <f>INDEX(ECMData_Baseline[#All],MATCH("Electrical Energy Use [kBTU]",ECMData_Baseline[[#All],[Energy]],0),MATCH("Fans Process",ECMData_Baseline[#Headers],0))</f>
        <v>0</v>
      </c>
      <c r="AE6" s="634">
        <f>INDEX(ECMData_Baseline[#All],MATCH("Natural Gas Energy Use [kBTU]",ECMData_Baseline[[#All],[Energy]],0),MATCH("Fans Process",ECMData_Baseline[#Headers],0))</f>
        <v>0</v>
      </c>
      <c r="AF6" s="634">
        <f>SUM(ECMData_EndUse[[#This Row],[Fans Process - Elec]:[Fans Process - Gas]])</f>
        <v>0</v>
      </c>
      <c r="AG6" s="634">
        <f>INDEX(ECMData_Baseline[#All],MATCH("Electrical Energy Use [kBTU]",ECMData_Baseline[[#All],[Energy]],0),MATCH("Fans Interior",ECMData_Baseline[#Headers],0))</f>
        <v>0</v>
      </c>
      <c r="AH6" s="634">
        <f>INDEX(ECMData_Baseline[#All],MATCH("Natural Gas Energy Use [kBTU]",ECMData_Baseline[[#All],[Energy]],0),MATCH("Fans Interior",ECMData_Baseline[#Headers],0))</f>
        <v>0</v>
      </c>
      <c r="AI6" s="634">
        <f>SUM(ECMData_EndUse[[#This Row],[Fans Interior - Elec]:[Fans Interior - Gas]])</f>
        <v>0</v>
      </c>
      <c r="AJ6" s="634">
        <f>INDEX(ECMData_Baseline[#All],MATCH("Electrical Energy Use [kBTU]",ECMData_Baseline[[#All],[Energy]],0),MATCH("Fans Parking Garage",ECMData_Baseline[#Headers],0))</f>
        <v>0</v>
      </c>
      <c r="AK6" s="634">
        <f>INDEX(ECMData_Baseline[#All],MATCH("Natural Gas Energy Use [kBTU]",ECMData_Baseline[[#All],[Energy]],0),MATCH("Fans Parking Garage",ECMData_Baseline[#Headers],0))</f>
        <v>0</v>
      </c>
      <c r="AL6" s="634">
        <f>SUM(ECMData_EndUse[[#This Row],[Fans Parking Garage - Elec]:[Fans Parking Garage - Gas]])</f>
        <v>0</v>
      </c>
      <c r="AM6" s="634">
        <f>INDEX(ECMData_Baseline[#All],MATCH("Electrical Energy Use [kBTU]",ECMData_Baseline[[#All],[Energy]],0),MATCH("Service Water Heating",ECMData_Baseline[#Headers],0))</f>
        <v>0</v>
      </c>
      <c r="AN6" s="634">
        <f>INDEX(ECMData_Baseline[#All],MATCH("Natural Gas Energy Use [kBTU]",ECMData_Baseline[[#All],[Energy]],0),MATCH("Service Water Heating",ECMData_Baseline[#Headers],0))</f>
        <v>0</v>
      </c>
      <c r="AO6" s="634">
        <f>SUM(ECMData_EndUse[[#This Row],[Service Water Heating - Elec]:[Service Water Heating - Gas]])</f>
        <v>0</v>
      </c>
      <c r="AP6" s="634">
        <f>INDEX(ECMData_Baseline[#All],MATCH("Electrical Energy Use [kBTU]",ECMData_Baseline[[#All],[Energy]],0),MATCH("Receptacle Equipment",ECMData_Baseline[#Headers],0))</f>
        <v>0</v>
      </c>
      <c r="AQ6" s="634">
        <f>INDEX(ECMData_Baseline[#All],MATCH("Natural Gas Energy Use [kBTU]",ECMData_Baseline[[#All],[Energy]],0),MATCH("Receptacle Equipment",ECMData_Baseline[#Headers],0))</f>
        <v>0</v>
      </c>
      <c r="AR6" s="634">
        <f>SUM(ECMData_EndUse[[#This Row],[Receptacle Equipment - Elec]:[Receptacle Equipment - Gas]])</f>
        <v>0</v>
      </c>
      <c r="AS6" s="634">
        <f>INDEX(ECMData_Baseline[#All],MATCH("Electrical Energy Use [kBTU]",ECMData_Baseline[[#All],[Energy]],0),MATCH("Interior Lighting Process",ECMData_Baseline[#Headers],0))</f>
        <v>0</v>
      </c>
      <c r="AT6" s="634">
        <f>INDEX(ECMData_Baseline[#All],MATCH("Natural Gas Energy Use [kBTU]",ECMData_Baseline[[#All],[Energy]],0),MATCH("Interior Lighting Process",ECMData_Baseline[#Headers],0))</f>
        <v>0</v>
      </c>
      <c r="AU6" s="634">
        <f>SUM(ECMData_EndUse[[#This Row],[Interior Lighting Process - Elec]:[Interior Lighting Process - Gas]])</f>
        <v>0</v>
      </c>
      <c r="AV6" s="634">
        <f>INDEX(ECMData_Baseline[#All],MATCH("Electrical Energy Use [kBTU]",ECMData_Baseline[[#All],[Energy]],0),MATCH("Refrigeration",ECMData_Baseline[#Headers],0))</f>
        <v>0</v>
      </c>
      <c r="AW6" s="634">
        <f>INDEX(ECMData_Baseline[#All],MATCH("Natural Gas Energy Use [kBTU]",ECMData_Baseline[[#All],[Energy]],0),MATCH("Refrigeration",ECMData_Baseline[#Headers],0))</f>
        <v>0</v>
      </c>
      <c r="AX6" s="634">
        <f>SUM(ECMData_EndUse[[#This Row],[Refrigeration - Elec]:[Refrigeration - Gas]])</f>
        <v>0</v>
      </c>
      <c r="AY6" s="634">
        <f>INDEX(ECMData_Baseline[#All],MATCH("Electrical Energy Use [kBTU]",ECMData_Baseline[[#All],[Energy]],0),MATCH("Data Centre Equipment",ECMData_Baseline[#Headers],0))</f>
        <v>0</v>
      </c>
      <c r="AZ6" s="634">
        <f>INDEX(ECMData_Baseline[#All],MATCH("Natural Gas Energy Use [kBTU]",ECMData_Baseline[[#All],[Energy]],0),MATCH("Data Centre Equipment",ECMData_Baseline[#Headers],0))</f>
        <v>0</v>
      </c>
      <c r="BA6" s="634">
        <f>SUM(ECMData_EndUse[[#This Row],[Data Centre Equipment - Elec]:[Data Centre Equipment - Gas]])</f>
        <v>0</v>
      </c>
      <c r="BB6" s="634">
        <f>INDEX(ECMData_Baseline[#All],MATCH("Electrical Energy Use [kBTU]",ECMData_Baseline[[#All],[Energy]],0),MATCH("Cooking",ECMData_Baseline[#Headers],0))</f>
        <v>0</v>
      </c>
      <c r="BC6" s="634">
        <f>INDEX(ECMData_Baseline[#All],MATCH("Natural Gas Energy Use [kBTU]",ECMData_Baseline[[#All],[Energy]],0),MATCH("Cooking",ECMData_Baseline[#Headers],0))</f>
        <v>0</v>
      </c>
      <c r="BD6" s="634">
        <f>SUM(ECMData_EndUse[[#This Row],[Cooking - Elec]:[Cooking - Gas]])</f>
        <v>0</v>
      </c>
      <c r="BE6" s="634">
        <f>INDEX(ECMData_Baseline[#All],MATCH("Electrical Energy Use [kBTU]",ECMData_Baseline[[#All],[Energy]],0),MATCH("Elevators/ Escalators",ECMData_Baseline[#Headers],0))</f>
        <v>0</v>
      </c>
      <c r="BF6" s="634">
        <f>INDEX(ECMData_Baseline[#All],MATCH("Natural Gas Energy Use [kBTU]",ECMData_Baseline[[#All],[Energy]],0),MATCH("Elevators/ Escalators",ECMData_Baseline[#Headers],0))</f>
        <v>0</v>
      </c>
      <c r="BG6" s="634">
        <f>SUM(ECMData_EndUse[[#This Row],[Elevators/ Escalators - Elec]:[Elevators/ Escalators - Gas]])</f>
        <v>0</v>
      </c>
      <c r="BH6" s="634">
        <f>INDEX(ECMData_Baseline[#All],MATCH("Electrical Energy Use [kBTU]",ECMData_Baseline[[#All],[Energy]],0),MATCH("Heat Rejection",ECMData_Baseline[#Headers],0))</f>
        <v>0</v>
      </c>
      <c r="BI6" s="634">
        <f>INDEX(ECMData_Baseline[#All],MATCH("Natural Gas Energy Use [kBTU]",ECMData_Baseline[[#All],[Energy]],0),MATCH("Heat Rejection",ECMData_Baseline[#Headers],0))</f>
        <v>0</v>
      </c>
      <c r="BJ6" s="634">
        <f>SUM(ECMData_EndUse[[#This Row],[Heat Rejection - Elec]:[Heat Rejection - Gas]])</f>
        <v>0</v>
      </c>
      <c r="BK6" s="634">
        <f>INDEX(ECMData_Baseline[#All],MATCH("Electrical Energy Use [kBTU]",ECMData_Baseline[[#All],[Energy]],0),MATCH("Combined Heat and Power",ECMData_Baseline[#Headers],0))</f>
        <v>0</v>
      </c>
      <c r="BL6" s="634">
        <f>INDEX(ECMData_Baseline[#All],MATCH("Natural Gas Energy Use [kBTU]",ECMData_Baseline[[#All],[Energy]],0),MATCH("Combined Heat and Power",ECMData_Baseline[#Headers],0))</f>
        <v>0</v>
      </c>
      <c r="BM6" s="634">
        <f>SUM(ECMData_EndUse[[#This Row],[Combined Heat and Power - Elec]:[Combined Heat and Power - Gas]])</f>
        <v>0</v>
      </c>
      <c r="BN6" s="634">
        <f>INDEX(ECMData_Baseline[#All],MATCH("Electrical Energy Use [kBTU]",ECMData_Baseline[[#All],[Energy]],0),MATCH("Humidification",ECMData_Baseline[#Headers],0))</f>
        <v>0</v>
      </c>
      <c r="BO6" s="634">
        <f>INDEX(ECMData_Baseline[#All],MATCH("Natural Gas Energy Use [kBTU]",ECMData_Baseline[[#All],[Energy]],0),MATCH("Humidification",ECMData_Baseline[#Headers],0))</f>
        <v>0</v>
      </c>
      <c r="BP6" s="634">
        <f>SUM(ECMData_EndUse[[#This Row],[Humidification - Elec]:[Humidification - Gas]])</f>
        <v>0</v>
      </c>
      <c r="BQ6" s="634">
        <f>INDEX(ECMData_Baseline[#All],MATCH("Electrical Energy Use [kBTU]",ECMData_Baseline[[#All],[Energy]],0),MATCH("Other Processes",ECMData_Baseline[#Headers],0))</f>
        <v>0</v>
      </c>
      <c r="BR6" s="634">
        <f>INDEX(ECMData_Baseline[#All],MATCH("Natural Gas Energy Use [kBTU]",ECMData_Baseline[[#All],[Energy]],0),MATCH("Other Processes",ECMData_Baseline[#Headers],0))</f>
        <v>0</v>
      </c>
      <c r="BS6" s="634">
        <f>SUM(ECMData_EndUse[[#This Row],[Other Processes - Elec]:[Other Processes - Gas]])</f>
        <v>0</v>
      </c>
      <c r="BT6" s="660"/>
      <c r="BU6" s="660"/>
      <c r="BV6" s="660"/>
      <c r="BW6" s="660"/>
      <c r="BX6" s="660"/>
      <c r="BY6" s="660"/>
      <c r="BZ6" s="660"/>
      <c r="CA6" s="660"/>
      <c r="CB6" s="660"/>
      <c r="CC6" s="660"/>
      <c r="CD6" s="660"/>
      <c r="CE6" s="660"/>
      <c r="CF6" s="660"/>
      <c r="CG6" s="660"/>
      <c r="CH6" s="660"/>
      <c r="CI6" s="660"/>
      <c r="CJ6" s="660"/>
      <c r="CK6" s="660"/>
      <c r="CL6" s="660"/>
      <c r="CM6" s="660"/>
      <c r="CN6" s="660"/>
      <c r="CO6" s="660"/>
      <c r="CP6" s="660"/>
      <c r="CQ6" s="660"/>
      <c r="CR6" s="660"/>
      <c r="CS6" s="660"/>
      <c r="CT6" s="660"/>
      <c r="CU6" s="660"/>
      <c r="CV6" s="660"/>
      <c r="CW6" s="660"/>
      <c r="CX6" s="660"/>
      <c r="CY6" s="660"/>
      <c r="CZ6" s="660"/>
      <c r="DA6" s="660"/>
      <c r="DB6" s="660"/>
      <c r="DC6" s="660"/>
      <c r="DD6" s="660"/>
      <c r="DE6" s="660"/>
      <c r="DF6" s="660"/>
      <c r="DG6" s="660"/>
      <c r="DH6" s="660"/>
      <c r="DI6" s="660"/>
      <c r="DJ6" s="660"/>
      <c r="DK6" s="660"/>
      <c r="DL6" s="660"/>
      <c r="DM6" s="660"/>
      <c r="DN6" s="660"/>
      <c r="DO6" s="660"/>
      <c r="DP6" s="660"/>
      <c r="DQ6" s="660"/>
      <c r="DR6" s="660"/>
      <c r="DS6" s="660"/>
      <c r="DT6" s="660"/>
      <c r="DU6" s="660"/>
      <c r="DV6" s="660"/>
      <c r="DW6" s="660"/>
      <c r="DY6" s="560"/>
      <c r="DZ6" s="560"/>
      <c r="EB6" s="18" t="str">
        <f>ECMData_Summary[[#This Row],[Column1]]</f>
        <v>Baseline</v>
      </c>
      <c r="EC6" s="590">
        <f ca="1">ECMData_Summary[[#This Row],[Column2]]</f>
        <v>0</v>
      </c>
      <c r="ED6" s="634" cm="1">
        <f t="array" ref="ED6">IFERROR(INDEX('ECM Data'!$A$1:$T$119,MATCH(Table202224[[#This Row],[Column1]],'ECM Data'!$A$1:$A$119,0)+4,MATCH('ECM Reports'!ED$4,'ECM Data'!$A$6:$T$6,0))*ED$2,"")</f>
        <v>0</v>
      </c>
      <c r="EE6" s="634" cm="1">
        <f t="array" ref="EE6">IFERROR(INDEX('ECM Data'!$A$1:$T$119,MATCH(Table202224[[#This Row],[Column1]],'ECM Data'!$A$1:$A$119,0)+4,MATCH('ECM Reports'!EE$4,'ECM Data'!$A$6:$T$6,0))*EE$2,"")</f>
        <v>0</v>
      </c>
      <c r="EF6" s="634" cm="1">
        <f t="array" ref="EF6">IFERROR(INDEX('ECM Data'!$A$1:$T$119,MATCH(Table202224[[#This Row],[Column1]],'ECM Data'!$A$1:$A$119,0)+4,MATCH('ECM Reports'!EF$4,'ECM Data'!$A$6:$T$6,0))*EF$2,"")</f>
        <v>0</v>
      </c>
      <c r="EG6" s="634" cm="1">
        <f t="array" ref="EG6">IFERROR(INDEX('ECM Data'!$A$1:$T$119,MATCH(Table202224[[#This Row],[Column1]],'ECM Data'!$A$1:$A$119,0)+4,MATCH('ECM Reports'!EG$4,'ECM Data'!$A$6:$T$6,0))*EG$2,"")</f>
        <v>0</v>
      </c>
      <c r="EH6" s="634" cm="1">
        <f t="array" ref="EH6">IFERROR(INDEX('ECM Data'!$A$1:$T$119,MATCH(Table202224[[#This Row],[Column1]],'ECM Data'!$A$1:$A$119,0)+4,MATCH('ECM Reports'!EH$4,'ECM Data'!$A$6:$T$6,0))*EH$2,"")</f>
        <v>0</v>
      </c>
      <c r="EI6" s="634" cm="1">
        <f t="array" ref="EI6">IFERROR(INDEX('ECM Data'!$A$1:$T$119,MATCH(Table202224[[#This Row],[Column1]],'ECM Data'!$A$1:$A$119,0)+4,MATCH('ECM Reports'!EI$4,'ECM Data'!$A$6:$T$6,0))*EI$2,"")</f>
        <v>0</v>
      </c>
      <c r="EJ6" s="634" cm="1">
        <f t="array" ref="EJ6">IFERROR(INDEX('ECM Data'!$A$1:$T$119,MATCH(Table202224[[#This Row],[Column1]],'ECM Data'!$A$1:$A$119,0)+4,MATCH('ECM Reports'!EJ$4,'ECM Data'!$A$6:$T$6,0))*EJ$2,"")</f>
        <v>0</v>
      </c>
      <c r="EK6" s="634" cm="1">
        <f t="array" ref="EK6">IFERROR(INDEX('ECM Data'!$A$1:$T$119,MATCH(Table202224[[#This Row],[Column1]],'ECM Data'!$A$1:$A$119,0)+4,MATCH('ECM Reports'!EK$4,'ECM Data'!$A$6:$T$6,0))*EK$2,"")</f>
        <v>0</v>
      </c>
      <c r="EL6" s="634" cm="1">
        <f t="array" ref="EL6">IFERROR(INDEX('ECM Data'!$A$1:$T$119,MATCH(Table202224[[#This Row],[Column1]],'ECM Data'!$A$1:$A$119,0)+4,MATCH('ECM Reports'!EL$4,'ECM Data'!$A$6:$T$6,0))*EL$2,"")</f>
        <v>0</v>
      </c>
      <c r="EM6" s="634" cm="1">
        <f t="array" ref="EM6">IFERROR(INDEX('ECM Data'!$A$1:$T$119,MATCH(Table202224[[#This Row],[Column1]],'ECM Data'!$A$1:$A$119,0)+4,MATCH('ECM Reports'!EM$4,'ECM Data'!$A$6:$T$6,0))*EM$2,"")</f>
        <v>0</v>
      </c>
      <c r="EN6" s="634" cm="1">
        <f t="array" ref="EN6">IFERROR(INDEX('ECM Data'!$A$1:$T$119,MATCH(Table202224[[#This Row],[Column1]],'ECM Data'!$A$1:$A$119,0)+4,MATCH('ECM Reports'!EN$4,'ECM Data'!$A$6:$T$6,0))*EN$2,"")</f>
        <v>0</v>
      </c>
      <c r="EO6" s="634" cm="1">
        <f t="array" ref="EO6">IFERROR(INDEX('ECM Data'!$A$1:$T$119,MATCH(Table202224[[#This Row],[Column1]],'ECM Data'!$A$1:$A$119,0)+4,MATCH('ECM Reports'!EO$4,'ECM Data'!$A$6:$T$6,0))*EO$2,"")</f>
        <v>0</v>
      </c>
      <c r="EP6" s="634" cm="1">
        <f t="array" ref="EP6">IFERROR(INDEX('ECM Data'!$A$1:$T$119,MATCH(Table202224[[#This Row],[Column1]],'ECM Data'!$A$1:$A$119,0)+4,MATCH('ECM Reports'!EP$4,'ECM Data'!$A$6:$T$6,0))*EP$2,"")</f>
        <v>0</v>
      </c>
      <c r="EQ6" s="634" cm="1">
        <f t="array" ref="EQ6">IFERROR(INDEX('ECM Data'!$A$1:$T$119,MATCH(Table202224[[#This Row],[Column1]],'ECM Data'!$A$1:$A$119,0)+4,MATCH('ECM Reports'!EQ$4,'ECM Data'!$A$6:$T$6,0))*EQ$2,"")</f>
        <v>0</v>
      </c>
      <c r="ER6" s="634" cm="1">
        <f t="array" ref="ER6">IFERROR(INDEX('ECM Data'!$A$1:$T$119,MATCH(Table202224[[#This Row],[Column1]],'ECM Data'!$A$1:$A$119,0)+4,MATCH('ECM Reports'!ER$4,'ECM Data'!$A$6:$T$6,0))*ER$2,"")</f>
        <v>0</v>
      </c>
      <c r="ES6" s="634" cm="1">
        <f t="array" ref="ES6">IFERROR(INDEX('ECM Data'!$A$1:$T$119,MATCH(Table202224[[#This Row],[Column1]],'ECM Data'!$A$1:$A$119,0)+4,MATCH('ECM Reports'!ES$4,'ECM Data'!$A$6:$T$6,0))*ES$2,"")</f>
        <v>0</v>
      </c>
      <c r="ET6" s="634" cm="1">
        <f t="array" ref="ET6">IFERROR(INDEX('ECM Data'!$A$1:$T$119,MATCH(Table202224[[#This Row],[Column1]],'ECM Data'!$A$1:$A$119,0)+4,MATCH('ECM Reports'!ET$4,'ECM Data'!$A$6:$T$6,0))*ET$2,"")</f>
        <v>0</v>
      </c>
      <c r="EU6" s="634" cm="1">
        <f t="array" ref="EU6">IFERROR(INDEX('ECM Data'!$A$1:$T$119,MATCH(Table202224[[#This Row],[Column1]],'ECM Data'!$A$1:$A$119,0)+4,MATCH('ECM Reports'!EU$4,'ECM Data'!$A$6:$T$6,0))*EU$2,"")</f>
        <v>0</v>
      </c>
      <c r="EV6" s="634" cm="1">
        <f t="array" ref="EV6">IFERROR(INDEX('ECM Data'!$A$1:$T$119,MATCH(Table202224[[#This Row],[Column1]],'ECM Data'!$A$1:$A$119,0)+4,MATCH('ECM Reports'!EV$4,'ECM Data'!$A$6:$T$6,0))*EV$2,"")</f>
        <v>0</v>
      </c>
      <c r="EW6" s="635">
        <f>SUM(Table202224[[#This Row],[Column3]:[Column22]])</f>
        <v>0</v>
      </c>
    </row>
    <row r="7" spans="1:153" x14ac:dyDescent="0.25">
      <c r="A7" s="19" t="s">
        <v>877</v>
      </c>
      <c r="B7" s="590">
        <f ca="1">OFFSET('ECM Data'!$A$1,MATCH('ECM Reports'!$A7,'ECM Data'!$A:$A,0)-1,1)</f>
        <v>0</v>
      </c>
      <c r="C7" s="20">
        <f ca="1">OFFSET('ECM Data'!$A$1,MATCH('ECM Reports'!$A7,'ECM Data'!$A:$A,0)+6,1)</f>
        <v>0</v>
      </c>
      <c r="D7" s="20">
        <f ca="1">OFFSET('ECM Data'!$A$1,MATCH('ECM Reports'!$A7,'ECM Data'!$A:$A,0)+7,1)</f>
        <v>0</v>
      </c>
      <c r="E7" s="20">
        <f ca="1">OFFSET('ECM Data'!$A$1,MATCH('ECM Reports'!$A7,'ECM Data'!$A:$A,0)+8,1)</f>
        <v>0</v>
      </c>
      <c r="F7" s="506" t="str">
        <f ca="1">IFERROR(ECMData_Summary[[#This Row],[Column5]]/SUM(MasterRoomList_SpaceTypeTable[Area (sf)]),"")</f>
        <v/>
      </c>
      <c r="G7" s="663">
        <f ca="1">OFFSET('ECM Data'!$A$1,MATCH('ECM Reports'!$A7,'ECM Data'!$A:$A,0)+6,3)</f>
        <v>0</v>
      </c>
      <c r="H7" s="663">
        <f ca="1">OFFSET('ECM Data'!$A$1,MATCH('ECM Reports'!$A7,'ECM Data'!$A:$A,0)+7,3)</f>
        <v>0</v>
      </c>
      <c r="I7" s="663">
        <f ca="1">OFFSET('ECM Data'!$A$1,MATCH('ECM Reports'!$A7,'ECM Data'!$A:$A,0)+8,3)</f>
        <v>0</v>
      </c>
      <c r="J7" s="505" t="str">
        <f ca="1">IFERROR(1-ECMData_Summary[[#This Row],[Column5]]/$E$6,"")</f>
        <v/>
      </c>
      <c r="K7" s="505" t="str">
        <f ca="1">IFERROR(1-ECMData_Summary[[#This Row],[Column8]]/$I$6,"")</f>
        <v/>
      </c>
      <c r="M7" s="19" t="str">
        <f>ECMData_Summary[[#This Row],[Column1]]</f>
        <v>ECM-1</v>
      </c>
      <c r="N7" s="590">
        <f ca="1">ECMData_Summary[[#This Row],[Column2]]</f>
        <v>0</v>
      </c>
      <c r="O7" s="634">
        <f>INDEX(ECMData_ECM1[#All],MATCH("Electrical Energy Use [kBTU]",ECMData_Baseline[[#All],[Energy]],0),MATCH("Internal Lighting",ECMData_Baseline[#Headers],0))</f>
        <v>0</v>
      </c>
      <c r="P7" s="634">
        <f>INDEX(ECMData_ECM1[#All],MATCH("Natural Gas Energy Use [kBTU]",ECMData_Baseline[[#All],[Energy]],0),MATCH("Internal Lighting",ECMData_Baseline[#Headers],0))</f>
        <v>0</v>
      </c>
      <c r="Q7" s="634">
        <f>SUM(ECMData_EndUse[[#This Row],[Internal Lighitng - Elec]:[Internal Lighting - Gas]])</f>
        <v>0</v>
      </c>
      <c r="R7" s="634">
        <f>INDEX(ECMData_ECM1[#All],MATCH("Electrical Energy Use [kBTU]",ECMData_Baseline[[#All],[Energy]],0),MATCH("Internal Lighting",ECMData_Baseline[#Headers],0))</f>
        <v>0</v>
      </c>
      <c r="S7" s="634">
        <f>INDEX(ECMData_ECM1[#All],MATCH("Natural Gas Energy Use [kBTU]",ECMData_Baseline[[#All],[Energy]],0),MATCH("Internal Lighting",ECMData_Baseline[#Headers],0))</f>
        <v>0</v>
      </c>
      <c r="T7" s="634">
        <f>SUM(ECMData_EndUse[[#This Row],[External Lighting - Elec]:[External Lighting - Gas]])</f>
        <v>0</v>
      </c>
      <c r="U7" s="634">
        <f>INDEX(ECMData_ECM1[#All],MATCH("Electrical Energy Use [kBTU]",ECMData_Baseline[[#All],[Energy]],0),MATCH("Space Heating",ECMData_Baseline[#Headers],0))</f>
        <v>0</v>
      </c>
      <c r="V7" s="634">
        <f>INDEX(ECMData_ECM1[#All],MATCH("Natural Gas Energy Use [kBTU]",ECMData_Baseline[[#All],[Energy]],0),MATCH("Space Heating",ECMData_Baseline[#Headers],0))</f>
        <v>0</v>
      </c>
      <c r="W7" s="634">
        <f>SUM(ECMData_EndUse[[#This Row],[Space Heating - Elec]:[Space Heating - Gas]])</f>
        <v>0</v>
      </c>
      <c r="X7" s="634">
        <f>INDEX(ECMData_ECM1[#All],MATCH("Electrical Energy Use [kBTU]",ECMData_Baseline[[#All],[Energy]],0),MATCH("Space Cooling",ECMData_Baseline[#Headers],0))</f>
        <v>0</v>
      </c>
      <c r="Y7" s="634">
        <f>INDEX(ECMData_ECM1[#All],MATCH("Natural Gas Energy Use [kBTU]",ECMData_Baseline[[#All],[Energy]],0),MATCH("Space Cooling",ECMData_Baseline[#Headers],0))</f>
        <v>0</v>
      </c>
      <c r="Z7" s="634">
        <f>SUM(ECMData_EndUse[[#This Row],[Space Cooling - Elec]:[Space Cooling - Gas]])</f>
        <v>0</v>
      </c>
      <c r="AA7" s="634">
        <f>INDEX(ECMData_ECM1[#All],MATCH("Electrical Energy Use [kBTU]",ECMData_Baseline[[#All],[Energy]],0),MATCH("Pumps",ECMData_Baseline[#Headers],0))</f>
        <v>0</v>
      </c>
      <c r="AB7" s="634">
        <f>INDEX(ECMData_ECM1[#All],MATCH("Natural Gas Energy Use [kBTU]",ECMData_Baseline[[#All],[Energy]],0),MATCH("Pumps",ECMData_Baseline[#Headers],0))</f>
        <v>0</v>
      </c>
      <c r="AC7" s="634">
        <f>SUM(ECMData_EndUse[[#This Row],[Pumps - Elec]:[Pumps - Gas]])</f>
        <v>0</v>
      </c>
      <c r="AD7" s="634">
        <f>INDEX(ECMData_ECM1[#All],MATCH("Electrical Energy Use [kBTU]",ECMData_Baseline[[#All],[Energy]],0),MATCH("Fans Process",ECMData_Baseline[#Headers],0))</f>
        <v>0</v>
      </c>
      <c r="AE7" s="634">
        <f>INDEX(ECMData_ECM1[#All],MATCH("Natural Gas Energy Use [kBTU]",ECMData_Baseline[[#All],[Energy]],0),MATCH("Fans Process",ECMData_Baseline[#Headers],0))</f>
        <v>0</v>
      </c>
      <c r="AF7" s="634">
        <f>SUM(ECMData_EndUse[[#This Row],[Fans Process - Elec]:[Fans Process - Gas]])</f>
        <v>0</v>
      </c>
      <c r="AG7" s="634">
        <f>INDEX(ECMData_ECM1[#All],MATCH("Electrical Energy Use [kBTU]",ECMData_Baseline[[#All],[Energy]],0),MATCH("Fans Interior",ECMData_Baseline[#Headers],0))</f>
        <v>0</v>
      </c>
      <c r="AH7" s="634">
        <f>INDEX(ECMData_ECM1[#All],MATCH("Natural Gas Energy Use [kBTU]",ECMData_Baseline[[#All],[Energy]],0),MATCH("Fans Interior",ECMData_Baseline[#Headers],0))</f>
        <v>0</v>
      </c>
      <c r="AI7" s="634">
        <f>SUM(ECMData_EndUse[[#This Row],[Fans Interior - Elec]:[Fans Interior - Gas]])</f>
        <v>0</v>
      </c>
      <c r="AJ7" s="634">
        <f>INDEX(ECMData_ECM1[#All],MATCH("Electrical Energy Use [kBTU]",ECMData_Baseline[[#All],[Energy]],0),MATCH("Fans Parking Garage",ECMData_Baseline[#Headers],0))</f>
        <v>0</v>
      </c>
      <c r="AK7" s="634">
        <f>INDEX(ECMData_ECM1[#All],MATCH("Natural Gas Energy Use [kBTU]",ECMData_Baseline[[#All],[Energy]],0),MATCH("Fans Parking Garage",ECMData_Baseline[#Headers],0))</f>
        <v>0</v>
      </c>
      <c r="AL7" s="634">
        <f>SUM(ECMData_EndUse[[#This Row],[Fans Parking Garage - Elec]:[Fans Parking Garage - Gas]])</f>
        <v>0</v>
      </c>
      <c r="AM7" s="634">
        <f>INDEX(ECMData_ECM1[#All],MATCH("Electrical Energy Use [kBTU]",ECMData_Baseline[[#All],[Energy]],0),MATCH("Service Water Heating",ECMData_Baseline[#Headers],0))</f>
        <v>0</v>
      </c>
      <c r="AN7" s="634">
        <f>INDEX(ECMData_ECM1[#All],MATCH("Natural Gas Energy Use [kBTU]",ECMData_Baseline[[#All],[Energy]],0),MATCH("Service Water Heating",ECMData_Baseline[#Headers],0))</f>
        <v>0</v>
      </c>
      <c r="AO7" s="634">
        <f>SUM(ECMData_EndUse[[#This Row],[Service Water Heating - Elec]:[Service Water Heating - Gas]])</f>
        <v>0</v>
      </c>
      <c r="AP7" s="634">
        <f>INDEX(ECMData_ECM1[#All],MATCH("Electrical Energy Use [kBTU]",ECMData_Baseline[[#All],[Energy]],0),MATCH("Receptacle Equipment",ECMData_Baseline[#Headers],0))</f>
        <v>0</v>
      </c>
      <c r="AQ7" s="634">
        <f>INDEX(ECMData_ECM1[#All],MATCH("Natural Gas Energy Use [kBTU]",ECMData_Baseline[[#All],[Energy]],0),MATCH("Receptacle Equipment",ECMData_Baseline[#Headers],0))</f>
        <v>0</v>
      </c>
      <c r="AR7" s="634">
        <f>SUM(ECMData_EndUse[[#This Row],[Receptacle Equipment - Elec]:[Receptacle Equipment - Gas]])</f>
        <v>0</v>
      </c>
      <c r="AS7" s="634">
        <f>INDEX(ECMData_ECM1[#All],MATCH("Electrical Energy Use [kBTU]",ECMData_Baseline[[#All],[Energy]],0),MATCH("Interior Lighting Process",ECMData_Baseline[#Headers],0))</f>
        <v>0</v>
      </c>
      <c r="AT7" s="634">
        <f>INDEX(ECMData_ECM1[#All],MATCH("Natural Gas Energy Use [kBTU]",ECMData_Baseline[[#All],[Energy]],0),MATCH("Interior Lighting Process",ECMData_Baseline[#Headers],0))</f>
        <v>0</v>
      </c>
      <c r="AU7" s="634">
        <f>SUM(ECMData_EndUse[[#This Row],[Interior Lighting Process - Elec]:[Interior Lighting Process - Gas]])</f>
        <v>0</v>
      </c>
      <c r="AV7" s="634">
        <f>INDEX(ECMData_ECM1[#All],MATCH("Electrical Energy Use [kBTU]",ECMData_Baseline[[#All],[Energy]],0),MATCH("Refrigeration",ECMData_Baseline[#Headers],0))</f>
        <v>0</v>
      </c>
      <c r="AW7" s="634">
        <f>INDEX(ECMData_ECM1[#All],MATCH("Natural Gas Energy Use [kBTU]",ECMData_Baseline[[#All],[Energy]],0),MATCH("Refrigeration",ECMData_Baseline[#Headers],0))</f>
        <v>0</v>
      </c>
      <c r="AX7" s="634">
        <f>SUM(ECMData_EndUse[[#This Row],[Refrigeration - Elec]:[Refrigeration - Gas]])</f>
        <v>0</v>
      </c>
      <c r="AY7" s="634">
        <f>INDEX(ECMData_ECM1[#All],MATCH("Electrical Energy Use [kBTU]",ECMData_Baseline[[#All],[Energy]],0),MATCH("Data Centre Equipment",ECMData_Baseline[#Headers],0))</f>
        <v>0</v>
      </c>
      <c r="AZ7" s="634">
        <f>INDEX(ECMData_ECM1[#All],MATCH("Natural Gas Energy Use [kBTU]",ECMData_Baseline[[#All],[Energy]],0),MATCH("Data Centre Equipment",ECMData_Baseline[#Headers],0))</f>
        <v>0</v>
      </c>
      <c r="BA7" s="634">
        <f>SUM(ECMData_EndUse[[#This Row],[Data Centre Equipment - Elec]:[Data Centre Equipment - Gas]])</f>
        <v>0</v>
      </c>
      <c r="BB7" s="634">
        <f>INDEX(ECMData_ECM1[#All],MATCH("Electrical Energy Use [kBTU]",ECMData_Baseline[[#All],[Energy]],0),MATCH("Cooking",ECMData_Baseline[#Headers],0))</f>
        <v>0</v>
      </c>
      <c r="BC7" s="634">
        <f>INDEX(ECMData_ECM1[#All],MATCH("Natural Gas Energy Use [kBTU]",ECMData_Baseline[[#All],[Energy]],0),MATCH("Cooking",ECMData_Baseline[#Headers],0))</f>
        <v>0</v>
      </c>
      <c r="BD7" s="634">
        <f>SUM(ECMData_EndUse[[#This Row],[Cooking - Elec]:[Cooking - Gas]])</f>
        <v>0</v>
      </c>
      <c r="BE7" s="634">
        <f>INDEX(ECMData_ECM1[#All],MATCH("Electrical Energy Use [kBTU]",ECMData_Baseline[[#All],[Energy]],0),MATCH("Elevators/ Escalators",ECMData_Baseline[#Headers],0))</f>
        <v>0</v>
      </c>
      <c r="BF7" s="634">
        <f>INDEX(ECMData_ECM1[#All],MATCH("Natural Gas Energy Use [kBTU]",ECMData_Baseline[[#All],[Energy]],0),MATCH("Elevators/ Escalators",ECMData_Baseline[#Headers],0))</f>
        <v>0</v>
      </c>
      <c r="BG7" s="634">
        <f>SUM(ECMData_EndUse[[#This Row],[Elevators/ Escalators - Elec]:[Elevators/ Escalators - Gas]])</f>
        <v>0</v>
      </c>
      <c r="BH7" s="634">
        <f>INDEX(ECMData_ECM1[#All],MATCH("Electrical Energy Use [kBTU]",ECMData_Baseline[[#All],[Energy]],0),MATCH("Heat Rejection",ECMData_Baseline[#Headers],0))</f>
        <v>0</v>
      </c>
      <c r="BI7" s="634">
        <f>INDEX(ECMData_ECM1[#All],MATCH("Natural Gas Energy Use [kBTU]",ECMData_Baseline[[#All],[Energy]],0),MATCH("Heat Rejection",ECMData_Baseline[#Headers],0))</f>
        <v>0</v>
      </c>
      <c r="BJ7" s="634">
        <f>SUM(ECMData_EndUse[[#This Row],[Heat Rejection - Elec]:[Heat Rejection - Gas]])</f>
        <v>0</v>
      </c>
      <c r="BK7" s="634">
        <f>INDEX(ECMData_ECM1[#All],MATCH("Electrical Energy Use [kBTU]",ECMData_Baseline[[#All],[Energy]],0),MATCH("Combined Heat and Power",ECMData_Baseline[#Headers],0))</f>
        <v>0</v>
      </c>
      <c r="BL7" s="634">
        <f>INDEX(ECMData_ECM1[#All],MATCH("Natural Gas Energy Use [kBTU]",ECMData_Baseline[[#All],[Energy]],0),MATCH("Combined Heat and Power",ECMData_Baseline[#Headers],0))</f>
        <v>0</v>
      </c>
      <c r="BM7" s="634">
        <f>SUM(ECMData_EndUse[[#This Row],[Combined Heat and Power - Elec]:[Combined Heat and Power - Gas]])</f>
        <v>0</v>
      </c>
      <c r="BN7" s="634">
        <f>INDEX(ECMData_ECM1[#All],MATCH("Electrical Energy Use [kBTU]",ECMData_Baseline[[#All],[Energy]],0),MATCH("Humidification",ECMData_Baseline[#Headers],0))</f>
        <v>0</v>
      </c>
      <c r="BO7" s="634">
        <f>INDEX(ECMData_ECM1[#All],MATCH("Natural Gas Energy Use [kBTU]",ECMData_Baseline[[#All],[Energy]],0),MATCH("Humidification",ECMData_Baseline[#Headers],0))</f>
        <v>0</v>
      </c>
      <c r="BP7" s="634">
        <f>SUM(ECMData_EndUse[[#This Row],[Humidification - Elec]:[Humidification - Gas]])</f>
        <v>0</v>
      </c>
      <c r="BQ7" s="634">
        <f>INDEX(ECMData_ECM1[#All],MATCH("Electrical Energy Use [kBTU]",ECMData_Baseline[[#All],[Energy]],0),MATCH("Other Processes",ECMData_Baseline[#Headers],0))</f>
        <v>0</v>
      </c>
      <c r="BR7" s="634">
        <f>INDEX(ECMData_ECM1[#All],MATCH("Natural Gas Energy Use [kBTU]",ECMData_Baseline[[#All],[Energy]],0),MATCH("Other Processes",ECMData_Baseline[#Headers],0))</f>
        <v>0</v>
      </c>
      <c r="BS7" s="634">
        <f>SUM(ECMData_EndUse[[#This Row],[Other Processes - Elec]:[Other Processes - Gas]])</f>
        <v>0</v>
      </c>
      <c r="BT7" s="660"/>
      <c r="BU7" s="660"/>
      <c r="BV7" s="660"/>
      <c r="BW7" s="660"/>
      <c r="BX7" s="660"/>
      <c r="BY7" s="660"/>
      <c r="BZ7" s="660"/>
      <c r="CA7" s="660"/>
      <c r="CB7" s="660"/>
      <c r="CC7" s="660"/>
      <c r="CD7" s="660"/>
      <c r="CE7" s="660"/>
      <c r="CF7" s="660"/>
      <c r="CG7" s="660"/>
      <c r="CH7" s="660"/>
      <c r="CI7" s="660"/>
      <c r="CJ7" s="660"/>
      <c r="CK7" s="660"/>
      <c r="CL7" s="660"/>
      <c r="CM7" s="660"/>
      <c r="CN7" s="660"/>
      <c r="CO7" s="660"/>
      <c r="CP7" s="660"/>
      <c r="CQ7" s="660"/>
      <c r="CR7" s="660"/>
      <c r="CS7" s="660"/>
      <c r="CT7" s="660"/>
      <c r="CU7" s="660"/>
      <c r="CV7" s="660"/>
      <c r="CW7" s="660"/>
      <c r="CX7" s="660"/>
      <c r="CY7" s="660"/>
      <c r="CZ7" s="660"/>
      <c r="DA7" s="660"/>
      <c r="DB7" s="660"/>
      <c r="DC7" s="660"/>
      <c r="DD7" s="660"/>
      <c r="DE7" s="660"/>
      <c r="DF7" s="660"/>
      <c r="DG7" s="660"/>
      <c r="DH7" s="660"/>
      <c r="DI7" s="660"/>
      <c r="DJ7" s="660"/>
      <c r="DK7" s="660"/>
      <c r="DL7" s="660"/>
      <c r="DM7" s="660"/>
      <c r="DN7" s="660"/>
      <c r="DO7" s="660"/>
      <c r="DP7" s="660"/>
      <c r="DQ7" s="660"/>
      <c r="DR7" s="660"/>
      <c r="DS7" s="660"/>
      <c r="DT7" s="660"/>
      <c r="DU7" s="660"/>
      <c r="DV7" s="660"/>
      <c r="DW7" s="660"/>
      <c r="DY7" s="560"/>
      <c r="DZ7" s="560"/>
      <c r="EB7" s="18" t="str">
        <f>ECMData_Summary[[#This Row],[Column1]]</f>
        <v>ECM-1</v>
      </c>
      <c r="EC7" s="590">
        <f ca="1">ECMData_Summary[[#This Row],[Column2]]</f>
        <v>0</v>
      </c>
      <c r="ED7" s="634" cm="1">
        <f t="array" ref="ED7">IFERROR(INDEX('ECM Data'!$A$1:$T$119,MATCH(Table202224[[#This Row],[Column1]],'ECM Data'!$A$1:$A$119,0)+4,MATCH('ECM Reports'!ED$4,'ECM Data'!$A$6:$T$6,0))*ED$2,"")</f>
        <v>0</v>
      </c>
      <c r="EE7" s="634" cm="1">
        <f t="array" ref="EE7">IFERROR(INDEX('ECM Data'!$A$1:$T$119,MATCH(Table202224[[#This Row],[Column1]],'ECM Data'!$A$1:$A$119,0)+4,MATCH('ECM Reports'!EE$4,'ECM Data'!$A$6:$T$6,0))*EE$2,"")</f>
        <v>0</v>
      </c>
      <c r="EF7" s="634" cm="1">
        <f t="array" ref="EF7">IFERROR(INDEX('ECM Data'!$A$1:$T$119,MATCH(Table202224[[#This Row],[Column1]],'ECM Data'!$A$1:$A$119,0)+4,MATCH('ECM Reports'!EF$4,'ECM Data'!$A$6:$T$6,0))*EF$2,"")</f>
        <v>0</v>
      </c>
      <c r="EG7" s="634" cm="1">
        <f t="array" ref="EG7">IFERROR(INDEX('ECM Data'!$A$1:$T$119,MATCH(Table202224[[#This Row],[Column1]],'ECM Data'!$A$1:$A$119,0)+4,MATCH('ECM Reports'!EG$4,'ECM Data'!$A$6:$T$6,0))*EG$2,"")</f>
        <v>0</v>
      </c>
      <c r="EH7" s="634" cm="1">
        <f t="array" ref="EH7">IFERROR(INDEX('ECM Data'!$A$1:$T$119,MATCH(Table202224[[#This Row],[Column1]],'ECM Data'!$A$1:$A$119,0)+4,MATCH('ECM Reports'!EH$4,'ECM Data'!$A$6:$T$6,0))*EH$2,"")</f>
        <v>0</v>
      </c>
      <c r="EI7" s="634" cm="1">
        <f t="array" ref="EI7">IFERROR(INDEX('ECM Data'!$A$1:$T$119,MATCH(Table202224[[#This Row],[Column1]],'ECM Data'!$A$1:$A$119,0)+4,MATCH('ECM Reports'!EI$4,'ECM Data'!$A$6:$T$6,0))*EI$2,"")</f>
        <v>0</v>
      </c>
      <c r="EJ7" s="634" cm="1">
        <f t="array" ref="EJ7">IFERROR(INDEX('ECM Data'!$A$1:$T$119,MATCH(Table202224[[#This Row],[Column1]],'ECM Data'!$A$1:$A$119,0)+4,MATCH('ECM Reports'!EJ$4,'ECM Data'!$A$6:$T$6,0))*EJ$2,"")</f>
        <v>0</v>
      </c>
      <c r="EK7" s="634" cm="1">
        <f t="array" ref="EK7">IFERROR(INDEX('ECM Data'!$A$1:$T$119,MATCH(Table202224[[#This Row],[Column1]],'ECM Data'!$A$1:$A$119,0)+4,MATCH('ECM Reports'!EK$4,'ECM Data'!$A$6:$T$6,0))*EK$2,"")</f>
        <v>0</v>
      </c>
      <c r="EL7" s="634" cm="1">
        <f t="array" ref="EL7">IFERROR(INDEX('ECM Data'!$A$1:$T$119,MATCH(Table202224[[#This Row],[Column1]],'ECM Data'!$A$1:$A$119,0)+4,MATCH('ECM Reports'!EL$4,'ECM Data'!$A$6:$T$6,0))*EL$2,"")</f>
        <v>0</v>
      </c>
      <c r="EM7" s="634" cm="1">
        <f t="array" ref="EM7">IFERROR(INDEX('ECM Data'!$A$1:$T$119,MATCH(Table202224[[#This Row],[Column1]],'ECM Data'!$A$1:$A$119,0)+4,MATCH('ECM Reports'!EM$4,'ECM Data'!$A$6:$T$6,0))*EM$2,"")</f>
        <v>0</v>
      </c>
      <c r="EN7" s="634" cm="1">
        <f t="array" ref="EN7">IFERROR(INDEX('ECM Data'!$A$1:$T$119,MATCH(Table202224[[#This Row],[Column1]],'ECM Data'!$A$1:$A$119,0)+4,MATCH('ECM Reports'!EN$4,'ECM Data'!$A$6:$T$6,0))*EN$2,"")</f>
        <v>0</v>
      </c>
      <c r="EO7" s="634" cm="1">
        <f t="array" ref="EO7">IFERROR(INDEX('ECM Data'!$A$1:$T$119,MATCH(Table202224[[#This Row],[Column1]],'ECM Data'!$A$1:$A$119,0)+4,MATCH('ECM Reports'!EO$4,'ECM Data'!$A$6:$T$6,0))*EO$2,"")</f>
        <v>0</v>
      </c>
      <c r="EP7" s="634" cm="1">
        <f t="array" ref="EP7">IFERROR(INDEX('ECM Data'!$A$1:$T$119,MATCH(Table202224[[#This Row],[Column1]],'ECM Data'!$A$1:$A$119,0)+4,MATCH('ECM Reports'!EP$4,'ECM Data'!$A$6:$T$6,0))*EP$2,"")</f>
        <v>0</v>
      </c>
      <c r="EQ7" s="634" cm="1">
        <f t="array" ref="EQ7">IFERROR(INDEX('ECM Data'!$A$1:$T$119,MATCH(Table202224[[#This Row],[Column1]],'ECM Data'!$A$1:$A$119,0)+4,MATCH('ECM Reports'!EQ$4,'ECM Data'!$A$6:$T$6,0))*EQ$2,"")</f>
        <v>0</v>
      </c>
      <c r="ER7" s="634" cm="1">
        <f t="array" ref="ER7">IFERROR(INDEX('ECM Data'!$A$1:$T$119,MATCH(Table202224[[#This Row],[Column1]],'ECM Data'!$A$1:$A$119,0)+4,MATCH('ECM Reports'!ER$4,'ECM Data'!$A$6:$T$6,0))*ER$2,"")</f>
        <v>0</v>
      </c>
      <c r="ES7" s="634" cm="1">
        <f t="array" ref="ES7">IFERROR(INDEX('ECM Data'!$A$1:$T$119,MATCH(Table202224[[#This Row],[Column1]],'ECM Data'!$A$1:$A$119,0)+4,MATCH('ECM Reports'!ES$4,'ECM Data'!$A$6:$T$6,0))*ES$2,"")</f>
        <v>0</v>
      </c>
      <c r="ET7" s="634" cm="1">
        <f t="array" ref="ET7">IFERROR(INDEX('ECM Data'!$A$1:$T$119,MATCH(Table202224[[#This Row],[Column1]],'ECM Data'!$A$1:$A$119,0)+4,MATCH('ECM Reports'!ET$4,'ECM Data'!$A$6:$T$6,0))*ET$2,"")</f>
        <v>0</v>
      </c>
      <c r="EU7" s="634" cm="1">
        <f t="array" ref="EU7">IFERROR(INDEX('ECM Data'!$A$1:$T$119,MATCH(Table202224[[#This Row],[Column1]],'ECM Data'!$A$1:$A$119,0)+4,MATCH('ECM Reports'!EU$4,'ECM Data'!$A$6:$T$6,0))*EU$2,"")</f>
        <v>0</v>
      </c>
      <c r="EV7" s="634" cm="1">
        <f t="array" ref="EV7">IFERROR(INDEX('ECM Data'!$A$1:$T$119,MATCH(Table202224[[#This Row],[Column1]],'ECM Data'!$A$1:$A$119,0)+4,MATCH('ECM Reports'!EV$4,'ECM Data'!$A$6:$T$6,0))*EV$2,"")</f>
        <v>0</v>
      </c>
      <c r="EW7" s="635">
        <f>SUM(Table202224[[#This Row],[Column3]:[Column22]])</f>
        <v>0</v>
      </c>
    </row>
    <row r="8" spans="1:153" x14ac:dyDescent="0.25">
      <c r="A8" s="19" t="s">
        <v>878</v>
      </c>
      <c r="B8" s="590">
        <f ca="1">OFFSET('ECM Data'!$A$1,MATCH('ECM Reports'!$A8,'ECM Data'!$A:$A,0)-1,1)</f>
        <v>0</v>
      </c>
      <c r="C8" s="20">
        <f ca="1">OFFSET('ECM Data'!$A$1,MATCH('ECM Reports'!$A8,'ECM Data'!$A:$A,0)+6,1)</f>
        <v>0</v>
      </c>
      <c r="D8" s="20">
        <f ca="1">OFFSET('ECM Data'!$A$1,MATCH('ECM Reports'!$A8,'ECM Data'!$A:$A,0)+7,1)</f>
        <v>0</v>
      </c>
      <c r="E8" s="20">
        <f ca="1">OFFSET('ECM Data'!$A$1,MATCH('ECM Reports'!$A8,'ECM Data'!$A:$A,0)+8,1)</f>
        <v>0</v>
      </c>
      <c r="F8" s="506" t="str">
        <f ca="1">IFERROR(ECMData_Summary[[#This Row],[Column5]]/SUM(MasterRoomList_SpaceTypeTable[Area (sf)]),"")</f>
        <v/>
      </c>
      <c r="G8" s="663">
        <f ca="1">OFFSET('ECM Data'!$A$1,MATCH('ECM Reports'!$A8,'ECM Data'!$A:$A,0)+6,3)</f>
        <v>0</v>
      </c>
      <c r="H8" s="663">
        <f ca="1">OFFSET('ECM Data'!$A$1,MATCH('ECM Reports'!$A8,'ECM Data'!$A:$A,0)+7,3)</f>
        <v>0</v>
      </c>
      <c r="I8" s="663">
        <f ca="1">OFFSET('ECM Data'!$A$1,MATCH('ECM Reports'!$A8,'ECM Data'!$A:$A,0)+8,3)</f>
        <v>0</v>
      </c>
      <c r="J8" s="505" t="str">
        <f ca="1">IFERROR(1-ECMData_Summary[[#This Row],[Column5]]/$E$6,"")</f>
        <v/>
      </c>
      <c r="K8" s="505" t="str">
        <f ca="1">IFERROR(1-ECMData_Summary[[#This Row],[Column8]]/$I$6,"")</f>
        <v/>
      </c>
      <c r="M8" s="19" t="str">
        <f>ECMData_Summary[[#This Row],[Column1]]</f>
        <v>ECM-2</v>
      </c>
      <c r="N8" s="590">
        <f ca="1">ECMData_Summary[[#This Row],[Column2]]</f>
        <v>0</v>
      </c>
      <c r="O8" s="634">
        <f>INDEX(ECMData_ECM2[#All],MATCH("Electrical Energy Use [kBTU]",ECMData_Baseline[[#All],[Energy]],0),MATCH("Internal Lighting",ECMData_Baseline[#Headers],0))</f>
        <v>0</v>
      </c>
      <c r="P8" s="634">
        <f>INDEX(ECMData_ECM2[#All],MATCH("Natural Gas Energy Use [kBTU]",ECMData_Baseline[[#All],[Energy]],0),MATCH("Internal Lighting",ECMData_Baseline[#Headers],0))</f>
        <v>0</v>
      </c>
      <c r="Q8" s="634">
        <f>SUM(ECMData_EndUse[[#This Row],[Internal Lighitng - Elec]:[Internal Lighting - Gas]])</f>
        <v>0</v>
      </c>
      <c r="R8" s="634">
        <f>INDEX(ECMData_ECM2[#All],MATCH("Electrical Energy Use [kBTU]",ECMData_Baseline[[#All],[Energy]],0),MATCH("Internal Lighting",ECMData_Baseline[#Headers],0))</f>
        <v>0</v>
      </c>
      <c r="S8" s="634">
        <f>INDEX(ECMData_ECM2[#All],MATCH("Natural Gas Energy Use [kBTU]",ECMData_Baseline[[#All],[Energy]],0),MATCH("Internal Lighting",ECMData_Baseline[#Headers],0))</f>
        <v>0</v>
      </c>
      <c r="T8" s="634">
        <f>SUM(ECMData_EndUse[[#This Row],[External Lighting - Elec]:[External Lighting - Gas]])</f>
        <v>0</v>
      </c>
      <c r="U8" s="634">
        <f>INDEX(ECMData_ECM2[#All],MATCH("Electrical Energy Use [kBTU]",ECMData_Baseline[[#All],[Energy]],0),MATCH("Space Heating",ECMData_Baseline[#Headers],0))</f>
        <v>0</v>
      </c>
      <c r="V8" s="634">
        <f>INDEX(ECMData_ECM2[#All],MATCH("Natural Gas Energy Use [kBTU]",ECMData_Baseline[[#All],[Energy]],0),MATCH("Space Heating",ECMData_Baseline[#Headers],0))</f>
        <v>0</v>
      </c>
      <c r="W8" s="634">
        <f>SUM(ECMData_EndUse[[#This Row],[Space Heating - Elec]:[Space Heating - Gas]])</f>
        <v>0</v>
      </c>
      <c r="X8" s="634">
        <f>INDEX(ECMData_ECM2[#All],MATCH("Electrical Energy Use [kBTU]",ECMData_Baseline[[#All],[Energy]],0),MATCH("Space Cooling",ECMData_Baseline[#Headers],0))</f>
        <v>0</v>
      </c>
      <c r="Y8" s="634">
        <f>INDEX(ECMData_ECM2[#All],MATCH("Natural Gas Energy Use [kBTU]",ECMData_Baseline[[#All],[Energy]],0),MATCH("Space Cooling",ECMData_Baseline[#Headers],0))</f>
        <v>0</v>
      </c>
      <c r="Z8" s="634">
        <f>SUM(ECMData_EndUse[[#This Row],[Space Cooling - Elec]:[Space Cooling - Gas]])</f>
        <v>0</v>
      </c>
      <c r="AA8" s="634">
        <f>INDEX(ECMData_ECM2[#All],MATCH("Electrical Energy Use [kBTU]",ECMData_Baseline[[#All],[Energy]],0),MATCH("Pumps",ECMData_Baseline[#Headers],0))</f>
        <v>0</v>
      </c>
      <c r="AB8" s="634">
        <f>INDEX(ECMData_ECM2[#All],MATCH("Natural Gas Energy Use [kBTU]",ECMData_Baseline[[#All],[Energy]],0),MATCH("Pumps",ECMData_Baseline[#Headers],0))</f>
        <v>0</v>
      </c>
      <c r="AC8" s="634">
        <f>SUM(ECMData_EndUse[[#This Row],[Pumps - Elec]:[Pumps - Gas]])</f>
        <v>0</v>
      </c>
      <c r="AD8" s="634">
        <f>INDEX(ECMData_ECM2[#All],MATCH("Electrical Energy Use [kBTU]",ECMData_Baseline[[#All],[Energy]],0),MATCH("Fans Process",ECMData_Baseline[#Headers],0))</f>
        <v>0</v>
      </c>
      <c r="AE8" s="634">
        <f>INDEX(ECMData_ECM2[#All],MATCH("Natural Gas Energy Use [kBTU]",ECMData_Baseline[[#All],[Energy]],0),MATCH("Fans Process",ECMData_Baseline[#Headers],0))</f>
        <v>0</v>
      </c>
      <c r="AF8" s="634">
        <f>SUM(ECMData_EndUse[[#This Row],[Fans Process - Elec]:[Fans Process - Gas]])</f>
        <v>0</v>
      </c>
      <c r="AG8" s="634">
        <f>INDEX(ECMData_ECM2[#All],MATCH("Electrical Energy Use [kBTU]",ECMData_Baseline[[#All],[Energy]],0),MATCH("Fans Interior",ECMData_Baseline[#Headers],0))</f>
        <v>0</v>
      </c>
      <c r="AH8" s="634">
        <f>INDEX(ECMData_ECM2[#All],MATCH("Natural Gas Energy Use [kBTU]",ECMData_Baseline[[#All],[Energy]],0),MATCH("Fans Interior",ECMData_Baseline[#Headers],0))</f>
        <v>0</v>
      </c>
      <c r="AI8" s="634">
        <f>SUM(ECMData_EndUse[[#This Row],[Fans Interior - Elec]:[Fans Interior - Gas]])</f>
        <v>0</v>
      </c>
      <c r="AJ8" s="634">
        <f>INDEX(ECMData_ECM2[#All],MATCH("Electrical Energy Use [kBTU]",ECMData_Baseline[[#All],[Energy]],0),MATCH("Fans Parking Garage",ECMData_Baseline[#Headers],0))</f>
        <v>0</v>
      </c>
      <c r="AK8" s="634">
        <f>INDEX(ECMData_ECM2[#All],MATCH("Natural Gas Energy Use [kBTU]",ECMData_Baseline[[#All],[Energy]],0),MATCH("Fans Parking Garage",ECMData_Baseline[#Headers],0))</f>
        <v>0</v>
      </c>
      <c r="AL8" s="634">
        <f>SUM(ECMData_EndUse[[#This Row],[Fans Parking Garage - Elec]:[Fans Parking Garage - Gas]])</f>
        <v>0</v>
      </c>
      <c r="AM8" s="634">
        <f>INDEX(ECMData_ECM2[#All],MATCH("Electrical Energy Use [kBTU]",ECMData_Baseline[[#All],[Energy]],0),MATCH("Service Water Heating",ECMData_Baseline[#Headers],0))</f>
        <v>0</v>
      </c>
      <c r="AN8" s="634">
        <f>INDEX(ECMData_ECM2[#All],MATCH("Natural Gas Energy Use [kBTU]",ECMData_Baseline[[#All],[Energy]],0),MATCH("Service Water Heating",ECMData_Baseline[#Headers],0))</f>
        <v>0</v>
      </c>
      <c r="AO8" s="634">
        <f>SUM(ECMData_EndUse[[#This Row],[Service Water Heating - Elec]:[Service Water Heating - Gas]])</f>
        <v>0</v>
      </c>
      <c r="AP8" s="634">
        <f>INDEX(ECMData_ECM2[#All],MATCH("Electrical Energy Use [kBTU]",ECMData_Baseline[[#All],[Energy]],0),MATCH("Receptacle Equipment",ECMData_Baseline[#Headers],0))</f>
        <v>0</v>
      </c>
      <c r="AQ8" s="634">
        <f>INDEX(ECMData_ECM2[#All],MATCH("Natural Gas Energy Use [kBTU]",ECMData_Baseline[[#All],[Energy]],0),MATCH("Receptacle Equipment",ECMData_Baseline[#Headers],0))</f>
        <v>0</v>
      </c>
      <c r="AR8" s="634">
        <f>SUM(ECMData_EndUse[[#This Row],[Receptacle Equipment - Elec]:[Receptacle Equipment - Gas]])</f>
        <v>0</v>
      </c>
      <c r="AS8" s="634">
        <f>INDEX(ECMData_ECM2[#All],MATCH("Electrical Energy Use [kBTU]",ECMData_Baseline[[#All],[Energy]],0),MATCH("Interior Lighting Process",ECMData_Baseline[#Headers],0))</f>
        <v>0</v>
      </c>
      <c r="AT8" s="634">
        <f>INDEX(ECMData_ECM2[#All],MATCH("Natural Gas Energy Use [kBTU]",ECMData_Baseline[[#All],[Energy]],0),MATCH("Interior Lighting Process",ECMData_Baseline[#Headers],0))</f>
        <v>0</v>
      </c>
      <c r="AU8" s="634">
        <f>SUM(ECMData_EndUse[[#This Row],[Interior Lighting Process - Elec]:[Interior Lighting Process - Gas]])</f>
        <v>0</v>
      </c>
      <c r="AV8" s="634">
        <f>INDEX(ECMData_ECM2[#All],MATCH("Electrical Energy Use [kBTU]",ECMData_Baseline[[#All],[Energy]],0),MATCH("Refrigeration",ECMData_Baseline[#Headers],0))</f>
        <v>0</v>
      </c>
      <c r="AW8" s="634">
        <f>INDEX(ECMData_ECM2[#All],MATCH("Natural Gas Energy Use [kBTU]",ECMData_Baseline[[#All],[Energy]],0),MATCH("Refrigeration",ECMData_Baseline[#Headers],0))</f>
        <v>0</v>
      </c>
      <c r="AX8" s="634">
        <f>SUM(ECMData_EndUse[[#This Row],[Refrigeration - Elec]:[Refrigeration - Gas]])</f>
        <v>0</v>
      </c>
      <c r="AY8" s="634">
        <f>INDEX(ECMData_ECM2[#All],MATCH("Electrical Energy Use [kBTU]",ECMData_Baseline[[#All],[Energy]],0),MATCH("Data Centre Equipment",ECMData_Baseline[#Headers],0))</f>
        <v>0</v>
      </c>
      <c r="AZ8" s="634">
        <f>INDEX(ECMData_ECM2[#All],MATCH("Natural Gas Energy Use [kBTU]",ECMData_Baseline[[#All],[Energy]],0),MATCH("Data Centre Equipment",ECMData_Baseline[#Headers],0))</f>
        <v>0</v>
      </c>
      <c r="BA8" s="634">
        <f>SUM(ECMData_EndUse[[#This Row],[Data Centre Equipment - Elec]:[Data Centre Equipment - Gas]])</f>
        <v>0</v>
      </c>
      <c r="BB8" s="634">
        <f>INDEX(ECMData_ECM2[#All],MATCH("Electrical Energy Use [kBTU]",ECMData_Baseline[[#All],[Energy]],0),MATCH("Cooking",ECMData_Baseline[#Headers],0))</f>
        <v>0</v>
      </c>
      <c r="BC8" s="634">
        <f>INDEX(ECMData_ECM2[#All],MATCH("Natural Gas Energy Use [kBTU]",ECMData_Baseline[[#All],[Energy]],0),MATCH("Cooking",ECMData_Baseline[#Headers],0))</f>
        <v>0</v>
      </c>
      <c r="BD8" s="634">
        <f>SUM(ECMData_EndUse[[#This Row],[Cooking - Elec]:[Cooking - Gas]])</f>
        <v>0</v>
      </c>
      <c r="BE8" s="634">
        <f>INDEX(ECMData_ECM2[#All],MATCH("Electrical Energy Use [kBTU]",ECMData_Baseline[[#All],[Energy]],0),MATCH("Elevators/ Escalators",ECMData_Baseline[#Headers],0))</f>
        <v>0</v>
      </c>
      <c r="BF8" s="634">
        <f>INDEX(ECMData_ECM2[#All],MATCH("Natural Gas Energy Use [kBTU]",ECMData_Baseline[[#All],[Energy]],0),MATCH("Elevators/ Escalators",ECMData_Baseline[#Headers],0))</f>
        <v>0</v>
      </c>
      <c r="BG8" s="634">
        <f>SUM(ECMData_EndUse[[#This Row],[Elevators/ Escalators - Elec]:[Elevators/ Escalators - Gas]])</f>
        <v>0</v>
      </c>
      <c r="BH8" s="634">
        <f>INDEX(ECMData_ECM2[#All],MATCH("Electrical Energy Use [kBTU]",ECMData_Baseline[[#All],[Energy]],0),MATCH("Heat Rejection",ECMData_Baseline[#Headers],0))</f>
        <v>0</v>
      </c>
      <c r="BI8" s="634">
        <f>INDEX(ECMData_ECM2[#All],MATCH("Natural Gas Energy Use [kBTU]",ECMData_Baseline[[#All],[Energy]],0),MATCH("Heat Rejection",ECMData_Baseline[#Headers],0))</f>
        <v>0</v>
      </c>
      <c r="BJ8" s="634">
        <f>SUM(ECMData_EndUse[[#This Row],[Heat Rejection - Elec]:[Heat Rejection - Gas]])</f>
        <v>0</v>
      </c>
      <c r="BK8" s="634">
        <f>INDEX(ECMData_ECM2[#All],MATCH("Electrical Energy Use [kBTU]",ECMData_Baseline[[#All],[Energy]],0),MATCH("Combined Heat and Power",ECMData_Baseline[#Headers],0))</f>
        <v>0</v>
      </c>
      <c r="BL8" s="634">
        <f>INDEX(ECMData_ECM2[#All],MATCH("Natural Gas Energy Use [kBTU]",ECMData_Baseline[[#All],[Energy]],0),MATCH("Combined Heat and Power",ECMData_Baseline[#Headers],0))</f>
        <v>0</v>
      </c>
      <c r="BM8" s="634">
        <f>SUM(ECMData_EndUse[[#This Row],[Combined Heat and Power - Elec]:[Combined Heat and Power - Gas]])</f>
        <v>0</v>
      </c>
      <c r="BN8" s="634">
        <f>INDEX(ECMData_ECM2[#All],MATCH("Electrical Energy Use [kBTU]",ECMData_Baseline[[#All],[Energy]],0),MATCH("Humidification",ECMData_Baseline[#Headers],0))</f>
        <v>0</v>
      </c>
      <c r="BO8" s="634">
        <f>INDEX(ECMData_ECM2[#All],MATCH("Natural Gas Energy Use [kBTU]",ECMData_Baseline[[#All],[Energy]],0),MATCH("Humidification",ECMData_Baseline[#Headers],0))</f>
        <v>0</v>
      </c>
      <c r="BP8" s="634">
        <f>SUM(ECMData_EndUse[[#This Row],[Humidification - Elec]:[Humidification - Gas]])</f>
        <v>0</v>
      </c>
      <c r="BQ8" s="634">
        <f>INDEX(ECMData_ECM2[#All],MATCH("Electrical Energy Use [kBTU]",ECMData_Baseline[[#All],[Energy]],0),MATCH("Other Processes",ECMData_Baseline[#Headers],0))</f>
        <v>0</v>
      </c>
      <c r="BR8" s="634">
        <f>INDEX(ECMData_ECM2[#All],MATCH("Natural Gas Energy Use [kBTU]",ECMData_Baseline[[#All],[Energy]],0),MATCH("Other Processes",ECMData_Baseline[#Headers],0))</f>
        <v>0</v>
      </c>
      <c r="BS8" s="634">
        <f>SUM(ECMData_EndUse[[#This Row],[Other Processes - Elec]:[Other Processes - Gas]])</f>
        <v>0</v>
      </c>
      <c r="BT8" s="660"/>
      <c r="BU8" s="660"/>
      <c r="BV8" s="660"/>
      <c r="BW8" s="660"/>
      <c r="BX8" s="660"/>
      <c r="BY8" s="660"/>
      <c r="BZ8" s="660"/>
      <c r="CA8" s="660"/>
      <c r="CB8" s="660"/>
      <c r="CC8" s="660"/>
      <c r="CD8" s="660"/>
      <c r="CE8" s="660"/>
      <c r="CF8" s="660"/>
      <c r="CG8" s="660"/>
      <c r="CH8" s="660"/>
      <c r="CI8" s="660"/>
      <c r="CJ8" s="660"/>
      <c r="CK8" s="660"/>
      <c r="CL8" s="660"/>
      <c r="CM8" s="660"/>
      <c r="CN8" s="660"/>
      <c r="CO8" s="660"/>
      <c r="CP8" s="660"/>
      <c r="CQ8" s="660"/>
      <c r="CR8" s="660"/>
      <c r="CS8" s="660"/>
      <c r="CT8" s="660"/>
      <c r="CU8" s="660"/>
      <c r="CV8" s="660"/>
      <c r="CW8" s="660"/>
      <c r="CX8" s="660"/>
      <c r="CY8" s="660"/>
      <c r="CZ8" s="660"/>
      <c r="DA8" s="660"/>
      <c r="DB8" s="660"/>
      <c r="DC8" s="660"/>
      <c r="DD8" s="660"/>
      <c r="DE8" s="660"/>
      <c r="DF8" s="660"/>
      <c r="DG8" s="660"/>
      <c r="DH8" s="660"/>
      <c r="DI8" s="660"/>
      <c r="DJ8" s="660"/>
      <c r="DK8" s="660"/>
      <c r="DL8" s="660"/>
      <c r="DM8" s="660"/>
      <c r="DN8" s="660"/>
      <c r="DO8" s="660"/>
      <c r="DP8" s="660"/>
      <c r="DQ8" s="660"/>
      <c r="DR8" s="660"/>
      <c r="DS8" s="660"/>
      <c r="DT8" s="660"/>
      <c r="DU8" s="660"/>
      <c r="DV8" s="660"/>
      <c r="DW8" s="660"/>
      <c r="DY8" s="560"/>
      <c r="DZ8" s="560"/>
      <c r="EB8" s="18" t="str">
        <f>ECMData_Summary[[#This Row],[Column1]]</f>
        <v>ECM-2</v>
      </c>
      <c r="EC8" s="590">
        <f ca="1">ECMData_Summary[[#This Row],[Column2]]</f>
        <v>0</v>
      </c>
      <c r="ED8" s="634" cm="1">
        <f t="array" ref="ED8">IFERROR(INDEX('ECM Data'!$A$1:$T$119,MATCH(Table202224[[#This Row],[Column1]],'ECM Data'!$A$1:$A$119,0)+4,MATCH('ECM Reports'!ED$4,'ECM Data'!$A$6:$T$6,0))*ED$2,"")</f>
        <v>0</v>
      </c>
      <c r="EE8" s="634" cm="1">
        <f t="array" ref="EE8">IFERROR(INDEX('ECM Data'!$A$1:$T$119,MATCH(Table202224[[#This Row],[Column1]],'ECM Data'!$A$1:$A$119,0)+4,MATCH('ECM Reports'!EE$4,'ECM Data'!$A$6:$T$6,0))*EE$2,"")</f>
        <v>0</v>
      </c>
      <c r="EF8" s="634" cm="1">
        <f t="array" ref="EF8">IFERROR(INDEX('ECM Data'!$A$1:$T$119,MATCH(Table202224[[#This Row],[Column1]],'ECM Data'!$A$1:$A$119,0)+4,MATCH('ECM Reports'!EF$4,'ECM Data'!$A$6:$T$6,0))*EF$2,"")</f>
        <v>0</v>
      </c>
      <c r="EG8" s="634" cm="1">
        <f t="array" ref="EG8">IFERROR(INDEX('ECM Data'!$A$1:$T$119,MATCH(Table202224[[#This Row],[Column1]],'ECM Data'!$A$1:$A$119,0)+4,MATCH('ECM Reports'!EG$4,'ECM Data'!$A$6:$T$6,0))*EG$2,"")</f>
        <v>0</v>
      </c>
      <c r="EH8" s="634" cm="1">
        <f t="array" ref="EH8">IFERROR(INDEX('ECM Data'!$A$1:$T$119,MATCH(Table202224[[#This Row],[Column1]],'ECM Data'!$A$1:$A$119,0)+4,MATCH('ECM Reports'!EH$4,'ECM Data'!$A$6:$T$6,0))*EH$2,"")</f>
        <v>0</v>
      </c>
      <c r="EI8" s="634" cm="1">
        <f t="array" ref="EI8">IFERROR(INDEX('ECM Data'!$A$1:$T$119,MATCH(Table202224[[#This Row],[Column1]],'ECM Data'!$A$1:$A$119,0)+4,MATCH('ECM Reports'!EI$4,'ECM Data'!$A$6:$T$6,0))*EI$2,"")</f>
        <v>0</v>
      </c>
      <c r="EJ8" s="634" cm="1">
        <f t="array" ref="EJ8">IFERROR(INDEX('ECM Data'!$A$1:$T$119,MATCH(Table202224[[#This Row],[Column1]],'ECM Data'!$A$1:$A$119,0)+4,MATCH('ECM Reports'!EJ$4,'ECM Data'!$A$6:$T$6,0))*EJ$2,"")</f>
        <v>0</v>
      </c>
      <c r="EK8" s="634" cm="1">
        <f t="array" ref="EK8">IFERROR(INDEX('ECM Data'!$A$1:$T$119,MATCH(Table202224[[#This Row],[Column1]],'ECM Data'!$A$1:$A$119,0)+4,MATCH('ECM Reports'!EK$4,'ECM Data'!$A$6:$T$6,0))*EK$2,"")</f>
        <v>0</v>
      </c>
      <c r="EL8" s="634" cm="1">
        <f t="array" ref="EL8">IFERROR(INDEX('ECM Data'!$A$1:$T$119,MATCH(Table202224[[#This Row],[Column1]],'ECM Data'!$A$1:$A$119,0)+4,MATCH('ECM Reports'!EL$4,'ECM Data'!$A$6:$T$6,0))*EL$2,"")</f>
        <v>0</v>
      </c>
      <c r="EM8" s="634" cm="1">
        <f t="array" ref="EM8">IFERROR(INDEX('ECM Data'!$A$1:$T$119,MATCH(Table202224[[#This Row],[Column1]],'ECM Data'!$A$1:$A$119,0)+4,MATCH('ECM Reports'!EM$4,'ECM Data'!$A$6:$T$6,0))*EM$2,"")</f>
        <v>0</v>
      </c>
      <c r="EN8" s="634" cm="1">
        <f t="array" ref="EN8">IFERROR(INDEX('ECM Data'!$A$1:$T$119,MATCH(Table202224[[#This Row],[Column1]],'ECM Data'!$A$1:$A$119,0)+4,MATCH('ECM Reports'!EN$4,'ECM Data'!$A$6:$T$6,0))*EN$2,"")</f>
        <v>0</v>
      </c>
      <c r="EO8" s="634" cm="1">
        <f t="array" ref="EO8">IFERROR(INDEX('ECM Data'!$A$1:$T$119,MATCH(Table202224[[#This Row],[Column1]],'ECM Data'!$A$1:$A$119,0)+4,MATCH('ECM Reports'!EO$4,'ECM Data'!$A$6:$T$6,0))*EO$2,"")</f>
        <v>0</v>
      </c>
      <c r="EP8" s="634" cm="1">
        <f t="array" ref="EP8">IFERROR(INDEX('ECM Data'!$A$1:$T$119,MATCH(Table202224[[#This Row],[Column1]],'ECM Data'!$A$1:$A$119,0)+4,MATCH('ECM Reports'!EP$4,'ECM Data'!$A$6:$T$6,0))*EP$2,"")</f>
        <v>0</v>
      </c>
      <c r="EQ8" s="634" cm="1">
        <f t="array" ref="EQ8">IFERROR(INDEX('ECM Data'!$A$1:$T$119,MATCH(Table202224[[#This Row],[Column1]],'ECM Data'!$A$1:$A$119,0)+4,MATCH('ECM Reports'!EQ$4,'ECM Data'!$A$6:$T$6,0))*EQ$2,"")</f>
        <v>0</v>
      </c>
      <c r="ER8" s="634" cm="1">
        <f t="array" ref="ER8">IFERROR(INDEX('ECM Data'!$A$1:$T$119,MATCH(Table202224[[#This Row],[Column1]],'ECM Data'!$A$1:$A$119,0)+4,MATCH('ECM Reports'!ER$4,'ECM Data'!$A$6:$T$6,0))*ER$2,"")</f>
        <v>0</v>
      </c>
      <c r="ES8" s="634" cm="1">
        <f t="array" ref="ES8">IFERROR(INDEX('ECM Data'!$A$1:$T$119,MATCH(Table202224[[#This Row],[Column1]],'ECM Data'!$A$1:$A$119,0)+4,MATCH('ECM Reports'!ES$4,'ECM Data'!$A$6:$T$6,0))*ES$2,"")</f>
        <v>0</v>
      </c>
      <c r="ET8" s="634" cm="1">
        <f t="array" ref="ET8">IFERROR(INDEX('ECM Data'!$A$1:$T$119,MATCH(Table202224[[#This Row],[Column1]],'ECM Data'!$A$1:$A$119,0)+4,MATCH('ECM Reports'!ET$4,'ECM Data'!$A$6:$T$6,0))*ET$2,"")</f>
        <v>0</v>
      </c>
      <c r="EU8" s="634" cm="1">
        <f t="array" ref="EU8">IFERROR(INDEX('ECM Data'!$A$1:$T$119,MATCH(Table202224[[#This Row],[Column1]],'ECM Data'!$A$1:$A$119,0)+4,MATCH('ECM Reports'!EU$4,'ECM Data'!$A$6:$T$6,0))*EU$2,"")</f>
        <v>0</v>
      </c>
      <c r="EV8" s="634" cm="1">
        <f t="array" ref="EV8">IFERROR(INDEX('ECM Data'!$A$1:$T$119,MATCH(Table202224[[#This Row],[Column1]],'ECM Data'!$A$1:$A$119,0)+4,MATCH('ECM Reports'!EV$4,'ECM Data'!$A$6:$T$6,0))*EV$2,"")</f>
        <v>0</v>
      </c>
      <c r="EW8" s="635">
        <f>SUM(Table202224[[#This Row],[Column3]:[Column22]])</f>
        <v>0</v>
      </c>
    </row>
    <row r="9" spans="1:153" x14ac:dyDescent="0.25">
      <c r="A9" s="19" t="s">
        <v>879</v>
      </c>
      <c r="B9" s="590">
        <f ca="1">OFFSET('ECM Data'!$A$1,MATCH('ECM Reports'!$A9,'ECM Data'!$A:$A,0)-1,1)</f>
        <v>0</v>
      </c>
      <c r="C9" s="20">
        <f ca="1">OFFSET('ECM Data'!$A$1,MATCH('ECM Reports'!$A9,'ECM Data'!$A:$A,0)+6,1)</f>
        <v>0</v>
      </c>
      <c r="D9" s="20">
        <f ca="1">OFFSET('ECM Data'!$A$1,MATCH('ECM Reports'!$A9,'ECM Data'!$A:$A,0)+7,1)</f>
        <v>0</v>
      </c>
      <c r="E9" s="20">
        <f ca="1">OFFSET('ECM Data'!$A$1,MATCH('ECM Reports'!$A9,'ECM Data'!$A:$A,0)+8,1)</f>
        <v>0</v>
      </c>
      <c r="F9" s="506" t="str">
        <f ca="1">IFERROR(ECMData_Summary[[#This Row],[Column5]]/SUM(MasterRoomList_SpaceTypeTable[Area (sf)]),"")</f>
        <v/>
      </c>
      <c r="G9" s="663">
        <f ca="1">OFFSET('ECM Data'!$A$1,MATCH('ECM Reports'!$A9,'ECM Data'!$A:$A,0)+6,3)</f>
        <v>0</v>
      </c>
      <c r="H9" s="663">
        <f ca="1">OFFSET('ECM Data'!$A$1,MATCH('ECM Reports'!$A9,'ECM Data'!$A:$A,0)+7,3)</f>
        <v>0</v>
      </c>
      <c r="I9" s="663">
        <f ca="1">OFFSET('ECM Data'!$A$1,MATCH('ECM Reports'!$A9,'ECM Data'!$A:$A,0)+8,3)</f>
        <v>0</v>
      </c>
      <c r="J9" s="505" t="str">
        <f ca="1">IFERROR(1-ECMData_Summary[[#This Row],[Column5]]/$E$6,"")</f>
        <v/>
      </c>
      <c r="K9" s="505" t="str">
        <f ca="1">IFERROR(1-ECMData_Summary[[#This Row],[Column8]]/$I$6,"")</f>
        <v/>
      </c>
      <c r="M9" s="19" t="str">
        <f>ECMData_Summary[[#This Row],[Column1]]</f>
        <v>ECM-3</v>
      </c>
      <c r="N9" s="590">
        <f ca="1">ECMData_Summary[[#This Row],[Column2]]</f>
        <v>0</v>
      </c>
      <c r="O9" s="634">
        <f>INDEX(ECMData_ECM3[#All],MATCH("Electrical Energy Use [kBTU]",ECMData_Baseline[[#All],[Energy]],0),MATCH("Internal Lighting",ECMData_Baseline[#Headers],0))</f>
        <v>0</v>
      </c>
      <c r="P9" s="634">
        <f>INDEX(ECMData_ECM3[#All],MATCH("Natural Gas Energy Use [kBTU]",ECMData_Baseline[[#All],[Energy]],0),MATCH("Internal Lighting",ECMData_Baseline[#Headers],0))</f>
        <v>0</v>
      </c>
      <c r="Q9" s="634">
        <f>SUM(ECMData_EndUse[[#This Row],[Internal Lighitng - Elec]:[Internal Lighting - Gas]])</f>
        <v>0</v>
      </c>
      <c r="R9" s="634">
        <f>INDEX(ECMData_ECM3[#All],MATCH("Electrical Energy Use [kBTU]",ECMData_Baseline[[#All],[Energy]],0),MATCH("Internal Lighting",ECMData_Baseline[#Headers],0))</f>
        <v>0</v>
      </c>
      <c r="S9" s="634">
        <f>INDEX(ECMData_ECM3[#All],MATCH("Natural Gas Energy Use [kBTU]",ECMData_Baseline[[#All],[Energy]],0),MATCH("Internal Lighting",ECMData_Baseline[#Headers],0))</f>
        <v>0</v>
      </c>
      <c r="T9" s="634">
        <f>SUM(ECMData_EndUse[[#This Row],[External Lighting - Elec]:[External Lighting - Gas]])</f>
        <v>0</v>
      </c>
      <c r="U9" s="634">
        <f>INDEX(ECMData_ECM3[#All],MATCH("Electrical Energy Use [kBTU]",ECMData_Baseline[[#All],[Energy]],0),MATCH("Space Heating",ECMData_Baseline[#Headers],0))</f>
        <v>0</v>
      </c>
      <c r="V9" s="634">
        <f>INDEX(ECMData_ECM3[#All],MATCH("Natural Gas Energy Use [kBTU]",ECMData_Baseline[[#All],[Energy]],0),MATCH("Space Heating",ECMData_Baseline[#Headers],0))</f>
        <v>0</v>
      </c>
      <c r="W9" s="634">
        <f>SUM(ECMData_EndUse[[#This Row],[Space Heating - Elec]:[Space Heating - Gas]])</f>
        <v>0</v>
      </c>
      <c r="X9" s="634">
        <f>INDEX(ECMData_ECM3[#All],MATCH("Electrical Energy Use [kBTU]",ECMData_Baseline[[#All],[Energy]],0),MATCH("Space Cooling",ECMData_Baseline[#Headers],0))</f>
        <v>0</v>
      </c>
      <c r="Y9" s="634">
        <f>INDEX(ECMData_ECM3[#All],MATCH("Natural Gas Energy Use [kBTU]",ECMData_Baseline[[#All],[Energy]],0),MATCH("Space Cooling",ECMData_Baseline[#Headers],0))</f>
        <v>0</v>
      </c>
      <c r="Z9" s="634">
        <f>SUM(ECMData_EndUse[[#This Row],[Space Cooling - Elec]:[Space Cooling - Gas]])</f>
        <v>0</v>
      </c>
      <c r="AA9" s="634">
        <f>INDEX(ECMData_ECM3[#All],MATCH("Electrical Energy Use [kBTU]",ECMData_Baseline[[#All],[Energy]],0),MATCH("Pumps",ECMData_Baseline[#Headers],0))</f>
        <v>0</v>
      </c>
      <c r="AB9" s="634">
        <f>INDEX(ECMData_ECM3[#All],MATCH("Natural Gas Energy Use [kBTU]",ECMData_Baseline[[#All],[Energy]],0),MATCH("Pumps",ECMData_Baseline[#Headers],0))</f>
        <v>0</v>
      </c>
      <c r="AC9" s="634">
        <f>SUM(ECMData_EndUse[[#This Row],[Pumps - Elec]:[Pumps - Gas]])</f>
        <v>0</v>
      </c>
      <c r="AD9" s="634">
        <f>INDEX(ECMData_ECM3[#All],MATCH("Electrical Energy Use [kBTU]",ECMData_Baseline[[#All],[Energy]],0),MATCH("Fans Process",ECMData_Baseline[#Headers],0))</f>
        <v>0</v>
      </c>
      <c r="AE9" s="634">
        <f>INDEX(ECMData_ECM3[#All],MATCH("Natural Gas Energy Use [kBTU]",ECMData_Baseline[[#All],[Energy]],0),MATCH("Fans Process",ECMData_Baseline[#Headers],0))</f>
        <v>0</v>
      </c>
      <c r="AF9" s="634">
        <f>SUM(ECMData_EndUse[[#This Row],[Fans Process - Elec]:[Fans Process - Gas]])</f>
        <v>0</v>
      </c>
      <c r="AG9" s="634">
        <f>INDEX(ECMData_ECM3[#All],MATCH("Electrical Energy Use [kBTU]",ECMData_Baseline[[#All],[Energy]],0),MATCH("Fans Interior",ECMData_Baseline[#Headers],0))</f>
        <v>0</v>
      </c>
      <c r="AH9" s="634">
        <f>INDEX(ECMData_ECM3[#All],MATCH("Natural Gas Energy Use [kBTU]",ECMData_Baseline[[#All],[Energy]],0),MATCH("Fans Interior",ECMData_Baseline[#Headers],0))</f>
        <v>0</v>
      </c>
      <c r="AI9" s="634">
        <f>SUM(ECMData_EndUse[[#This Row],[Fans Interior - Elec]:[Fans Interior - Gas]])</f>
        <v>0</v>
      </c>
      <c r="AJ9" s="634">
        <f>INDEX(ECMData_ECM3[#All],MATCH("Electrical Energy Use [kBTU]",ECMData_Baseline[[#All],[Energy]],0),MATCH("Fans Parking Garage",ECMData_Baseline[#Headers],0))</f>
        <v>0</v>
      </c>
      <c r="AK9" s="634">
        <f>INDEX(ECMData_ECM3[#All],MATCH("Natural Gas Energy Use [kBTU]",ECMData_Baseline[[#All],[Energy]],0),MATCH("Fans Parking Garage",ECMData_Baseline[#Headers],0))</f>
        <v>0</v>
      </c>
      <c r="AL9" s="634">
        <f>SUM(ECMData_EndUse[[#This Row],[Fans Parking Garage - Elec]:[Fans Parking Garage - Gas]])</f>
        <v>0</v>
      </c>
      <c r="AM9" s="634">
        <f>INDEX(ECMData_ECM3[#All],MATCH("Electrical Energy Use [kBTU]",ECMData_Baseline[[#All],[Energy]],0),MATCH("Service Water Heating",ECMData_Baseline[#Headers],0))</f>
        <v>0</v>
      </c>
      <c r="AN9" s="634">
        <f>INDEX(ECMData_ECM3[#All],MATCH("Natural Gas Energy Use [kBTU]",ECMData_Baseline[[#All],[Energy]],0),MATCH("Service Water Heating",ECMData_Baseline[#Headers],0))</f>
        <v>0</v>
      </c>
      <c r="AO9" s="634">
        <f>SUM(ECMData_EndUse[[#This Row],[Service Water Heating - Elec]:[Service Water Heating - Gas]])</f>
        <v>0</v>
      </c>
      <c r="AP9" s="634">
        <f>INDEX(ECMData_ECM3[#All],MATCH("Electrical Energy Use [kBTU]",ECMData_Baseline[[#All],[Energy]],0),MATCH("Receptacle Equipment",ECMData_Baseline[#Headers],0))</f>
        <v>0</v>
      </c>
      <c r="AQ9" s="634">
        <f>INDEX(ECMData_ECM3[#All],MATCH("Natural Gas Energy Use [kBTU]",ECMData_Baseline[[#All],[Energy]],0),MATCH("Receptacle Equipment",ECMData_Baseline[#Headers],0))</f>
        <v>0</v>
      </c>
      <c r="AR9" s="634">
        <f>SUM(ECMData_EndUse[[#This Row],[Receptacle Equipment - Elec]:[Receptacle Equipment - Gas]])</f>
        <v>0</v>
      </c>
      <c r="AS9" s="634">
        <f>INDEX(ECMData_ECM3[#All],MATCH("Electrical Energy Use [kBTU]",ECMData_Baseline[[#All],[Energy]],0),MATCH("Interior Lighting Process",ECMData_Baseline[#Headers],0))</f>
        <v>0</v>
      </c>
      <c r="AT9" s="634">
        <f>INDEX(ECMData_ECM3[#All],MATCH("Natural Gas Energy Use [kBTU]",ECMData_Baseline[[#All],[Energy]],0),MATCH("Interior Lighting Process",ECMData_Baseline[#Headers],0))</f>
        <v>0</v>
      </c>
      <c r="AU9" s="634">
        <f>SUM(ECMData_EndUse[[#This Row],[Interior Lighting Process - Elec]:[Interior Lighting Process - Gas]])</f>
        <v>0</v>
      </c>
      <c r="AV9" s="634">
        <f>INDEX(ECMData_ECM3[#All],MATCH("Electrical Energy Use [kBTU]",ECMData_Baseline[[#All],[Energy]],0),MATCH("Refrigeration",ECMData_Baseline[#Headers],0))</f>
        <v>0</v>
      </c>
      <c r="AW9" s="634">
        <f>INDEX(ECMData_ECM3[#All],MATCH("Natural Gas Energy Use [kBTU]",ECMData_Baseline[[#All],[Energy]],0),MATCH("Refrigeration",ECMData_Baseline[#Headers],0))</f>
        <v>0</v>
      </c>
      <c r="AX9" s="634">
        <f>SUM(ECMData_EndUse[[#This Row],[Refrigeration - Elec]:[Refrigeration - Gas]])</f>
        <v>0</v>
      </c>
      <c r="AY9" s="634">
        <f>INDEX(ECMData_ECM3[#All],MATCH("Electrical Energy Use [kBTU]",ECMData_Baseline[[#All],[Energy]],0),MATCH("Data Centre Equipment",ECMData_Baseline[#Headers],0))</f>
        <v>0</v>
      </c>
      <c r="AZ9" s="634">
        <f>INDEX(ECMData_ECM3[#All],MATCH("Natural Gas Energy Use [kBTU]",ECMData_Baseline[[#All],[Energy]],0),MATCH("Data Centre Equipment",ECMData_Baseline[#Headers],0))</f>
        <v>0</v>
      </c>
      <c r="BA9" s="634">
        <f>SUM(ECMData_EndUse[[#This Row],[Data Centre Equipment - Elec]:[Data Centre Equipment - Gas]])</f>
        <v>0</v>
      </c>
      <c r="BB9" s="634">
        <f>INDEX(ECMData_ECM3[#All],MATCH("Electrical Energy Use [kBTU]",ECMData_Baseline[[#All],[Energy]],0),MATCH("Cooking",ECMData_Baseline[#Headers],0))</f>
        <v>0</v>
      </c>
      <c r="BC9" s="634">
        <f>INDEX(ECMData_ECM3[#All],MATCH("Natural Gas Energy Use [kBTU]",ECMData_Baseline[[#All],[Energy]],0),MATCH("Cooking",ECMData_Baseline[#Headers],0))</f>
        <v>0</v>
      </c>
      <c r="BD9" s="634">
        <f>SUM(ECMData_EndUse[[#This Row],[Cooking - Elec]:[Cooking - Gas]])</f>
        <v>0</v>
      </c>
      <c r="BE9" s="634">
        <f>INDEX(ECMData_ECM3[#All],MATCH("Electrical Energy Use [kBTU]",ECMData_Baseline[[#All],[Energy]],0),MATCH("Elevators/ Escalators",ECMData_Baseline[#Headers],0))</f>
        <v>0</v>
      </c>
      <c r="BF9" s="634">
        <f>INDEX(ECMData_ECM3[#All],MATCH("Natural Gas Energy Use [kBTU]",ECMData_Baseline[[#All],[Energy]],0),MATCH("Elevators/ Escalators",ECMData_Baseline[#Headers],0))</f>
        <v>0</v>
      </c>
      <c r="BG9" s="634">
        <f>SUM(ECMData_EndUse[[#This Row],[Elevators/ Escalators - Elec]:[Elevators/ Escalators - Gas]])</f>
        <v>0</v>
      </c>
      <c r="BH9" s="634">
        <f>INDEX(ECMData_ECM3[#All],MATCH("Electrical Energy Use [kBTU]",ECMData_Baseline[[#All],[Energy]],0),MATCH("Heat Rejection",ECMData_Baseline[#Headers],0))</f>
        <v>0</v>
      </c>
      <c r="BI9" s="634">
        <f>INDEX(ECMData_ECM3[#All],MATCH("Natural Gas Energy Use [kBTU]",ECMData_Baseline[[#All],[Energy]],0),MATCH("Heat Rejection",ECMData_Baseline[#Headers],0))</f>
        <v>0</v>
      </c>
      <c r="BJ9" s="634">
        <f>SUM(ECMData_EndUse[[#This Row],[Heat Rejection - Elec]:[Heat Rejection - Gas]])</f>
        <v>0</v>
      </c>
      <c r="BK9" s="634">
        <f>INDEX(ECMData_ECM3[#All],MATCH("Electrical Energy Use [kBTU]",ECMData_Baseline[[#All],[Energy]],0),MATCH("Combined Heat and Power",ECMData_Baseline[#Headers],0))</f>
        <v>0</v>
      </c>
      <c r="BL9" s="634">
        <f>INDEX(ECMData_ECM3[#All],MATCH("Natural Gas Energy Use [kBTU]",ECMData_Baseline[[#All],[Energy]],0),MATCH("Combined Heat and Power",ECMData_Baseline[#Headers],0))</f>
        <v>0</v>
      </c>
      <c r="BM9" s="634">
        <f>SUM(ECMData_EndUse[[#This Row],[Combined Heat and Power - Elec]:[Combined Heat and Power - Gas]])</f>
        <v>0</v>
      </c>
      <c r="BN9" s="634">
        <f>INDEX(ECMData_ECM3[#All],MATCH("Electrical Energy Use [kBTU]",ECMData_Baseline[[#All],[Energy]],0),MATCH("Humidification",ECMData_Baseline[#Headers],0))</f>
        <v>0</v>
      </c>
      <c r="BO9" s="634">
        <f>INDEX(ECMData_ECM3[#All],MATCH("Natural Gas Energy Use [kBTU]",ECMData_Baseline[[#All],[Energy]],0),MATCH("Humidification",ECMData_Baseline[#Headers],0))</f>
        <v>0</v>
      </c>
      <c r="BP9" s="634">
        <f>SUM(ECMData_EndUse[[#This Row],[Humidification - Elec]:[Humidification - Gas]])</f>
        <v>0</v>
      </c>
      <c r="BQ9" s="634">
        <f>INDEX(ECMData_ECM3[#All],MATCH("Electrical Energy Use [kBTU]",ECMData_Baseline[[#All],[Energy]],0),MATCH("Other Processes",ECMData_Baseline[#Headers],0))</f>
        <v>0</v>
      </c>
      <c r="BR9" s="634">
        <f>INDEX(ECMData_ECM3[#All],MATCH("Natural Gas Energy Use [kBTU]",ECMData_Baseline[[#All],[Energy]],0),MATCH("Other Processes",ECMData_Baseline[#Headers],0))</f>
        <v>0</v>
      </c>
      <c r="BS9" s="634">
        <f>SUM(ECMData_EndUse[[#This Row],[Other Processes - Elec]:[Other Processes - Gas]])</f>
        <v>0</v>
      </c>
      <c r="BT9" s="660"/>
      <c r="BU9" s="660"/>
      <c r="BV9" s="660"/>
      <c r="BW9" s="660"/>
      <c r="BX9" s="660"/>
      <c r="BY9" s="660"/>
      <c r="BZ9" s="660"/>
      <c r="CA9" s="660"/>
      <c r="CB9" s="660"/>
      <c r="CC9" s="660"/>
      <c r="CD9" s="660"/>
      <c r="CE9" s="660"/>
      <c r="CF9" s="660"/>
      <c r="CG9" s="660"/>
      <c r="CH9" s="660"/>
      <c r="CI9" s="660"/>
      <c r="CJ9" s="660"/>
      <c r="CK9" s="660"/>
      <c r="CL9" s="660"/>
      <c r="CM9" s="660"/>
      <c r="CN9" s="660"/>
      <c r="CO9" s="660"/>
      <c r="CP9" s="660"/>
      <c r="CQ9" s="660"/>
      <c r="CR9" s="660"/>
      <c r="CS9" s="660"/>
      <c r="CT9" s="660"/>
      <c r="CU9" s="660"/>
      <c r="CV9" s="660"/>
      <c r="CW9" s="660"/>
      <c r="CX9" s="660"/>
      <c r="CY9" s="660"/>
      <c r="CZ9" s="660"/>
      <c r="DA9" s="660"/>
      <c r="DB9" s="660"/>
      <c r="DC9" s="660"/>
      <c r="DD9" s="660"/>
      <c r="DE9" s="660"/>
      <c r="DF9" s="660"/>
      <c r="DG9" s="660"/>
      <c r="DH9" s="660"/>
      <c r="DI9" s="660"/>
      <c r="DJ9" s="660"/>
      <c r="DK9" s="660"/>
      <c r="DL9" s="660"/>
      <c r="DM9" s="660"/>
      <c r="DN9" s="660"/>
      <c r="DO9" s="660"/>
      <c r="DP9" s="660"/>
      <c r="DQ9" s="660"/>
      <c r="DR9" s="660"/>
      <c r="DS9" s="660"/>
      <c r="DT9" s="660"/>
      <c r="DU9" s="660"/>
      <c r="DV9" s="660"/>
      <c r="DW9" s="660"/>
      <c r="DY9" s="560"/>
      <c r="DZ9" s="560"/>
      <c r="EB9" s="18" t="str">
        <f>ECMData_Summary[[#This Row],[Column1]]</f>
        <v>ECM-3</v>
      </c>
      <c r="EC9" s="590">
        <f ca="1">ECMData_Summary[[#This Row],[Column2]]</f>
        <v>0</v>
      </c>
      <c r="ED9" s="634" cm="1">
        <f t="array" ref="ED9">IFERROR(INDEX('ECM Data'!$A$1:$T$119,MATCH(Table202224[[#This Row],[Column1]],'ECM Data'!$A$1:$A$119,0)+4,MATCH('ECM Reports'!ED$4,'ECM Data'!$A$6:$T$6,0))*ED$2,"")</f>
        <v>0</v>
      </c>
      <c r="EE9" s="634" cm="1">
        <f t="array" ref="EE9">IFERROR(INDEX('ECM Data'!$A$1:$T$119,MATCH(Table202224[[#This Row],[Column1]],'ECM Data'!$A$1:$A$119,0)+4,MATCH('ECM Reports'!EE$4,'ECM Data'!$A$6:$T$6,0))*EE$2,"")</f>
        <v>0</v>
      </c>
      <c r="EF9" s="634" cm="1">
        <f t="array" ref="EF9">IFERROR(INDEX('ECM Data'!$A$1:$T$119,MATCH(Table202224[[#This Row],[Column1]],'ECM Data'!$A$1:$A$119,0)+4,MATCH('ECM Reports'!EF$4,'ECM Data'!$A$6:$T$6,0))*EF$2,"")</f>
        <v>0</v>
      </c>
      <c r="EG9" s="634" cm="1">
        <f t="array" ref="EG9">IFERROR(INDEX('ECM Data'!$A$1:$T$119,MATCH(Table202224[[#This Row],[Column1]],'ECM Data'!$A$1:$A$119,0)+4,MATCH('ECM Reports'!EG$4,'ECM Data'!$A$6:$T$6,0))*EG$2,"")</f>
        <v>0</v>
      </c>
      <c r="EH9" s="634" cm="1">
        <f t="array" ref="EH9">IFERROR(INDEX('ECM Data'!$A$1:$T$119,MATCH(Table202224[[#This Row],[Column1]],'ECM Data'!$A$1:$A$119,0)+4,MATCH('ECM Reports'!EH$4,'ECM Data'!$A$6:$T$6,0))*EH$2,"")</f>
        <v>0</v>
      </c>
      <c r="EI9" s="634" cm="1">
        <f t="array" ref="EI9">IFERROR(INDEX('ECM Data'!$A$1:$T$119,MATCH(Table202224[[#This Row],[Column1]],'ECM Data'!$A$1:$A$119,0)+4,MATCH('ECM Reports'!EI$4,'ECM Data'!$A$6:$T$6,0))*EI$2,"")</f>
        <v>0</v>
      </c>
      <c r="EJ9" s="634" cm="1">
        <f t="array" ref="EJ9">IFERROR(INDEX('ECM Data'!$A$1:$T$119,MATCH(Table202224[[#This Row],[Column1]],'ECM Data'!$A$1:$A$119,0)+4,MATCH('ECM Reports'!EJ$4,'ECM Data'!$A$6:$T$6,0))*EJ$2,"")</f>
        <v>0</v>
      </c>
      <c r="EK9" s="634" cm="1">
        <f t="array" ref="EK9">IFERROR(INDEX('ECM Data'!$A$1:$T$119,MATCH(Table202224[[#This Row],[Column1]],'ECM Data'!$A$1:$A$119,0)+4,MATCH('ECM Reports'!EK$4,'ECM Data'!$A$6:$T$6,0))*EK$2,"")</f>
        <v>0</v>
      </c>
      <c r="EL9" s="634" cm="1">
        <f t="array" ref="EL9">IFERROR(INDEX('ECM Data'!$A$1:$T$119,MATCH(Table202224[[#This Row],[Column1]],'ECM Data'!$A$1:$A$119,0)+4,MATCH('ECM Reports'!EL$4,'ECM Data'!$A$6:$T$6,0))*EL$2,"")</f>
        <v>0</v>
      </c>
      <c r="EM9" s="634" cm="1">
        <f t="array" ref="EM9">IFERROR(INDEX('ECM Data'!$A$1:$T$119,MATCH(Table202224[[#This Row],[Column1]],'ECM Data'!$A$1:$A$119,0)+4,MATCH('ECM Reports'!EM$4,'ECM Data'!$A$6:$T$6,0))*EM$2,"")</f>
        <v>0</v>
      </c>
      <c r="EN9" s="634" cm="1">
        <f t="array" ref="EN9">IFERROR(INDEX('ECM Data'!$A$1:$T$119,MATCH(Table202224[[#This Row],[Column1]],'ECM Data'!$A$1:$A$119,0)+4,MATCH('ECM Reports'!EN$4,'ECM Data'!$A$6:$T$6,0))*EN$2,"")</f>
        <v>0</v>
      </c>
      <c r="EO9" s="634" cm="1">
        <f t="array" ref="EO9">IFERROR(INDEX('ECM Data'!$A$1:$T$119,MATCH(Table202224[[#This Row],[Column1]],'ECM Data'!$A$1:$A$119,0)+4,MATCH('ECM Reports'!EO$4,'ECM Data'!$A$6:$T$6,0))*EO$2,"")</f>
        <v>0</v>
      </c>
      <c r="EP9" s="634" cm="1">
        <f t="array" ref="EP9">IFERROR(INDEX('ECM Data'!$A$1:$T$119,MATCH(Table202224[[#This Row],[Column1]],'ECM Data'!$A$1:$A$119,0)+4,MATCH('ECM Reports'!EP$4,'ECM Data'!$A$6:$T$6,0))*EP$2,"")</f>
        <v>0</v>
      </c>
      <c r="EQ9" s="634" cm="1">
        <f t="array" ref="EQ9">IFERROR(INDEX('ECM Data'!$A$1:$T$119,MATCH(Table202224[[#This Row],[Column1]],'ECM Data'!$A$1:$A$119,0)+4,MATCH('ECM Reports'!EQ$4,'ECM Data'!$A$6:$T$6,0))*EQ$2,"")</f>
        <v>0</v>
      </c>
      <c r="ER9" s="634" cm="1">
        <f t="array" ref="ER9">IFERROR(INDEX('ECM Data'!$A$1:$T$119,MATCH(Table202224[[#This Row],[Column1]],'ECM Data'!$A$1:$A$119,0)+4,MATCH('ECM Reports'!ER$4,'ECM Data'!$A$6:$T$6,0))*ER$2,"")</f>
        <v>0</v>
      </c>
      <c r="ES9" s="634" cm="1">
        <f t="array" ref="ES9">IFERROR(INDEX('ECM Data'!$A$1:$T$119,MATCH(Table202224[[#This Row],[Column1]],'ECM Data'!$A$1:$A$119,0)+4,MATCH('ECM Reports'!ES$4,'ECM Data'!$A$6:$T$6,0))*ES$2,"")</f>
        <v>0</v>
      </c>
      <c r="ET9" s="634" cm="1">
        <f t="array" ref="ET9">IFERROR(INDEX('ECM Data'!$A$1:$T$119,MATCH(Table202224[[#This Row],[Column1]],'ECM Data'!$A$1:$A$119,0)+4,MATCH('ECM Reports'!ET$4,'ECM Data'!$A$6:$T$6,0))*ET$2,"")</f>
        <v>0</v>
      </c>
      <c r="EU9" s="634" cm="1">
        <f t="array" ref="EU9">IFERROR(INDEX('ECM Data'!$A$1:$T$119,MATCH(Table202224[[#This Row],[Column1]],'ECM Data'!$A$1:$A$119,0)+4,MATCH('ECM Reports'!EU$4,'ECM Data'!$A$6:$T$6,0))*EU$2,"")</f>
        <v>0</v>
      </c>
      <c r="EV9" s="634" cm="1">
        <f t="array" ref="EV9">IFERROR(INDEX('ECM Data'!$A$1:$T$119,MATCH(Table202224[[#This Row],[Column1]],'ECM Data'!$A$1:$A$119,0)+4,MATCH('ECM Reports'!EV$4,'ECM Data'!$A$6:$T$6,0))*EV$2,"")</f>
        <v>0</v>
      </c>
      <c r="EW9" s="635">
        <f>SUM(Table202224[[#This Row],[Column3]:[Column22]])</f>
        <v>0</v>
      </c>
    </row>
    <row r="10" spans="1:153" x14ac:dyDescent="0.25">
      <c r="A10" s="19" t="s">
        <v>880</v>
      </c>
      <c r="B10" s="590">
        <f ca="1">OFFSET('ECM Data'!$A$1,MATCH('ECM Reports'!$A10,'ECM Data'!$A:$A,0)-1,1)</f>
        <v>0</v>
      </c>
      <c r="C10" s="20">
        <f ca="1">OFFSET('ECM Data'!$A$1,MATCH('ECM Reports'!$A10,'ECM Data'!$A:$A,0)+6,1)</f>
        <v>0</v>
      </c>
      <c r="D10" s="20">
        <f ca="1">OFFSET('ECM Data'!$A$1,MATCH('ECM Reports'!$A10,'ECM Data'!$A:$A,0)+7,1)</f>
        <v>0</v>
      </c>
      <c r="E10" s="20">
        <f ca="1">OFFSET('ECM Data'!$A$1,MATCH('ECM Reports'!$A10,'ECM Data'!$A:$A,0)+8,1)</f>
        <v>0</v>
      </c>
      <c r="F10" s="506" t="str">
        <f ca="1">IFERROR(ECMData_Summary[[#This Row],[Column5]]/SUM(MasterRoomList_SpaceTypeTable[Area (sf)]),"")</f>
        <v/>
      </c>
      <c r="G10" s="663">
        <f ca="1">OFFSET('ECM Data'!$A$1,MATCH('ECM Reports'!$A10,'ECM Data'!$A:$A,0)+6,3)</f>
        <v>0</v>
      </c>
      <c r="H10" s="663">
        <f ca="1">OFFSET('ECM Data'!$A$1,MATCH('ECM Reports'!$A10,'ECM Data'!$A:$A,0)+7,3)</f>
        <v>0</v>
      </c>
      <c r="I10" s="663">
        <f ca="1">OFFSET('ECM Data'!$A$1,MATCH('ECM Reports'!$A10,'ECM Data'!$A:$A,0)+8,3)</f>
        <v>0</v>
      </c>
      <c r="J10" s="505" t="str">
        <f ca="1">IFERROR(1-ECMData_Summary[[#This Row],[Column5]]/$E$6,"")</f>
        <v/>
      </c>
      <c r="K10" s="505" t="str">
        <f ca="1">IFERROR(1-ECMData_Summary[[#This Row],[Column8]]/$I$6,"")</f>
        <v/>
      </c>
      <c r="M10" s="19" t="str">
        <f>ECMData_Summary[[#This Row],[Column1]]</f>
        <v>ECM-4</v>
      </c>
      <c r="N10" s="590">
        <f ca="1">ECMData_Summary[[#This Row],[Column2]]</f>
        <v>0</v>
      </c>
      <c r="O10" s="634">
        <f>INDEX(ECMData_ECM4[#All],MATCH("Electrical Energy Use [kBTU]",ECMData_Baseline[[#All],[Energy]],0),MATCH("Internal Lighting",ECMData_Baseline[#Headers],0))</f>
        <v>0</v>
      </c>
      <c r="P10" s="634">
        <f>INDEX(ECMData_ECM4[#All],MATCH("Natural Gas Energy Use [kBTU]",ECMData_Baseline[[#All],[Energy]],0),MATCH("Internal Lighting",ECMData_Baseline[#Headers],0))</f>
        <v>0</v>
      </c>
      <c r="Q10" s="634">
        <f>SUM(ECMData_EndUse[[#This Row],[Internal Lighitng - Elec]:[Internal Lighting - Gas]])</f>
        <v>0</v>
      </c>
      <c r="R10" s="634">
        <f>INDEX(ECMData_ECM4[#All],MATCH("Electrical Energy Use [kBTU]",ECMData_Baseline[[#All],[Energy]],0),MATCH("Internal Lighting",ECMData_Baseline[#Headers],0))</f>
        <v>0</v>
      </c>
      <c r="S10" s="634">
        <f>INDEX(ECMData_ECM4[#All],MATCH("Natural Gas Energy Use [kBTU]",ECMData_Baseline[[#All],[Energy]],0),MATCH("Internal Lighting",ECMData_Baseline[#Headers],0))</f>
        <v>0</v>
      </c>
      <c r="T10" s="634">
        <f>SUM(ECMData_EndUse[[#This Row],[External Lighting - Elec]:[External Lighting - Gas]])</f>
        <v>0</v>
      </c>
      <c r="U10" s="634">
        <f>INDEX(ECMData_ECM4[#All],MATCH("Electrical Energy Use [kBTU]",ECMData_Baseline[[#All],[Energy]],0),MATCH("Space Heating",ECMData_Baseline[#Headers],0))</f>
        <v>0</v>
      </c>
      <c r="V10" s="634">
        <f>INDEX(ECMData_ECM4[#All],MATCH("Natural Gas Energy Use [kBTU]",ECMData_Baseline[[#All],[Energy]],0),MATCH("Space Heating",ECMData_Baseline[#Headers],0))</f>
        <v>0</v>
      </c>
      <c r="W10" s="634">
        <f>SUM(ECMData_EndUse[[#This Row],[Space Heating - Elec]:[Space Heating - Gas]])</f>
        <v>0</v>
      </c>
      <c r="X10" s="634">
        <f>INDEX(ECMData_ECM4[#All],MATCH("Electrical Energy Use [kBTU]",ECMData_Baseline[[#All],[Energy]],0),MATCH("Space Cooling",ECMData_Baseline[#Headers],0))</f>
        <v>0</v>
      </c>
      <c r="Y10" s="634">
        <f>INDEX(ECMData_ECM4[#All],MATCH("Natural Gas Energy Use [kBTU]",ECMData_Baseline[[#All],[Energy]],0),MATCH("Space Cooling",ECMData_Baseline[#Headers],0))</f>
        <v>0</v>
      </c>
      <c r="Z10" s="634">
        <f>SUM(ECMData_EndUse[[#This Row],[Space Cooling - Elec]:[Space Cooling - Gas]])</f>
        <v>0</v>
      </c>
      <c r="AA10" s="634">
        <f>INDEX(ECMData_ECM4[#All],MATCH("Electrical Energy Use [kBTU]",ECMData_Baseline[[#All],[Energy]],0),MATCH("Pumps",ECMData_Baseline[#Headers],0))</f>
        <v>0</v>
      </c>
      <c r="AB10" s="634">
        <f>INDEX(ECMData_ECM4[#All],MATCH("Natural Gas Energy Use [kBTU]",ECMData_Baseline[[#All],[Energy]],0),MATCH("Pumps",ECMData_Baseline[#Headers],0))</f>
        <v>0</v>
      </c>
      <c r="AC10" s="634">
        <f>SUM(ECMData_EndUse[[#This Row],[Pumps - Elec]:[Pumps - Gas]])</f>
        <v>0</v>
      </c>
      <c r="AD10" s="634">
        <f>INDEX(ECMData_ECM4[#All],MATCH("Electrical Energy Use [kBTU]",ECMData_Baseline[[#All],[Energy]],0),MATCH("Fans Process",ECMData_Baseline[#Headers],0))</f>
        <v>0</v>
      </c>
      <c r="AE10" s="634">
        <f>INDEX(ECMData_ECM4[#All],MATCH("Natural Gas Energy Use [kBTU]",ECMData_Baseline[[#All],[Energy]],0),MATCH("Fans Process",ECMData_Baseline[#Headers],0))</f>
        <v>0</v>
      </c>
      <c r="AF10" s="634">
        <f>SUM(ECMData_EndUse[[#This Row],[Fans Process - Elec]:[Fans Process - Gas]])</f>
        <v>0</v>
      </c>
      <c r="AG10" s="634">
        <f>INDEX(ECMData_ECM4[#All],MATCH("Electrical Energy Use [kBTU]",ECMData_Baseline[[#All],[Energy]],0),MATCH("Fans Interior",ECMData_Baseline[#Headers],0))</f>
        <v>0</v>
      </c>
      <c r="AH10" s="634">
        <f>INDEX(ECMData_ECM4[#All],MATCH("Natural Gas Energy Use [kBTU]",ECMData_Baseline[[#All],[Energy]],0),MATCH("Fans Interior",ECMData_Baseline[#Headers],0))</f>
        <v>0</v>
      </c>
      <c r="AI10" s="634">
        <f>SUM(ECMData_EndUse[[#This Row],[Fans Interior - Elec]:[Fans Interior - Gas]])</f>
        <v>0</v>
      </c>
      <c r="AJ10" s="634">
        <f>INDEX(ECMData_ECM4[#All],MATCH("Electrical Energy Use [kBTU]",ECMData_Baseline[[#All],[Energy]],0),MATCH("Fans Parking Garage",ECMData_Baseline[#Headers],0))</f>
        <v>0</v>
      </c>
      <c r="AK10" s="634">
        <f>INDEX(ECMData_ECM4[#All],MATCH("Natural Gas Energy Use [kBTU]",ECMData_Baseline[[#All],[Energy]],0),MATCH("Fans Parking Garage",ECMData_Baseline[#Headers],0))</f>
        <v>0</v>
      </c>
      <c r="AL10" s="634">
        <f>SUM(ECMData_EndUse[[#This Row],[Fans Parking Garage - Elec]:[Fans Parking Garage - Gas]])</f>
        <v>0</v>
      </c>
      <c r="AM10" s="634">
        <f>INDEX(ECMData_ECM4[#All],MATCH("Electrical Energy Use [kBTU]",ECMData_Baseline[[#All],[Energy]],0),MATCH("Service Water Heating",ECMData_Baseline[#Headers],0))</f>
        <v>0</v>
      </c>
      <c r="AN10" s="634">
        <f>INDEX(ECMData_ECM4[#All],MATCH("Natural Gas Energy Use [kBTU]",ECMData_Baseline[[#All],[Energy]],0),MATCH("Service Water Heating",ECMData_Baseline[#Headers],0))</f>
        <v>0</v>
      </c>
      <c r="AO10" s="634">
        <f>SUM(ECMData_EndUse[[#This Row],[Service Water Heating - Elec]:[Service Water Heating - Gas]])</f>
        <v>0</v>
      </c>
      <c r="AP10" s="634">
        <f>INDEX(ECMData_ECM4[#All],MATCH("Electrical Energy Use [kBTU]",ECMData_Baseline[[#All],[Energy]],0),MATCH("Receptacle Equipment",ECMData_Baseline[#Headers],0))</f>
        <v>0</v>
      </c>
      <c r="AQ10" s="634">
        <f>INDEX(ECMData_ECM4[#All],MATCH("Natural Gas Energy Use [kBTU]",ECMData_Baseline[[#All],[Energy]],0),MATCH("Receptacle Equipment",ECMData_Baseline[#Headers],0))</f>
        <v>0</v>
      </c>
      <c r="AR10" s="634">
        <f>SUM(ECMData_EndUse[[#This Row],[Receptacle Equipment - Elec]:[Receptacle Equipment - Gas]])</f>
        <v>0</v>
      </c>
      <c r="AS10" s="634">
        <f>INDEX(ECMData_ECM4[#All],MATCH("Electrical Energy Use [kBTU]",ECMData_Baseline[[#All],[Energy]],0),MATCH("Interior Lighting Process",ECMData_Baseline[#Headers],0))</f>
        <v>0</v>
      </c>
      <c r="AT10" s="634">
        <f>INDEX(ECMData_ECM4[#All],MATCH("Natural Gas Energy Use [kBTU]",ECMData_Baseline[[#All],[Energy]],0),MATCH("Interior Lighting Process",ECMData_Baseline[#Headers],0))</f>
        <v>0</v>
      </c>
      <c r="AU10" s="634">
        <f>SUM(ECMData_EndUse[[#This Row],[Interior Lighting Process - Elec]:[Interior Lighting Process - Gas]])</f>
        <v>0</v>
      </c>
      <c r="AV10" s="634">
        <f>INDEX(ECMData_ECM4[#All],MATCH("Electrical Energy Use [kBTU]",ECMData_Baseline[[#All],[Energy]],0),MATCH("Refrigeration",ECMData_Baseline[#Headers],0))</f>
        <v>0</v>
      </c>
      <c r="AW10" s="634">
        <f>INDEX(ECMData_ECM4[#All],MATCH("Natural Gas Energy Use [kBTU]",ECMData_Baseline[[#All],[Energy]],0),MATCH("Refrigeration",ECMData_Baseline[#Headers],0))</f>
        <v>0</v>
      </c>
      <c r="AX10" s="634">
        <f>SUM(ECMData_EndUse[[#This Row],[Refrigeration - Elec]:[Refrigeration - Gas]])</f>
        <v>0</v>
      </c>
      <c r="AY10" s="634">
        <f>INDEX(ECMData_ECM4[#All],MATCH("Electrical Energy Use [kBTU]",ECMData_Baseline[[#All],[Energy]],0),MATCH("Data Centre Equipment",ECMData_Baseline[#Headers],0))</f>
        <v>0</v>
      </c>
      <c r="AZ10" s="634">
        <f>INDEX(ECMData_ECM4[#All],MATCH("Natural Gas Energy Use [kBTU]",ECMData_Baseline[[#All],[Energy]],0),MATCH("Data Centre Equipment",ECMData_Baseline[#Headers],0))</f>
        <v>0</v>
      </c>
      <c r="BA10" s="634">
        <f>SUM(ECMData_EndUse[[#This Row],[Data Centre Equipment - Elec]:[Data Centre Equipment - Gas]])</f>
        <v>0</v>
      </c>
      <c r="BB10" s="634">
        <f>INDEX(ECMData_ECM4[#All],MATCH("Electrical Energy Use [kBTU]",ECMData_Baseline[[#All],[Energy]],0),MATCH("Cooking",ECMData_Baseline[#Headers],0))</f>
        <v>0</v>
      </c>
      <c r="BC10" s="634">
        <f>INDEX(ECMData_ECM4[#All],MATCH("Natural Gas Energy Use [kBTU]",ECMData_Baseline[[#All],[Energy]],0),MATCH("Cooking",ECMData_Baseline[#Headers],0))</f>
        <v>0</v>
      </c>
      <c r="BD10" s="634">
        <f>SUM(ECMData_EndUse[[#This Row],[Cooking - Elec]:[Cooking - Gas]])</f>
        <v>0</v>
      </c>
      <c r="BE10" s="634">
        <f>INDEX(ECMData_ECM4[#All],MATCH("Electrical Energy Use [kBTU]",ECMData_Baseline[[#All],[Energy]],0),MATCH("Elevators/ Escalators",ECMData_Baseline[#Headers],0))</f>
        <v>0</v>
      </c>
      <c r="BF10" s="634">
        <f>INDEX(ECMData_ECM4[#All],MATCH("Natural Gas Energy Use [kBTU]",ECMData_Baseline[[#All],[Energy]],0),MATCH("Elevators/ Escalators",ECMData_Baseline[#Headers],0))</f>
        <v>0</v>
      </c>
      <c r="BG10" s="634">
        <f>SUM(ECMData_EndUse[[#This Row],[Elevators/ Escalators - Elec]:[Elevators/ Escalators - Gas]])</f>
        <v>0</v>
      </c>
      <c r="BH10" s="634">
        <f>INDEX(ECMData_ECM4[#All],MATCH("Electrical Energy Use [kBTU]",ECMData_Baseline[[#All],[Energy]],0),MATCH("Heat Rejection",ECMData_Baseline[#Headers],0))</f>
        <v>0</v>
      </c>
      <c r="BI10" s="634">
        <f>INDEX(ECMData_ECM4[#All],MATCH("Natural Gas Energy Use [kBTU]",ECMData_Baseline[[#All],[Energy]],0),MATCH("Heat Rejection",ECMData_Baseline[#Headers],0))</f>
        <v>0</v>
      </c>
      <c r="BJ10" s="634">
        <f>SUM(ECMData_EndUse[[#This Row],[Heat Rejection - Elec]:[Heat Rejection - Gas]])</f>
        <v>0</v>
      </c>
      <c r="BK10" s="634">
        <f>INDEX(ECMData_ECM4[#All],MATCH("Electrical Energy Use [kBTU]",ECMData_Baseline[[#All],[Energy]],0),MATCH("Combined Heat and Power",ECMData_Baseline[#Headers],0))</f>
        <v>0</v>
      </c>
      <c r="BL10" s="634">
        <f>INDEX(ECMData_ECM4[#All],MATCH("Natural Gas Energy Use [kBTU]",ECMData_Baseline[[#All],[Energy]],0),MATCH("Combined Heat and Power",ECMData_Baseline[#Headers],0))</f>
        <v>0</v>
      </c>
      <c r="BM10" s="634">
        <f>SUM(ECMData_EndUse[[#This Row],[Combined Heat and Power - Elec]:[Combined Heat and Power - Gas]])</f>
        <v>0</v>
      </c>
      <c r="BN10" s="634">
        <f>INDEX(ECMData_ECM4[#All],MATCH("Electrical Energy Use [kBTU]",ECMData_Baseline[[#All],[Energy]],0),MATCH("Humidification",ECMData_Baseline[#Headers],0))</f>
        <v>0</v>
      </c>
      <c r="BO10" s="634">
        <f>INDEX(ECMData_ECM4[#All],MATCH("Natural Gas Energy Use [kBTU]",ECMData_Baseline[[#All],[Energy]],0),MATCH("Humidification",ECMData_Baseline[#Headers],0))</f>
        <v>0</v>
      </c>
      <c r="BP10" s="634">
        <f>SUM(ECMData_EndUse[[#This Row],[Humidification - Elec]:[Humidification - Gas]])</f>
        <v>0</v>
      </c>
      <c r="BQ10" s="634">
        <f>INDEX(ECMData_ECM4[#All],MATCH("Electrical Energy Use [kBTU]",ECMData_Baseline[[#All],[Energy]],0),MATCH("Other Processes",ECMData_Baseline[#Headers],0))</f>
        <v>0</v>
      </c>
      <c r="BR10" s="634">
        <f>INDEX(ECMData_ECM4[#All],MATCH("Natural Gas Energy Use [kBTU]",ECMData_Baseline[[#All],[Energy]],0),MATCH("Other Processes",ECMData_Baseline[#Headers],0))</f>
        <v>0</v>
      </c>
      <c r="BS10" s="634">
        <f>SUM(ECMData_EndUse[[#This Row],[Other Processes - Elec]:[Other Processes - Gas]])</f>
        <v>0</v>
      </c>
      <c r="BT10" s="660"/>
      <c r="BU10" s="660"/>
      <c r="BV10" s="660"/>
      <c r="BW10" s="660"/>
      <c r="BX10" s="660"/>
      <c r="BY10" s="660"/>
      <c r="BZ10" s="660"/>
      <c r="CA10" s="660"/>
      <c r="CB10" s="660"/>
      <c r="CC10" s="660"/>
      <c r="CD10" s="660"/>
      <c r="CE10" s="660"/>
      <c r="CF10" s="660"/>
      <c r="CG10" s="660"/>
      <c r="CH10" s="660"/>
      <c r="CI10" s="660"/>
      <c r="CJ10" s="660"/>
      <c r="CK10" s="660"/>
      <c r="CL10" s="660"/>
      <c r="CM10" s="660"/>
      <c r="CN10" s="660"/>
      <c r="CO10" s="660"/>
      <c r="CP10" s="660"/>
      <c r="CQ10" s="660"/>
      <c r="CR10" s="660"/>
      <c r="CS10" s="660"/>
      <c r="CT10" s="660"/>
      <c r="CU10" s="660"/>
      <c r="CV10" s="660"/>
      <c r="CW10" s="660"/>
      <c r="CX10" s="660"/>
      <c r="CY10" s="660"/>
      <c r="CZ10" s="660"/>
      <c r="DA10" s="660"/>
      <c r="DB10" s="660"/>
      <c r="DC10" s="660"/>
      <c r="DD10" s="660"/>
      <c r="DE10" s="660"/>
      <c r="DF10" s="660"/>
      <c r="DG10" s="660"/>
      <c r="DH10" s="660"/>
      <c r="DI10" s="660"/>
      <c r="DJ10" s="660"/>
      <c r="DK10" s="660"/>
      <c r="DL10" s="660"/>
      <c r="DM10" s="660"/>
      <c r="DN10" s="660"/>
      <c r="DO10" s="660"/>
      <c r="DP10" s="660"/>
      <c r="DQ10" s="660"/>
      <c r="DR10" s="660"/>
      <c r="DS10" s="660"/>
      <c r="DT10" s="660"/>
      <c r="DU10" s="660"/>
      <c r="DV10" s="660"/>
      <c r="DW10" s="660"/>
      <c r="DY10" s="560"/>
      <c r="DZ10" s="560"/>
      <c r="EB10" s="18" t="str">
        <f>ECMData_Summary[[#This Row],[Column1]]</f>
        <v>ECM-4</v>
      </c>
      <c r="EC10" s="590">
        <f ca="1">ECMData_Summary[[#This Row],[Column2]]</f>
        <v>0</v>
      </c>
      <c r="ED10" s="634" cm="1">
        <f t="array" ref="ED10">IFERROR(INDEX('ECM Data'!$A$1:$T$119,MATCH(Table202224[[#This Row],[Column1]],'ECM Data'!$A$1:$A$119,0)+4,MATCH('ECM Reports'!ED$4,'ECM Data'!$A$6:$T$6,0))*ED$2,"")</f>
        <v>0</v>
      </c>
      <c r="EE10" s="634" cm="1">
        <f t="array" ref="EE10">IFERROR(INDEX('ECM Data'!$A$1:$T$119,MATCH(Table202224[[#This Row],[Column1]],'ECM Data'!$A$1:$A$119,0)+4,MATCH('ECM Reports'!EE$4,'ECM Data'!$A$6:$T$6,0))*EE$2,"")</f>
        <v>0</v>
      </c>
      <c r="EF10" s="634" cm="1">
        <f t="array" ref="EF10">IFERROR(INDEX('ECM Data'!$A$1:$T$119,MATCH(Table202224[[#This Row],[Column1]],'ECM Data'!$A$1:$A$119,0)+4,MATCH('ECM Reports'!EF$4,'ECM Data'!$A$6:$T$6,0))*EF$2,"")</f>
        <v>0</v>
      </c>
      <c r="EG10" s="634" cm="1">
        <f t="array" ref="EG10">IFERROR(INDEX('ECM Data'!$A$1:$T$119,MATCH(Table202224[[#This Row],[Column1]],'ECM Data'!$A$1:$A$119,0)+4,MATCH('ECM Reports'!EG$4,'ECM Data'!$A$6:$T$6,0))*EG$2,"")</f>
        <v>0</v>
      </c>
      <c r="EH10" s="634" cm="1">
        <f t="array" ref="EH10">IFERROR(INDEX('ECM Data'!$A$1:$T$119,MATCH(Table202224[[#This Row],[Column1]],'ECM Data'!$A$1:$A$119,0)+4,MATCH('ECM Reports'!EH$4,'ECM Data'!$A$6:$T$6,0))*EH$2,"")</f>
        <v>0</v>
      </c>
      <c r="EI10" s="634" cm="1">
        <f t="array" ref="EI10">IFERROR(INDEX('ECM Data'!$A$1:$T$119,MATCH(Table202224[[#This Row],[Column1]],'ECM Data'!$A$1:$A$119,0)+4,MATCH('ECM Reports'!EI$4,'ECM Data'!$A$6:$T$6,0))*EI$2,"")</f>
        <v>0</v>
      </c>
      <c r="EJ10" s="634" cm="1">
        <f t="array" ref="EJ10">IFERROR(INDEX('ECM Data'!$A$1:$T$119,MATCH(Table202224[[#This Row],[Column1]],'ECM Data'!$A$1:$A$119,0)+4,MATCH('ECM Reports'!EJ$4,'ECM Data'!$A$6:$T$6,0))*EJ$2,"")</f>
        <v>0</v>
      </c>
      <c r="EK10" s="634" cm="1">
        <f t="array" ref="EK10">IFERROR(INDEX('ECM Data'!$A$1:$T$119,MATCH(Table202224[[#This Row],[Column1]],'ECM Data'!$A$1:$A$119,0)+4,MATCH('ECM Reports'!EK$4,'ECM Data'!$A$6:$T$6,0))*EK$2,"")</f>
        <v>0</v>
      </c>
      <c r="EL10" s="634" cm="1">
        <f t="array" ref="EL10">IFERROR(INDEX('ECM Data'!$A$1:$T$119,MATCH(Table202224[[#This Row],[Column1]],'ECM Data'!$A$1:$A$119,0)+4,MATCH('ECM Reports'!EL$4,'ECM Data'!$A$6:$T$6,0))*EL$2,"")</f>
        <v>0</v>
      </c>
      <c r="EM10" s="634" cm="1">
        <f t="array" ref="EM10">IFERROR(INDEX('ECM Data'!$A$1:$T$119,MATCH(Table202224[[#This Row],[Column1]],'ECM Data'!$A$1:$A$119,0)+4,MATCH('ECM Reports'!EM$4,'ECM Data'!$A$6:$T$6,0))*EM$2,"")</f>
        <v>0</v>
      </c>
      <c r="EN10" s="634" cm="1">
        <f t="array" ref="EN10">IFERROR(INDEX('ECM Data'!$A$1:$T$119,MATCH(Table202224[[#This Row],[Column1]],'ECM Data'!$A$1:$A$119,0)+4,MATCH('ECM Reports'!EN$4,'ECM Data'!$A$6:$T$6,0))*EN$2,"")</f>
        <v>0</v>
      </c>
      <c r="EO10" s="634" cm="1">
        <f t="array" ref="EO10">IFERROR(INDEX('ECM Data'!$A$1:$T$119,MATCH(Table202224[[#This Row],[Column1]],'ECM Data'!$A$1:$A$119,0)+4,MATCH('ECM Reports'!EO$4,'ECM Data'!$A$6:$T$6,0))*EO$2,"")</f>
        <v>0</v>
      </c>
      <c r="EP10" s="634" cm="1">
        <f t="array" ref="EP10">IFERROR(INDEX('ECM Data'!$A$1:$T$119,MATCH(Table202224[[#This Row],[Column1]],'ECM Data'!$A$1:$A$119,0)+4,MATCH('ECM Reports'!EP$4,'ECM Data'!$A$6:$T$6,0))*EP$2,"")</f>
        <v>0</v>
      </c>
      <c r="EQ10" s="634" cm="1">
        <f t="array" ref="EQ10">IFERROR(INDEX('ECM Data'!$A$1:$T$119,MATCH(Table202224[[#This Row],[Column1]],'ECM Data'!$A$1:$A$119,0)+4,MATCH('ECM Reports'!EQ$4,'ECM Data'!$A$6:$T$6,0))*EQ$2,"")</f>
        <v>0</v>
      </c>
      <c r="ER10" s="634" cm="1">
        <f t="array" ref="ER10">IFERROR(INDEX('ECM Data'!$A$1:$T$119,MATCH(Table202224[[#This Row],[Column1]],'ECM Data'!$A$1:$A$119,0)+4,MATCH('ECM Reports'!ER$4,'ECM Data'!$A$6:$T$6,0))*ER$2,"")</f>
        <v>0</v>
      </c>
      <c r="ES10" s="634" cm="1">
        <f t="array" ref="ES10">IFERROR(INDEX('ECM Data'!$A$1:$T$119,MATCH(Table202224[[#This Row],[Column1]],'ECM Data'!$A$1:$A$119,0)+4,MATCH('ECM Reports'!ES$4,'ECM Data'!$A$6:$T$6,0))*ES$2,"")</f>
        <v>0</v>
      </c>
      <c r="ET10" s="634" cm="1">
        <f t="array" ref="ET10">IFERROR(INDEX('ECM Data'!$A$1:$T$119,MATCH(Table202224[[#This Row],[Column1]],'ECM Data'!$A$1:$A$119,0)+4,MATCH('ECM Reports'!ET$4,'ECM Data'!$A$6:$T$6,0))*ET$2,"")</f>
        <v>0</v>
      </c>
      <c r="EU10" s="634" cm="1">
        <f t="array" ref="EU10">IFERROR(INDEX('ECM Data'!$A$1:$T$119,MATCH(Table202224[[#This Row],[Column1]],'ECM Data'!$A$1:$A$119,0)+4,MATCH('ECM Reports'!EU$4,'ECM Data'!$A$6:$T$6,0))*EU$2,"")</f>
        <v>0</v>
      </c>
      <c r="EV10" s="634" cm="1">
        <f t="array" ref="EV10">IFERROR(INDEX('ECM Data'!$A$1:$T$119,MATCH(Table202224[[#This Row],[Column1]],'ECM Data'!$A$1:$A$119,0)+4,MATCH('ECM Reports'!EV$4,'ECM Data'!$A$6:$T$6,0))*EV$2,"")</f>
        <v>0</v>
      </c>
      <c r="EW10" s="635">
        <f>SUM(Table202224[[#This Row],[Column3]:[Column22]])</f>
        <v>0</v>
      </c>
    </row>
    <row r="11" spans="1:153" x14ac:dyDescent="0.25">
      <c r="A11" s="19" t="s">
        <v>881</v>
      </c>
      <c r="B11" s="590">
        <f ca="1">OFFSET('ECM Data'!$A$1,MATCH('ECM Reports'!$A11,'ECM Data'!$A:$A,0)-1,1)</f>
        <v>0</v>
      </c>
      <c r="C11" s="20">
        <f ca="1">OFFSET('ECM Data'!$A$1,MATCH('ECM Reports'!$A11,'ECM Data'!$A:$A,0)+6,1)</f>
        <v>0</v>
      </c>
      <c r="D11" s="20">
        <f ca="1">OFFSET('ECM Data'!$A$1,MATCH('ECM Reports'!$A11,'ECM Data'!$A:$A,0)+7,1)</f>
        <v>0</v>
      </c>
      <c r="E11" s="20">
        <f ca="1">OFFSET('ECM Data'!$A$1,MATCH('ECM Reports'!$A11,'ECM Data'!$A:$A,0)+8,1)</f>
        <v>0</v>
      </c>
      <c r="F11" s="506" t="str">
        <f ca="1">IFERROR(ECMData_Summary[[#This Row],[Column5]]/SUM(MasterRoomList_SpaceTypeTable[Area (sf)]),"")</f>
        <v/>
      </c>
      <c r="G11" s="663">
        <f ca="1">OFFSET('ECM Data'!$A$1,MATCH('ECM Reports'!$A11,'ECM Data'!$A:$A,0)+6,3)</f>
        <v>0</v>
      </c>
      <c r="H11" s="663">
        <f ca="1">OFFSET('ECM Data'!$A$1,MATCH('ECM Reports'!$A11,'ECM Data'!$A:$A,0)+7,3)</f>
        <v>0</v>
      </c>
      <c r="I11" s="663">
        <f ca="1">OFFSET('ECM Data'!$A$1,MATCH('ECM Reports'!$A11,'ECM Data'!$A:$A,0)+8,3)</f>
        <v>0</v>
      </c>
      <c r="J11" s="505" t="str">
        <f ca="1">IFERROR(1-ECMData_Summary[[#This Row],[Column5]]/$E$6,"")</f>
        <v/>
      </c>
      <c r="K11" s="505" t="str">
        <f ca="1">IFERROR(1-ECMData_Summary[[#This Row],[Column8]]/$I$6,"")</f>
        <v/>
      </c>
      <c r="M11" s="19" t="str">
        <f>ECMData_Summary[[#This Row],[Column1]]</f>
        <v>ECM-5</v>
      </c>
      <c r="N11" s="590">
        <f ca="1">ECMData_Summary[[#This Row],[Column2]]</f>
        <v>0</v>
      </c>
      <c r="O11" s="634">
        <f>INDEX(ECMData_ECM5[#All],MATCH("Electrical Energy Use [kBTU]",ECMData_Baseline[[#All],[Energy]],0),MATCH("Internal Lighting",ECMData_Baseline[#Headers],0))</f>
        <v>0</v>
      </c>
      <c r="P11" s="634">
        <f>INDEX(ECMData_ECM5[#All],MATCH("Natural Gas Energy Use [kBTU]",ECMData_Baseline[[#All],[Energy]],0),MATCH("Internal Lighting",ECMData_Baseline[#Headers],0))</f>
        <v>0</v>
      </c>
      <c r="Q11" s="634">
        <f>SUM(ECMData_EndUse[[#This Row],[Internal Lighitng - Elec]:[Internal Lighting - Gas]])</f>
        <v>0</v>
      </c>
      <c r="R11" s="634">
        <f>INDEX(ECMData_ECM5[#All],MATCH("Electrical Energy Use [kBTU]",ECMData_Baseline[[#All],[Energy]],0),MATCH("Internal Lighting",ECMData_Baseline[#Headers],0))</f>
        <v>0</v>
      </c>
      <c r="S11" s="634">
        <f>INDEX(ECMData_ECM5[#All],MATCH("Natural Gas Energy Use [kBTU]",ECMData_Baseline[[#All],[Energy]],0),MATCH("Internal Lighting",ECMData_Baseline[#Headers],0))</f>
        <v>0</v>
      </c>
      <c r="T11" s="634">
        <f>SUM(ECMData_EndUse[[#This Row],[External Lighting - Elec]:[External Lighting - Gas]])</f>
        <v>0</v>
      </c>
      <c r="U11" s="634">
        <f>INDEX(ECMData_ECM5[#All],MATCH("Electrical Energy Use [kBTU]",ECMData_Baseline[[#All],[Energy]],0),MATCH("Space Heating",ECMData_Baseline[#Headers],0))</f>
        <v>0</v>
      </c>
      <c r="V11" s="634">
        <f>INDEX(ECMData_ECM5[#All],MATCH("Natural Gas Energy Use [kBTU]",ECMData_Baseline[[#All],[Energy]],0),MATCH("Space Heating",ECMData_Baseline[#Headers],0))</f>
        <v>0</v>
      </c>
      <c r="W11" s="634">
        <f>SUM(ECMData_EndUse[[#This Row],[Space Heating - Elec]:[Space Heating - Gas]])</f>
        <v>0</v>
      </c>
      <c r="X11" s="634">
        <f>INDEX(ECMData_ECM5[#All],MATCH("Electrical Energy Use [kBTU]",ECMData_Baseline[[#All],[Energy]],0),MATCH("Space Cooling",ECMData_Baseline[#Headers],0))</f>
        <v>0</v>
      </c>
      <c r="Y11" s="634">
        <f>INDEX(ECMData_ECM5[#All],MATCH("Natural Gas Energy Use [kBTU]",ECMData_Baseline[[#All],[Energy]],0),MATCH("Space Cooling",ECMData_Baseline[#Headers],0))</f>
        <v>0</v>
      </c>
      <c r="Z11" s="634">
        <f>SUM(ECMData_EndUse[[#This Row],[Space Cooling - Elec]:[Space Cooling - Gas]])</f>
        <v>0</v>
      </c>
      <c r="AA11" s="634">
        <f>INDEX(ECMData_ECM5[#All],MATCH("Electrical Energy Use [kBTU]",ECMData_Baseline[[#All],[Energy]],0),MATCH("Pumps",ECMData_Baseline[#Headers],0))</f>
        <v>0</v>
      </c>
      <c r="AB11" s="634">
        <f>INDEX(ECMData_ECM5[#All],MATCH("Natural Gas Energy Use [kBTU]",ECMData_Baseline[[#All],[Energy]],0),MATCH("Pumps",ECMData_Baseline[#Headers],0))</f>
        <v>0</v>
      </c>
      <c r="AC11" s="634">
        <f>SUM(ECMData_EndUse[[#This Row],[Pumps - Elec]:[Pumps - Gas]])</f>
        <v>0</v>
      </c>
      <c r="AD11" s="634">
        <f>INDEX(ECMData_ECM5[#All],MATCH("Electrical Energy Use [kBTU]",ECMData_Baseline[[#All],[Energy]],0),MATCH("Fans Process",ECMData_Baseline[#Headers],0))</f>
        <v>0</v>
      </c>
      <c r="AE11" s="634">
        <f>INDEX(ECMData_ECM5[#All],MATCH("Natural Gas Energy Use [kBTU]",ECMData_Baseline[[#All],[Energy]],0),MATCH("Fans Process",ECMData_Baseline[#Headers],0))</f>
        <v>0</v>
      </c>
      <c r="AF11" s="634">
        <f>SUM(ECMData_EndUse[[#This Row],[Fans Process - Elec]:[Fans Process - Gas]])</f>
        <v>0</v>
      </c>
      <c r="AG11" s="634">
        <f>INDEX(ECMData_ECM5[#All],MATCH("Electrical Energy Use [kBTU]",ECMData_Baseline[[#All],[Energy]],0),MATCH("Fans Interior",ECMData_Baseline[#Headers],0))</f>
        <v>0</v>
      </c>
      <c r="AH11" s="634">
        <f>INDEX(ECMData_ECM5[#All],MATCH("Natural Gas Energy Use [kBTU]",ECMData_Baseline[[#All],[Energy]],0),MATCH("Fans Interior",ECMData_Baseline[#Headers],0))</f>
        <v>0</v>
      </c>
      <c r="AI11" s="634">
        <f>SUM(ECMData_EndUse[[#This Row],[Fans Interior - Elec]:[Fans Interior - Gas]])</f>
        <v>0</v>
      </c>
      <c r="AJ11" s="634">
        <f>INDEX(ECMData_ECM5[#All],MATCH("Electrical Energy Use [kBTU]",ECMData_Baseline[[#All],[Energy]],0),MATCH("Fans Parking Garage",ECMData_Baseline[#Headers],0))</f>
        <v>0</v>
      </c>
      <c r="AK11" s="634">
        <f>INDEX(ECMData_ECM5[#All],MATCH("Natural Gas Energy Use [kBTU]",ECMData_Baseline[[#All],[Energy]],0),MATCH("Fans Parking Garage",ECMData_Baseline[#Headers],0))</f>
        <v>0</v>
      </c>
      <c r="AL11" s="634">
        <f>SUM(ECMData_EndUse[[#This Row],[Fans Parking Garage - Elec]:[Fans Parking Garage - Gas]])</f>
        <v>0</v>
      </c>
      <c r="AM11" s="634">
        <f>INDEX(ECMData_ECM5[#All],MATCH("Electrical Energy Use [kBTU]",ECMData_Baseline[[#All],[Energy]],0),MATCH("Service Water Heating",ECMData_Baseline[#Headers],0))</f>
        <v>0</v>
      </c>
      <c r="AN11" s="634">
        <f>INDEX(ECMData_ECM5[#All],MATCH("Natural Gas Energy Use [kBTU]",ECMData_Baseline[[#All],[Energy]],0),MATCH("Service Water Heating",ECMData_Baseline[#Headers],0))</f>
        <v>0</v>
      </c>
      <c r="AO11" s="634">
        <f>SUM(ECMData_EndUse[[#This Row],[Service Water Heating - Elec]:[Service Water Heating - Gas]])</f>
        <v>0</v>
      </c>
      <c r="AP11" s="634">
        <f>INDEX(ECMData_ECM5[#All],MATCH("Electrical Energy Use [kBTU]",ECMData_Baseline[[#All],[Energy]],0),MATCH("Receptacle Equipment",ECMData_Baseline[#Headers],0))</f>
        <v>0</v>
      </c>
      <c r="AQ11" s="634">
        <f>INDEX(ECMData_ECM5[#All],MATCH("Natural Gas Energy Use [kBTU]",ECMData_Baseline[[#All],[Energy]],0),MATCH("Receptacle Equipment",ECMData_Baseline[#Headers],0))</f>
        <v>0</v>
      </c>
      <c r="AR11" s="634">
        <f>SUM(ECMData_EndUse[[#This Row],[Receptacle Equipment - Elec]:[Receptacle Equipment - Gas]])</f>
        <v>0</v>
      </c>
      <c r="AS11" s="634">
        <f>INDEX(ECMData_ECM5[#All],MATCH("Electrical Energy Use [kBTU]",ECMData_Baseline[[#All],[Energy]],0),MATCH("Interior Lighting Process",ECMData_Baseline[#Headers],0))</f>
        <v>0</v>
      </c>
      <c r="AT11" s="634">
        <f>INDEX(ECMData_ECM5[#All],MATCH("Natural Gas Energy Use [kBTU]",ECMData_Baseline[[#All],[Energy]],0),MATCH("Interior Lighting Process",ECMData_Baseline[#Headers],0))</f>
        <v>0</v>
      </c>
      <c r="AU11" s="634">
        <f>SUM(ECMData_EndUse[[#This Row],[Interior Lighting Process - Elec]:[Interior Lighting Process - Gas]])</f>
        <v>0</v>
      </c>
      <c r="AV11" s="634">
        <f>INDEX(ECMData_ECM5[#All],MATCH("Electrical Energy Use [kBTU]",ECMData_Baseline[[#All],[Energy]],0),MATCH("Refrigeration",ECMData_Baseline[#Headers],0))</f>
        <v>0</v>
      </c>
      <c r="AW11" s="634">
        <f>INDEX(ECMData_ECM5[#All],MATCH("Natural Gas Energy Use [kBTU]",ECMData_Baseline[[#All],[Energy]],0),MATCH("Refrigeration",ECMData_Baseline[#Headers],0))</f>
        <v>0</v>
      </c>
      <c r="AX11" s="634">
        <f>SUM(ECMData_EndUse[[#This Row],[Refrigeration - Elec]:[Refrigeration - Gas]])</f>
        <v>0</v>
      </c>
      <c r="AY11" s="634">
        <f>INDEX(ECMData_ECM5[#All],MATCH("Electrical Energy Use [kBTU]",ECMData_Baseline[[#All],[Energy]],0),MATCH("Data Centre Equipment",ECMData_Baseline[#Headers],0))</f>
        <v>0</v>
      </c>
      <c r="AZ11" s="634">
        <f>INDEX(ECMData_ECM5[#All],MATCH("Natural Gas Energy Use [kBTU]",ECMData_Baseline[[#All],[Energy]],0),MATCH("Data Centre Equipment",ECMData_Baseline[#Headers],0))</f>
        <v>0</v>
      </c>
      <c r="BA11" s="634">
        <f>SUM(ECMData_EndUse[[#This Row],[Data Centre Equipment - Elec]:[Data Centre Equipment - Gas]])</f>
        <v>0</v>
      </c>
      <c r="BB11" s="634">
        <f>INDEX(ECMData_ECM5[#All],MATCH("Electrical Energy Use [kBTU]",ECMData_Baseline[[#All],[Energy]],0),MATCH("Cooking",ECMData_Baseline[#Headers],0))</f>
        <v>0</v>
      </c>
      <c r="BC11" s="634">
        <f>INDEX(ECMData_ECM5[#All],MATCH("Natural Gas Energy Use [kBTU]",ECMData_Baseline[[#All],[Energy]],0),MATCH("Cooking",ECMData_Baseline[#Headers],0))</f>
        <v>0</v>
      </c>
      <c r="BD11" s="634">
        <f>SUM(ECMData_EndUse[[#This Row],[Cooking - Elec]:[Cooking - Gas]])</f>
        <v>0</v>
      </c>
      <c r="BE11" s="634">
        <f>INDEX(ECMData_ECM5[#All],MATCH("Electrical Energy Use [kBTU]",ECMData_Baseline[[#All],[Energy]],0),MATCH("Elevators/ Escalators",ECMData_Baseline[#Headers],0))</f>
        <v>0</v>
      </c>
      <c r="BF11" s="634">
        <f>INDEX(ECMData_ECM5[#All],MATCH("Natural Gas Energy Use [kBTU]",ECMData_Baseline[[#All],[Energy]],0),MATCH("Elevators/ Escalators",ECMData_Baseline[#Headers],0))</f>
        <v>0</v>
      </c>
      <c r="BG11" s="634">
        <f>SUM(ECMData_EndUse[[#This Row],[Elevators/ Escalators - Elec]:[Elevators/ Escalators - Gas]])</f>
        <v>0</v>
      </c>
      <c r="BH11" s="634">
        <f>INDEX(ECMData_ECM5[#All],MATCH("Electrical Energy Use [kBTU]",ECMData_Baseline[[#All],[Energy]],0),MATCH("Heat Rejection",ECMData_Baseline[#Headers],0))</f>
        <v>0</v>
      </c>
      <c r="BI11" s="634">
        <f>INDEX(ECMData_ECM5[#All],MATCH("Natural Gas Energy Use [kBTU]",ECMData_Baseline[[#All],[Energy]],0),MATCH("Heat Rejection",ECMData_Baseline[#Headers],0))</f>
        <v>0</v>
      </c>
      <c r="BJ11" s="634">
        <f>SUM(ECMData_EndUse[[#This Row],[Heat Rejection - Elec]:[Heat Rejection - Gas]])</f>
        <v>0</v>
      </c>
      <c r="BK11" s="634">
        <f>INDEX(ECMData_ECM5[#All],MATCH("Electrical Energy Use [kBTU]",ECMData_Baseline[[#All],[Energy]],0),MATCH("Combined Heat and Power",ECMData_Baseline[#Headers],0))</f>
        <v>0</v>
      </c>
      <c r="BL11" s="634">
        <f>INDEX(ECMData_ECM5[#All],MATCH("Natural Gas Energy Use [kBTU]",ECMData_Baseline[[#All],[Energy]],0),MATCH("Combined Heat and Power",ECMData_Baseline[#Headers],0))</f>
        <v>0</v>
      </c>
      <c r="BM11" s="634">
        <f>SUM(ECMData_EndUse[[#This Row],[Combined Heat and Power - Elec]:[Combined Heat and Power - Gas]])</f>
        <v>0</v>
      </c>
      <c r="BN11" s="634">
        <f>INDEX(ECMData_ECM5[#All],MATCH("Electrical Energy Use [kBTU]",ECMData_Baseline[[#All],[Energy]],0),MATCH("Humidification",ECMData_Baseline[#Headers],0))</f>
        <v>0</v>
      </c>
      <c r="BO11" s="634">
        <f>INDEX(ECMData_ECM5[#All],MATCH("Natural Gas Energy Use [kBTU]",ECMData_Baseline[[#All],[Energy]],0),MATCH("Humidification",ECMData_Baseline[#Headers],0))</f>
        <v>0</v>
      </c>
      <c r="BP11" s="634">
        <f>SUM(ECMData_EndUse[[#This Row],[Humidification - Elec]:[Humidification - Gas]])</f>
        <v>0</v>
      </c>
      <c r="BQ11" s="634">
        <f>INDEX(ECMData_ECM5[#All],MATCH("Electrical Energy Use [kBTU]",ECMData_Baseline[[#All],[Energy]],0),MATCH("Other Processes",ECMData_Baseline[#Headers],0))</f>
        <v>0</v>
      </c>
      <c r="BR11" s="634">
        <f>INDEX(ECMData_ECM5[#All],MATCH("Natural Gas Energy Use [kBTU]",ECMData_Baseline[[#All],[Energy]],0),MATCH("Other Processes",ECMData_Baseline[#Headers],0))</f>
        <v>0</v>
      </c>
      <c r="BS11" s="634">
        <f>SUM(ECMData_EndUse[[#This Row],[Other Processes - Elec]:[Other Processes - Gas]])</f>
        <v>0</v>
      </c>
      <c r="BT11" s="660"/>
      <c r="BU11" s="660"/>
      <c r="BV11" s="660"/>
      <c r="BW11" s="660"/>
      <c r="BX11" s="660"/>
      <c r="BY11" s="660"/>
      <c r="BZ11" s="660"/>
      <c r="CA11" s="660"/>
      <c r="CB11" s="660"/>
      <c r="CC11" s="660"/>
      <c r="CD11" s="660"/>
      <c r="CE11" s="660"/>
      <c r="CF11" s="660"/>
      <c r="CG11" s="660"/>
      <c r="CH11" s="660"/>
      <c r="CI11" s="660"/>
      <c r="CJ11" s="660"/>
      <c r="CK11" s="660"/>
      <c r="CL11" s="660"/>
      <c r="CM11" s="660"/>
      <c r="CN11" s="660"/>
      <c r="CO11" s="660"/>
      <c r="CP11" s="660"/>
      <c r="CQ11" s="660"/>
      <c r="CR11" s="660"/>
      <c r="CS11" s="660"/>
      <c r="CT11" s="660"/>
      <c r="CU11" s="660"/>
      <c r="CV11" s="660"/>
      <c r="CW11" s="660"/>
      <c r="CX11" s="660"/>
      <c r="CY11" s="660"/>
      <c r="CZ11" s="660"/>
      <c r="DA11" s="660"/>
      <c r="DB11" s="660"/>
      <c r="DC11" s="660"/>
      <c r="DD11" s="660"/>
      <c r="DE11" s="660"/>
      <c r="DF11" s="660"/>
      <c r="DG11" s="660"/>
      <c r="DH11" s="660"/>
      <c r="DI11" s="660"/>
      <c r="DJ11" s="660"/>
      <c r="DK11" s="660"/>
      <c r="DL11" s="660"/>
      <c r="DM11" s="660"/>
      <c r="DN11" s="660"/>
      <c r="DO11" s="660"/>
      <c r="DP11" s="660"/>
      <c r="DQ11" s="660"/>
      <c r="DR11" s="660"/>
      <c r="DS11" s="660"/>
      <c r="DT11" s="660"/>
      <c r="DU11" s="660"/>
      <c r="DV11" s="660"/>
      <c r="DW11" s="660"/>
      <c r="DY11" s="560"/>
      <c r="DZ11" s="560"/>
      <c r="EB11" s="18" t="str">
        <f>ECMData_Summary[[#This Row],[Column1]]</f>
        <v>ECM-5</v>
      </c>
      <c r="EC11" s="590">
        <f ca="1">ECMData_Summary[[#This Row],[Column2]]</f>
        <v>0</v>
      </c>
      <c r="ED11" s="634" cm="1">
        <f t="array" ref="ED11">IFERROR(INDEX('ECM Data'!$A$1:$T$119,MATCH(Table202224[[#This Row],[Column1]],'ECM Data'!$A$1:$A$119,0)+4,MATCH('ECM Reports'!ED$4,'ECM Data'!$A$6:$T$6,0))*ED$2,"")</f>
        <v>0</v>
      </c>
      <c r="EE11" s="634" cm="1">
        <f t="array" ref="EE11">IFERROR(INDEX('ECM Data'!$A$1:$T$119,MATCH(Table202224[[#This Row],[Column1]],'ECM Data'!$A$1:$A$119,0)+4,MATCH('ECM Reports'!EE$4,'ECM Data'!$A$6:$T$6,0))*EE$2,"")</f>
        <v>0</v>
      </c>
      <c r="EF11" s="634" cm="1">
        <f t="array" ref="EF11">IFERROR(INDEX('ECM Data'!$A$1:$T$119,MATCH(Table202224[[#This Row],[Column1]],'ECM Data'!$A$1:$A$119,0)+4,MATCH('ECM Reports'!EF$4,'ECM Data'!$A$6:$T$6,0))*EF$2,"")</f>
        <v>0</v>
      </c>
      <c r="EG11" s="634" cm="1">
        <f t="array" ref="EG11">IFERROR(INDEX('ECM Data'!$A$1:$T$119,MATCH(Table202224[[#This Row],[Column1]],'ECM Data'!$A$1:$A$119,0)+4,MATCH('ECM Reports'!EG$4,'ECM Data'!$A$6:$T$6,0))*EG$2,"")</f>
        <v>0</v>
      </c>
      <c r="EH11" s="634" cm="1">
        <f t="array" ref="EH11">IFERROR(INDEX('ECM Data'!$A$1:$T$119,MATCH(Table202224[[#This Row],[Column1]],'ECM Data'!$A$1:$A$119,0)+4,MATCH('ECM Reports'!EH$4,'ECM Data'!$A$6:$T$6,0))*EH$2,"")</f>
        <v>0</v>
      </c>
      <c r="EI11" s="634" cm="1">
        <f t="array" ref="EI11">IFERROR(INDEX('ECM Data'!$A$1:$T$119,MATCH(Table202224[[#This Row],[Column1]],'ECM Data'!$A$1:$A$119,0)+4,MATCH('ECM Reports'!EI$4,'ECM Data'!$A$6:$T$6,0))*EI$2,"")</f>
        <v>0</v>
      </c>
      <c r="EJ11" s="634" cm="1">
        <f t="array" ref="EJ11">IFERROR(INDEX('ECM Data'!$A$1:$T$119,MATCH(Table202224[[#This Row],[Column1]],'ECM Data'!$A$1:$A$119,0)+4,MATCH('ECM Reports'!EJ$4,'ECM Data'!$A$6:$T$6,0))*EJ$2,"")</f>
        <v>0</v>
      </c>
      <c r="EK11" s="634" cm="1">
        <f t="array" ref="EK11">IFERROR(INDEX('ECM Data'!$A$1:$T$119,MATCH(Table202224[[#This Row],[Column1]],'ECM Data'!$A$1:$A$119,0)+4,MATCH('ECM Reports'!EK$4,'ECM Data'!$A$6:$T$6,0))*EK$2,"")</f>
        <v>0</v>
      </c>
      <c r="EL11" s="634" cm="1">
        <f t="array" ref="EL11">IFERROR(INDEX('ECM Data'!$A$1:$T$119,MATCH(Table202224[[#This Row],[Column1]],'ECM Data'!$A$1:$A$119,0)+4,MATCH('ECM Reports'!EL$4,'ECM Data'!$A$6:$T$6,0))*EL$2,"")</f>
        <v>0</v>
      </c>
      <c r="EM11" s="634" cm="1">
        <f t="array" ref="EM11">IFERROR(INDEX('ECM Data'!$A$1:$T$119,MATCH(Table202224[[#This Row],[Column1]],'ECM Data'!$A$1:$A$119,0)+4,MATCH('ECM Reports'!EM$4,'ECM Data'!$A$6:$T$6,0))*EM$2,"")</f>
        <v>0</v>
      </c>
      <c r="EN11" s="634" cm="1">
        <f t="array" ref="EN11">IFERROR(INDEX('ECM Data'!$A$1:$T$119,MATCH(Table202224[[#This Row],[Column1]],'ECM Data'!$A$1:$A$119,0)+4,MATCH('ECM Reports'!EN$4,'ECM Data'!$A$6:$T$6,0))*EN$2,"")</f>
        <v>0</v>
      </c>
      <c r="EO11" s="634" cm="1">
        <f t="array" ref="EO11">IFERROR(INDEX('ECM Data'!$A$1:$T$119,MATCH(Table202224[[#This Row],[Column1]],'ECM Data'!$A$1:$A$119,0)+4,MATCH('ECM Reports'!EO$4,'ECM Data'!$A$6:$T$6,0))*EO$2,"")</f>
        <v>0</v>
      </c>
      <c r="EP11" s="634" cm="1">
        <f t="array" ref="EP11">IFERROR(INDEX('ECM Data'!$A$1:$T$119,MATCH(Table202224[[#This Row],[Column1]],'ECM Data'!$A$1:$A$119,0)+4,MATCH('ECM Reports'!EP$4,'ECM Data'!$A$6:$T$6,0))*EP$2,"")</f>
        <v>0</v>
      </c>
      <c r="EQ11" s="634" cm="1">
        <f t="array" ref="EQ11">IFERROR(INDEX('ECM Data'!$A$1:$T$119,MATCH(Table202224[[#This Row],[Column1]],'ECM Data'!$A$1:$A$119,0)+4,MATCH('ECM Reports'!EQ$4,'ECM Data'!$A$6:$T$6,0))*EQ$2,"")</f>
        <v>0</v>
      </c>
      <c r="ER11" s="634" cm="1">
        <f t="array" ref="ER11">IFERROR(INDEX('ECM Data'!$A$1:$T$119,MATCH(Table202224[[#This Row],[Column1]],'ECM Data'!$A$1:$A$119,0)+4,MATCH('ECM Reports'!ER$4,'ECM Data'!$A$6:$T$6,0))*ER$2,"")</f>
        <v>0</v>
      </c>
      <c r="ES11" s="634" cm="1">
        <f t="array" ref="ES11">IFERROR(INDEX('ECM Data'!$A$1:$T$119,MATCH(Table202224[[#This Row],[Column1]],'ECM Data'!$A$1:$A$119,0)+4,MATCH('ECM Reports'!ES$4,'ECM Data'!$A$6:$T$6,0))*ES$2,"")</f>
        <v>0</v>
      </c>
      <c r="ET11" s="634" cm="1">
        <f t="array" ref="ET11">IFERROR(INDEX('ECM Data'!$A$1:$T$119,MATCH(Table202224[[#This Row],[Column1]],'ECM Data'!$A$1:$A$119,0)+4,MATCH('ECM Reports'!ET$4,'ECM Data'!$A$6:$T$6,0))*ET$2,"")</f>
        <v>0</v>
      </c>
      <c r="EU11" s="634" cm="1">
        <f t="array" ref="EU11">IFERROR(INDEX('ECM Data'!$A$1:$T$119,MATCH(Table202224[[#This Row],[Column1]],'ECM Data'!$A$1:$A$119,0)+4,MATCH('ECM Reports'!EU$4,'ECM Data'!$A$6:$T$6,0))*EU$2,"")</f>
        <v>0</v>
      </c>
      <c r="EV11" s="634" cm="1">
        <f t="array" ref="EV11">IFERROR(INDEX('ECM Data'!$A$1:$T$119,MATCH(Table202224[[#This Row],[Column1]],'ECM Data'!$A$1:$A$119,0)+4,MATCH('ECM Reports'!EV$4,'ECM Data'!$A$6:$T$6,0))*EV$2,"")</f>
        <v>0</v>
      </c>
      <c r="EW11" s="635">
        <f>SUM(Table202224[[#This Row],[Column3]:[Column22]])</f>
        <v>0</v>
      </c>
    </row>
    <row r="12" spans="1:153" x14ac:dyDescent="0.25">
      <c r="A12" s="19" t="s">
        <v>882</v>
      </c>
      <c r="B12" s="590">
        <f ca="1">OFFSET('ECM Data'!$A$1,MATCH('ECM Reports'!$A12,'ECM Data'!$A:$A,0)-1,1)</f>
        <v>0</v>
      </c>
      <c r="C12" s="20">
        <f ca="1">OFFSET('ECM Data'!$A$1,MATCH('ECM Reports'!$A12,'ECM Data'!$A:$A,0)+6,1)</f>
        <v>0</v>
      </c>
      <c r="D12" s="20">
        <f ca="1">OFFSET('ECM Data'!$A$1,MATCH('ECM Reports'!$A12,'ECM Data'!$A:$A,0)+7,1)</f>
        <v>0</v>
      </c>
      <c r="E12" s="20">
        <f ca="1">OFFSET('ECM Data'!$A$1,MATCH('ECM Reports'!$A12,'ECM Data'!$A:$A,0)+8,1)</f>
        <v>0</v>
      </c>
      <c r="F12" s="506" t="str">
        <f ca="1">IFERROR(ECMData_Summary[[#This Row],[Column5]]/SUM(MasterRoomList_SpaceTypeTable[Area (sf)]),"")</f>
        <v/>
      </c>
      <c r="G12" s="663">
        <f ca="1">OFFSET('ECM Data'!$A$1,MATCH('ECM Reports'!$A12,'ECM Data'!$A:$A,0)+6,3)</f>
        <v>0</v>
      </c>
      <c r="H12" s="663">
        <f ca="1">OFFSET('ECM Data'!$A$1,MATCH('ECM Reports'!$A12,'ECM Data'!$A:$A,0)+7,3)</f>
        <v>0</v>
      </c>
      <c r="I12" s="663">
        <f ca="1">OFFSET('ECM Data'!$A$1,MATCH('ECM Reports'!$A12,'ECM Data'!$A:$A,0)+8,3)</f>
        <v>0</v>
      </c>
      <c r="J12" s="505" t="str">
        <f ca="1">IFERROR(1-ECMData_Summary[[#This Row],[Column5]]/$E$6,"")</f>
        <v/>
      </c>
      <c r="K12" s="505" t="str">
        <f ca="1">IFERROR(1-ECMData_Summary[[#This Row],[Column8]]/$I$6,"")</f>
        <v/>
      </c>
      <c r="M12" s="19" t="str">
        <f>ECMData_Summary[[#This Row],[Column1]]</f>
        <v>ECM-6</v>
      </c>
      <c r="N12" s="590">
        <f ca="1">ECMData_Summary[[#This Row],[Column2]]</f>
        <v>0</v>
      </c>
      <c r="O12" s="634">
        <f>INDEX(ECMData_ECM6[#All],MATCH("Electrical Energy Use [kBTU]",ECMData_Baseline[[#All],[Energy]],0),MATCH("Internal Lighting",ECMData_Baseline[#Headers],0))</f>
        <v>0</v>
      </c>
      <c r="P12" s="634">
        <f>INDEX(ECMData_ECM6[#All],MATCH("Natural Gas Energy Use [kBTU]",ECMData_Baseline[[#All],[Energy]],0),MATCH("Internal Lighting",ECMData_Baseline[#Headers],0))</f>
        <v>0</v>
      </c>
      <c r="Q12" s="634">
        <f>SUM(ECMData_EndUse[[#This Row],[Internal Lighitng - Elec]:[Internal Lighting - Gas]])</f>
        <v>0</v>
      </c>
      <c r="R12" s="634">
        <f>INDEX(ECMData_ECM6[#All],MATCH("Electrical Energy Use [kBTU]",ECMData_Baseline[[#All],[Energy]],0),MATCH("Internal Lighting",ECMData_Baseline[#Headers],0))</f>
        <v>0</v>
      </c>
      <c r="S12" s="634">
        <f>INDEX(ECMData_ECM6[#All],MATCH("Natural Gas Energy Use [kBTU]",ECMData_Baseline[[#All],[Energy]],0),MATCH("Internal Lighting",ECMData_Baseline[#Headers],0))</f>
        <v>0</v>
      </c>
      <c r="T12" s="634">
        <f>SUM(ECMData_EndUse[[#This Row],[External Lighting - Elec]:[External Lighting - Gas]])</f>
        <v>0</v>
      </c>
      <c r="U12" s="634">
        <f>INDEX(ECMData_ECM6[#All],MATCH("Electrical Energy Use [kBTU]",ECMData_Baseline[[#All],[Energy]],0),MATCH("Space Heating",ECMData_Baseline[#Headers],0))</f>
        <v>0</v>
      </c>
      <c r="V12" s="634">
        <f>INDEX(ECMData_ECM6[#All],MATCH("Natural Gas Energy Use [kBTU]",ECMData_Baseline[[#All],[Energy]],0),MATCH("Space Heating",ECMData_Baseline[#Headers],0))</f>
        <v>0</v>
      </c>
      <c r="W12" s="634">
        <f>SUM(ECMData_EndUse[[#This Row],[Space Heating - Elec]:[Space Heating - Gas]])</f>
        <v>0</v>
      </c>
      <c r="X12" s="634">
        <f>INDEX(ECMData_ECM6[#All],MATCH("Electrical Energy Use [kBTU]",ECMData_Baseline[[#All],[Energy]],0),MATCH("Space Cooling",ECMData_Baseline[#Headers],0))</f>
        <v>0</v>
      </c>
      <c r="Y12" s="634">
        <f>INDEX(ECMData_ECM6[#All],MATCH("Natural Gas Energy Use [kBTU]",ECMData_Baseline[[#All],[Energy]],0),MATCH("Space Cooling",ECMData_Baseline[#Headers],0))</f>
        <v>0</v>
      </c>
      <c r="Z12" s="634">
        <f>SUM(ECMData_EndUse[[#This Row],[Space Cooling - Elec]:[Space Cooling - Gas]])</f>
        <v>0</v>
      </c>
      <c r="AA12" s="634">
        <f>INDEX(ECMData_ECM6[#All],MATCH("Electrical Energy Use [kBTU]",ECMData_Baseline[[#All],[Energy]],0),MATCH("Pumps",ECMData_Baseline[#Headers],0))</f>
        <v>0</v>
      </c>
      <c r="AB12" s="634">
        <f>INDEX(ECMData_ECM6[#All],MATCH("Natural Gas Energy Use [kBTU]",ECMData_Baseline[[#All],[Energy]],0),MATCH("Pumps",ECMData_Baseline[#Headers],0))</f>
        <v>0</v>
      </c>
      <c r="AC12" s="634">
        <f>SUM(ECMData_EndUse[[#This Row],[Pumps - Elec]:[Pumps - Gas]])</f>
        <v>0</v>
      </c>
      <c r="AD12" s="634">
        <f>INDEX(ECMData_ECM6[#All],MATCH("Electrical Energy Use [kBTU]",ECMData_Baseline[[#All],[Energy]],0),MATCH("Fans Process",ECMData_Baseline[#Headers],0))</f>
        <v>0</v>
      </c>
      <c r="AE12" s="634">
        <f>INDEX(ECMData_ECM6[#All],MATCH("Natural Gas Energy Use [kBTU]",ECMData_Baseline[[#All],[Energy]],0),MATCH("Fans Process",ECMData_Baseline[#Headers],0))</f>
        <v>0</v>
      </c>
      <c r="AF12" s="634">
        <f>SUM(ECMData_EndUse[[#This Row],[Fans Process - Elec]:[Fans Process - Gas]])</f>
        <v>0</v>
      </c>
      <c r="AG12" s="634">
        <f>INDEX(ECMData_ECM6[#All],MATCH("Electrical Energy Use [kBTU]",ECMData_Baseline[[#All],[Energy]],0),MATCH("Fans Interior",ECMData_Baseline[#Headers],0))</f>
        <v>0</v>
      </c>
      <c r="AH12" s="634">
        <f>INDEX(ECMData_ECM6[#All],MATCH("Natural Gas Energy Use [kBTU]",ECMData_Baseline[[#All],[Energy]],0),MATCH("Fans Interior",ECMData_Baseline[#Headers],0))</f>
        <v>0</v>
      </c>
      <c r="AI12" s="634">
        <f>SUM(ECMData_EndUse[[#This Row],[Fans Interior - Elec]:[Fans Interior - Gas]])</f>
        <v>0</v>
      </c>
      <c r="AJ12" s="634">
        <f>INDEX(ECMData_ECM6[#All],MATCH("Electrical Energy Use [kBTU]",ECMData_Baseline[[#All],[Energy]],0),MATCH("Fans Parking Garage",ECMData_Baseline[#Headers],0))</f>
        <v>0</v>
      </c>
      <c r="AK12" s="634">
        <f>INDEX(ECMData_ECM6[#All],MATCH("Natural Gas Energy Use [kBTU]",ECMData_Baseline[[#All],[Energy]],0),MATCH("Fans Parking Garage",ECMData_Baseline[#Headers],0))</f>
        <v>0</v>
      </c>
      <c r="AL12" s="634">
        <f>SUM(ECMData_EndUse[[#This Row],[Fans Parking Garage - Elec]:[Fans Parking Garage - Gas]])</f>
        <v>0</v>
      </c>
      <c r="AM12" s="634">
        <f>INDEX(ECMData_ECM6[#All],MATCH("Electrical Energy Use [kBTU]",ECMData_Baseline[[#All],[Energy]],0),MATCH("Service Water Heating",ECMData_Baseline[#Headers],0))</f>
        <v>0</v>
      </c>
      <c r="AN12" s="634">
        <f>INDEX(ECMData_ECM6[#All],MATCH("Natural Gas Energy Use [kBTU]",ECMData_Baseline[[#All],[Energy]],0),MATCH("Service Water Heating",ECMData_Baseline[#Headers],0))</f>
        <v>0</v>
      </c>
      <c r="AO12" s="634">
        <f>SUM(ECMData_EndUse[[#This Row],[Service Water Heating - Elec]:[Service Water Heating - Gas]])</f>
        <v>0</v>
      </c>
      <c r="AP12" s="634">
        <f>INDEX(ECMData_ECM6[#All],MATCH("Electrical Energy Use [kBTU]",ECMData_Baseline[[#All],[Energy]],0),MATCH("Receptacle Equipment",ECMData_Baseline[#Headers],0))</f>
        <v>0</v>
      </c>
      <c r="AQ12" s="634">
        <f>INDEX(ECMData_ECM6[#All],MATCH("Natural Gas Energy Use [kBTU]",ECMData_Baseline[[#All],[Energy]],0),MATCH("Receptacle Equipment",ECMData_Baseline[#Headers],0))</f>
        <v>0</v>
      </c>
      <c r="AR12" s="634">
        <f>SUM(ECMData_EndUse[[#This Row],[Receptacle Equipment - Elec]:[Receptacle Equipment - Gas]])</f>
        <v>0</v>
      </c>
      <c r="AS12" s="634">
        <f>INDEX(ECMData_ECM6[#All],MATCH("Electrical Energy Use [kBTU]",ECMData_Baseline[[#All],[Energy]],0),MATCH("Interior Lighting Process",ECMData_Baseline[#Headers],0))</f>
        <v>0</v>
      </c>
      <c r="AT12" s="634">
        <f>INDEX(ECMData_ECM6[#All],MATCH("Natural Gas Energy Use [kBTU]",ECMData_Baseline[[#All],[Energy]],0),MATCH("Interior Lighting Process",ECMData_Baseline[#Headers],0))</f>
        <v>0</v>
      </c>
      <c r="AU12" s="634">
        <f>SUM(ECMData_EndUse[[#This Row],[Interior Lighting Process - Elec]:[Interior Lighting Process - Gas]])</f>
        <v>0</v>
      </c>
      <c r="AV12" s="634">
        <f>INDEX(ECMData_ECM6[#All],MATCH("Electrical Energy Use [kBTU]",ECMData_Baseline[[#All],[Energy]],0),MATCH("Refrigeration",ECMData_Baseline[#Headers],0))</f>
        <v>0</v>
      </c>
      <c r="AW12" s="634">
        <f>INDEX(ECMData_ECM6[#All],MATCH("Natural Gas Energy Use [kBTU]",ECMData_Baseline[[#All],[Energy]],0),MATCH("Refrigeration",ECMData_Baseline[#Headers],0))</f>
        <v>0</v>
      </c>
      <c r="AX12" s="634">
        <f>SUM(ECMData_EndUse[[#This Row],[Refrigeration - Elec]:[Refrigeration - Gas]])</f>
        <v>0</v>
      </c>
      <c r="AY12" s="634">
        <f>INDEX(ECMData_ECM6[#All],MATCH("Electrical Energy Use [kBTU]",ECMData_Baseline[[#All],[Energy]],0),MATCH("Data Centre Equipment",ECMData_Baseline[#Headers],0))</f>
        <v>0</v>
      </c>
      <c r="AZ12" s="634">
        <f>INDEX(ECMData_ECM6[#All],MATCH("Natural Gas Energy Use [kBTU]",ECMData_Baseline[[#All],[Energy]],0),MATCH("Data Centre Equipment",ECMData_Baseline[#Headers],0))</f>
        <v>0</v>
      </c>
      <c r="BA12" s="634">
        <f>SUM(ECMData_EndUse[[#This Row],[Data Centre Equipment - Elec]:[Data Centre Equipment - Gas]])</f>
        <v>0</v>
      </c>
      <c r="BB12" s="634">
        <f>INDEX(ECMData_ECM6[#All],MATCH("Electrical Energy Use [kBTU]",ECMData_Baseline[[#All],[Energy]],0),MATCH("Cooking",ECMData_Baseline[#Headers],0))</f>
        <v>0</v>
      </c>
      <c r="BC12" s="634">
        <f>INDEX(ECMData_ECM6[#All],MATCH("Natural Gas Energy Use [kBTU]",ECMData_Baseline[[#All],[Energy]],0),MATCH("Cooking",ECMData_Baseline[#Headers],0))</f>
        <v>0</v>
      </c>
      <c r="BD12" s="634">
        <f>SUM(ECMData_EndUse[[#This Row],[Cooking - Elec]:[Cooking - Gas]])</f>
        <v>0</v>
      </c>
      <c r="BE12" s="634">
        <f>INDEX(ECMData_ECM6[#All],MATCH("Electrical Energy Use [kBTU]",ECMData_Baseline[[#All],[Energy]],0),MATCH("Elevators/ Escalators",ECMData_Baseline[#Headers],0))</f>
        <v>0</v>
      </c>
      <c r="BF12" s="634">
        <f>INDEX(ECMData_ECM6[#All],MATCH("Natural Gas Energy Use [kBTU]",ECMData_Baseline[[#All],[Energy]],0),MATCH("Elevators/ Escalators",ECMData_Baseline[#Headers],0))</f>
        <v>0</v>
      </c>
      <c r="BG12" s="634">
        <f>SUM(ECMData_EndUse[[#This Row],[Elevators/ Escalators - Elec]:[Elevators/ Escalators - Gas]])</f>
        <v>0</v>
      </c>
      <c r="BH12" s="634">
        <f>INDEX(ECMData_ECM6[#All],MATCH("Electrical Energy Use [kBTU]",ECMData_Baseline[[#All],[Energy]],0),MATCH("Heat Rejection",ECMData_Baseline[#Headers],0))</f>
        <v>0</v>
      </c>
      <c r="BI12" s="634">
        <f>INDEX(ECMData_ECM6[#All],MATCH("Natural Gas Energy Use [kBTU]",ECMData_Baseline[[#All],[Energy]],0),MATCH("Heat Rejection",ECMData_Baseline[#Headers],0))</f>
        <v>0</v>
      </c>
      <c r="BJ12" s="634">
        <f>SUM(ECMData_EndUse[[#This Row],[Heat Rejection - Elec]:[Heat Rejection - Gas]])</f>
        <v>0</v>
      </c>
      <c r="BK12" s="634">
        <f>INDEX(ECMData_ECM6[#All],MATCH("Electrical Energy Use [kBTU]",ECMData_Baseline[[#All],[Energy]],0),MATCH("Combined Heat and Power",ECMData_Baseline[#Headers],0))</f>
        <v>0</v>
      </c>
      <c r="BL12" s="634">
        <f>INDEX(ECMData_ECM6[#All],MATCH("Natural Gas Energy Use [kBTU]",ECMData_Baseline[[#All],[Energy]],0),MATCH("Combined Heat and Power",ECMData_Baseline[#Headers],0))</f>
        <v>0</v>
      </c>
      <c r="BM12" s="634">
        <f>SUM(ECMData_EndUse[[#This Row],[Combined Heat and Power - Elec]:[Combined Heat and Power - Gas]])</f>
        <v>0</v>
      </c>
      <c r="BN12" s="634">
        <f>INDEX(ECMData_ECM6[#All],MATCH("Electrical Energy Use [kBTU]",ECMData_Baseline[[#All],[Energy]],0),MATCH("Humidification",ECMData_Baseline[#Headers],0))</f>
        <v>0</v>
      </c>
      <c r="BO12" s="634">
        <f>INDEX(ECMData_ECM6[#All],MATCH("Natural Gas Energy Use [kBTU]",ECMData_Baseline[[#All],[Energy]],0),MATCH("Humidification",ECMData_Baseline[#Headers],0))</f>
        <v>0</v>
      </c>
      <c r="BP12" s="634">
        <f>SUM(ECMData_EndUse[[#This Row],[Humidification - Elec]:[Humidification - Gas]])</f>
        <v>0</v>
      </c>
      <c r="BQ12" s="634">
        <f>INDEX(ECMData_ECM6[#All],MATCH("Electrical Energy Use [kBTU]",ECMData_Baseline[[#All],[Energy]],0),MATCH("Other Processes",ECMData_Baseline[#Headers],0))</f>
        <v>0</v>
      </c>
      <c r="BR12" s="634">
        <f>INDEX(ECMData_ECM6[#All],MATCH("Natural Gas Energy Use [kBTU]",ECMData_Baseline[[#All],[Energy]],0),MATCH("Other Processes",ECMData_Baseline[#Headers],0))</f>
        <v>0</v>
      </c>
      <c r="BS12" s="634">
        <f>SUM(ECMData_EndUse[[#This Row],[Other Processes - Elec]:[Other Processes - Gas]])</f>
        <v>0</v>
      </c>
      <c r="BT12" s="660"/>
      <c r="BU12" s="660"/>
      <c r="BV12" s="660"/>
      <c r="BW12" s="660"/>
      <c r="BX12" s="660"/>
      <c r="BY12" s="660"/>
      <c r="BZ12" s="660"/>
      <c r="CA12" s="660"/>
      <c r="CB12" s="660"/>
      <c r="CC12" s="660"/>
      <c r="CD12" s="660"/>
      <c r="CE12" s="660"/>
      <c r="CF12" s="660"/>
      <c r="CG12" s="660"/>
      <c r="CH12" s="660"/>
      <c r="CI12" s="660"/>
      <c r="CJ12" s="660"/>
      <c r="CK12" s="660"/>
      <c r="CL12" s="660"/>
      <c r="CM12" s="660"/>
      <c r="CN12" s="660"/>
      <c r="CO12" s="660"/>
      <c r="CP12" s="660"/>
      <c r="CQ12" s="660"/>
      <c r="CR12" s="660"/>
      <c r="CS12" s="660"/>
      <c r="CT12" s="660"/>
      <c r="CU12" s="660"/>
      <c r="CV12" s="660"/>
      <c r="CW12" s="660"/>
      <c r="CX12" s="660"/>
      <c r="CY12" s="660"/>
      <c r="CZ12" s="660"/>
      <c r="DA12" s="660"/>
      <c r="DB12" s="660"/>
      <c r="DC12" s="660"/>
      <c r="DD12" s="660"/>
      <c r="DE12" s="660"/>
      <c r="DF12" s="660"/>
      <c r="DG12" s="660"/>
      <c r="DH12" s="660"/>
      <c r="DI12" s="660"/>
      <c r="DJ12" s="660"/>
      <c r="DK12" s="660"/>
      <c r="DL12" s="660"/>
      <c r="DM12" s="660"/>
      <c r="DN12" s="660"/>
      <c r="DO12" s="660"/>
      <c r="DP12" s="660"/>
      <c r="DQ12" s="660"/>
      <c r="DR12" s="660"/>
      <c r="DS12" s="660"/>
      <c r="DT12" s="660"/>
      <c r="DU12" s="660"/>
      <c r="DV12" s="660"/>
      <c r="DW12" s="660"/>
      <c r="DY12" s="560"/>
      <c r="DZ12" s="560"/>
      <c r="EB12" s="18" t="str">
        <f>ECMData_Summary[[#This Row],[Column1]]</f>
        <v>ECM-6</v>
      </c>
      <c r="EC12" s="590">
        <f ca="1">ECMData_Summary[[#This Row],[Column2]]</f>
        <v>0</v>
      </c>
      <c r="ED12" s="634" cm="1">
        <f t="array" ref="ED12">IFERROR(INDEX('ECM Data'!$A$1:$T$119,MATCH(Table202224[[#This Row],[Column1]],'ECM Data'!$A$1:$A$119,0)+4,MATCH('ECM Reports'!ED$4,'ECM Data'!$A$6:$T$6,0))*ED$2,"")</f>
        <v>0</v>
      </c>
      <c r="EE12" s="634" cm="1">
        <f t="array" ref="EE12">IFERROR(INDEX('ECM Data'!$A$1:$T$119,MATCH(Table202224[[#This Row],[Column1]],'ECM Data'!$A$1:$A$119,0)+4,MATCH('ECM Reports'!EE$4,'ECM Data'!$A$6:$T$6,0))*EE$2,"")</f>
        <v>0</v>
      </c>
      <c r="EF12" s="634" cm="1">
        <f t="array" ref="EF12">IFERROR(INDEX('ECM Data'!$A$1:$T$119,MATCH(Table202224[[#This Row],[Column1]],'ECM Data'!$A$1:$A$119,0)+4,MATCH('ECM Reports'!EF$4,'ECM Data'!$A$6:$T$6,0))*EF$2,"")</f>
        <v>0</v>
      </c>
      <c r="EG12" s="634" cm="1">
        <f t="array" ref="EG12">IFERROR(INDEX('ECM Data'!$A$1:$T$119,MATCH(Table202224[[#This Row],[Column1]],'ECM Data'!$A$1:$A$119,0)+4,MATCH('ECM Reports'!EG$4,'ECM Data'!$A$6:$T$6,0))*EG$2,"")</f>
        <v>0</v>
      </c>
      <c r="EH12" s="634" cm="1">
        <f t="array" ref="EH12">IFERROR(INDEX('ECM Data'!$A$1:$T$119,MATCH(Table202224[[#This Row],[Column1]],'ECM Data'!$A$1:$A$119,0)+4,MATCH('ECM Reports'!EH$4,'ECM Data'!$A$6:$T$6,0))*EH$2,"")</f>
        <v>0</v>
      </c>
      <c r="EI12" s="634" cm="1">
        <f t="array" ref="EI12">IFERROR(INDEX('ECM Data'!$A$1:$T$119,MATCH(Table202224[[#This Row],[Column1]],'ECM Data'!$A$1:$A$119,0)+4,MATCH('ECM Reports'!EI$4,'ECM Data'!$A$6:$T$6,0))*EI$2,"")</f>
        <v>0</v>
      </c>
      <c r="EJ12" s="634" cm="1">
        <f t="array" ref="EJ12">IFERROR(INDEX('ECM Data'!$A$1:$T$119,MATCH(Table202224[[#This Row],[Column1]],'ECM Data'!$A$1:$A$119,0)+4,MATCH('ECM Reports'!EJ$4,'ECM Data'!$A$6:$T$6,0))*EJ$2,"")</f>
        <v>0</v>
      </c>
      <c r="EK12" s="634" cm="1">
        <f t="array" ref="EK12">IFERROR(INDEX('ECM Data'!$A$1:$T$119,MATCH(Table202224[[#This Row],[Column1]],'ECM Data'!$A$1:$A$119,0)+4,MATCH('ECM Reports'!EK$4,'ECM Data'!$A$6:$T$6,0))*EK$2,"")</f>
        <v>0</v>
      </c>
      <c r="EL12" s="634" cm="1">
        <f t="array" ref="EL12">IFERROR(INDEX('ECM Data'!$A$1:$T$119,MATCH(Table202224[[#This Row],[Column1]],'ECM Data'!$A$1:$A$119,0)+4,MATCH('ECM Reports'!EL$4,'ECM Data'!$A$6:$T$6,0))*EL$2,"")</f>
        <v>0</v>
      </c>
      <c r="EM12" s="634" cm="1">
        <f t="array" ref="EM12">IFERROR(INDEX('ECM Data'!$A$1:$T$119,MATCH(Table202224[[#This Row],[Column1]],'ECM Data'!$A$1:$A$119,0)+4,MATCH('ECM Reports'!EM$4,'ECM Data'!$A$6:$T$6,0))*EM$2,"")</f>
        <v>0</v>
      </c>
      <c r="EN12" s="634" cm="1">
        <f t="array" ref="EN12">IFERROR(INDEX('ECM Data'!$A$1:$T$119,MATCH(Table202224[[#This Row],[Column1]],'ECM Data'!$A$1:$A$119,0)+4,MATCH('ECM Reports'!EN$4,'ECM Data'!$A$6:$T$6,0))*EN$2,"")</f>
        <v>0</v>
      </c>
      <c r="EO12" s="634" cm="1">
        <f t="array" ref="EO12">IFERROR(INDEX('ECM Data'!$A$1:$T$119,MATCH(Table202224[[#This Row],[Column1]],'ECM Data'!$A$1:$A$119,0)+4,MATCH('ECM Reports'!EO$4,'ECM Data'!$A$6:$T$6,0))*EO$2,"")</f>
        <v>0</v>
      </c>
      <c r="EP12" s="634" cm="1">
        <f t="array" ref="EP12">IFERROR(INDEX('ECM Data'!$A$1:$T$119,MATCH(Table202224[[#This Row],[Column1]],'ECM Data'!$A$1:$A$119,0)+4,MATCH('ECM Reports'!EP$4,'ECM Data'!$A$6:$T$6,0))*EP$2,"")</f>
        <v>0</v>
      </c>
      <c r="EQ12" s="634" cm="1">
        <f t="array" ref="EQ12">IFERROR(INDEX('ECM Data'!$A$1:$T$119,MATCH(Table202224[[#This Row],[Column1]],'ECM Data'!$A$1:$A$119,0)+4,MATCH('ECM Reports'!EQ$4,'ECM Data'!$A$6:$T$6,0))*EQ$2,"")</f>
        <v>0</v>
      </c>
      <c r="ER12" s="634" cm="1">
        <f t="array" ref="ER12">IFERROR(INDEX('ECM Data'!$A$1:$T$119,MATCH(Table202224[[#This Row],[Column1]],'ECM Data'!$A$1:$A$119,0)+4,MATCH('ECM Reports'!ER$4,'ECM Data'!$A$6:$T$6,0))*ER$2,"")</f>
        <v>0</v>
      </c>
      <c r="ES12" s="634" cm="1">
        <f t="array" ref="ES12">IFERROR(INDEX('ECM Data'!$A$1:$T$119,MATCH(Table202224[[#This Row],[Column1]],'ECM Data'!$A$1:$A$119,0)+4,MATCH('ECM Reports'!ES$4,'ECM Data'!$A$6:$T$6,0))*ES$2,"")</f>
        <v>0</v>
      </c>
      <c r="ET12" s="634" cm="1">
        <f t="array" ref="ET12">IFERROR(INDEX('ECM Data'!$A$1:$T$119,MATCH(Table202224[[#This Row],[Column1]],'ECM Data'!$A$1:$A$119,0)+4,MATCH('ECM Reports'!ET$4,'ECM Data'!$A$6:$T$6,0))*ET$2,"")</f>
        <v>0</v>
      </c>
      <c r="EU12" s="634" cm="1">
        <f t="array" ref="EU12">IFERROR(INDEX('ECM Data'!$A$1:$T$119,MATCH(Table202224[[#This Row],[Column1]],'ECM Data'!$A$1:$A$119,0)+4,MATCH('ECM Reports'!EU$4,'ECM Data'!$A$6:$T$6,0))*EU$2,"")</f>
        <v>0</v>
      </c>
      <c r="EV12" s="634" cm="1">
        <f t="array" ref="EV12">IFERROR(INDEX('ECM Data'!$A$1:$T$119,MATCH(Table202224[[#This Row],[Column1]],'ECM Data'!$A$1:$A$119,0)+4,MATCH('ECM Reports'!EV$4,'ECM Data'!$A$6:$T$6,0))*EV$2,"")</f>
        <v>0</v>
      </c>
      <c r="EW12" s="635">
        <f>SUM(Table202224[[#This Row],[Column3]:[Column22]])</f>
        <v>0</v>
      </c>
    </row>
    <row r="13" spans="1:153" x14ac:dyDescent="0.25">
      <c r="A13" s="19" t="s">
        <v>883</v>
      </c>
      <c r="B13" s="590">
        <f ca="1">OFFSET('ECM Data'!$A$1,MATCH('ECM Reports'!$A13,'ECM Data'!$A:$A,0)-1,1)</f>
        <v>0</v>
      </c>
      <c r="C13" s="20">
        <f ca="1">OFFSET('ECM Data'!$A$1,MATCH('ECM Reports'!$A13,'ECM Data'!$A:$A,0)+6,1)</f>
        <v>0</v>
      </c>
      <c r="D13" s="20">
        <f ca="1">OFFSET('ECM Data'!$A$1,MATCH('ECM Reports'!$A13,'ECM Data'!$A:$A,0)+7,1)</f>
        <v>0</v>
      </c>
      <c r="E13" s="20">
        <f ca="1">OFFSET('ECM Data'!$A$1,MATCH('ECM Reports'!$A13,'ECM Data'!$A:$A,0)+8,1)</f>
        <v>0</v>
      </c>
      <c r="F13" s="506" t="str">
        <f ca="1">IFERROR(ECMData_Summary[[#This Row],[Column5]]/SUM(MasterRoomList_SpaceTypeTable[Area (sf)]),"")</f>
        <v/>
      </c>
      <c r="G13" s="663">
        <f ca="1">OFFSET('ECM Data'!$A$1,MATCH('ECM Reports'!$A13,'ECM Data'!$A:$A,0)+6,3)</f>
        <v>0</v>
      </c>
      <c r="H13" s="663">
        <f ca="1">OFFSET('ECM Data'!$A$1,MATCH('ECM Reports'!$A13,'ECM Data'!$A:$A,0)+7,3)</f>
        <v>0</v>
      </c>
      <c r="I13" s="663">
        <f ca="1">OFFSET('ECM Data'!$A$1,MATCH('ECM Reports'!$A13,'ECM Data'!$A:$A,0)+8,3)</f>
        <v>0</v>
      </c>
      <c r="J13" s="505" t="str">
        <f ca="1">IFERROR(1-ECMData_Summary[[#This Row],[Column5]]/$E$6,"")</f>
        <v/>
      </c>
      <c r="K13" s="505" t="str">
        <f ca="1">IFERROR(1-ECMData_Summary[[#This Row],[Column8]]/$I$6,"")</f>
        <v/>
      </c>
      <c r="M13" s="19" t="str">
        <f>ECMData_Summary[[#This Row],[Column1]]</f>
        <v>ECM-7</v>
      </c>
      <c r="N13" s="590">
        <f ca="1">ECMData_Summary[[#This Row],[Column2]]</f>
        <v>0</v>
      </c>
      <c r="O13" s="634">
        <f>INDEX(ECMData_ECM7[#All],MATCH("Electrical Energy Use [kBTU]",ECMData_Baseline[[#All],[Energy]],0),MATCH("Internal Lighting",ECMData_Baseline[#Headers],0))</f>
        <v>0</v>
      </c>
      <c r="P13" s="634">
        <f>INDEX(ECMData_ECM7[#All],MATCH("Natural Gas Energy Use [kBTU]",ECMData_Baseline[[#All],[Energy]],0),MATCH("Internal Lighting",ECMData_Baseline[#Headers],0))</f>
        <v>0</v>
      </c>
      <c r="Q13" s="634">
        <f>SUM(ECMData_EndUse[[#This Row],[Internal Lighitng - Elec]:[Internal Lighting - Gas]])</f>
        <v>0</v>
      </c>
      <c r="R13" s="634">
        <f>INDEX(ECMData_ECM7[#All],MATCH("Electrical Energy Use [kBTU]",ECMData_Baseline[[#All],[Energy]],0),MATCH("Internal Lighting",ECMData_Baseline[#Headers],0))</f>
        <v>0</v>
      </c>
      <c r="S13" s="634">
        <f>INDEX(ECMData_ECM7[#All],MATCH("Natural Gas Energy Use [kBTU]",ECMData_Baseline[[#All],[Energy]],0),MATCH("Internal Lighting",ECMData_Baseline[#Headers],0))</f>
        <v>0</v>
      </c>
      <c r="T13" s="634">
        <f>SUM(ECMData_EndUse[[#This Row],[External Lighting - Elec]:[External Lighting - Gas]])</f>
        <v>0</v>
      </c>
      <c r="U13" s="634">
        <f>INDEX(ECMData_ECM7[#All],MATCH("Electrical Energy Use [kBTU]",ECMData_Baseline[[#All],[Energy]],0),MATCH("Space Heating",ECMData_Baseline[#Headers],0))</f>
        <v>0</v>
      </c>
      <c r="V13" s="634">
        <f>INDEX(ECMData_ECM7[#All],MATCH("Natural Gas Energy Use [kBTU]",ECMData_Baseline[[#All],[Energy]],0),MATCH("Space Heating",ECMData_Baseline[#Headers],0))</f>
        <v>0</v>
      </c>
      <c r="W13" s="634">
        <f>SUM(ECMData_EndUse[[#This Row],[Space Heating - Elec]:[Space Heating - Gas]])</f>
        <v>0</v>
      </c>
      <c r="X13" s="634">
        <f>INDEX(ECMData_ECM7[#All],MATCH("Electrical Energy Use [kBTU]",ECMData_Baseline[[#All],[Energy]],0),MATCH("Space Cooling",ECMData_Baseline[#Headers],0))</f>
        <v>0</v>
      </c>
      <c r="Y13" s="634">
        <f>INDEX(ECMData_ECM7[#All],MATCH("Natural Gas Energy Use [kBTU]",ECMData_Baseline[[#All],[Energy]],0),MATCH("Space Cooling",ECMData_Baseline[#Headers],0))</f>
        <v>0</v>
      </c>
      <c r="Z13" s="634">
        <f>SUM(ECMData_EndUse[[#This Row],[Space Cooling - Elec]:[Space Cooling - Gas]])</f>
        <v>0</v>
      </c>
      <c r="AA13" s="634">
        <f>INDEX(ECMData_ECM7[#All],MATCH("Electrical Energy Use [kBTU]",ECMData_Baseline[[#All],[Energy]],0),MATCH("Pumps",ECMData_Baseline[#Headers],0))</f>
        <v>0</v>
      </c>
      <c r="AB13" s="634">
        <f>INDEX(ECMData_ECM7[#All],MATCH("Natural Gas Energy Use [kBTU]",ECMData_Baseline[[#All],[Energy]],0),MATCH("Pumps",ECMData_Baseline[#Headers],0))</f>
        <v>0</v>
      </c>
      <c r="AC13" s="634">
        <f>SUM(ECMData_EndUse[[#This Row],[Pumps - Elec]:[Pumps - Gas]])</f>
        <v>0</v>
      </c>
      <c r="AD13" s="634">
        <f>INDEX(ECMData_ECM7[#All],MATCH("Electrical Energy Use [kBTU]",ECMData_Baseline[[#All],[Energy]],0),MATCH("Fans Process",ECMData_Baseline[#Headers],0))</f>
        <v>0</v>
      </c>
      <c r="AE13" s="634">
        <f>INDEX(ECMData_ECM7[#All],MATCH("Natural Gas Energy Use [kBTU]",ECMData_Baseline[[#All],[Energy]],0),MATCH("Fans Process",ECMData_Baseline[#Headers],0))</f>
        <v>0</v>
      </c>
      <c r="AF13" s="634">
        <f>SUM(ECMData_EndUse[[#This Row],[Fans Process - Elec]:[Fans Process - Gas]])</f>
        <v>0</v>
      </c>
      <c r="AG13" s="634">
        <f>INDEX(ECMData_ECM7[#All],MATCH("Electrical Energy Use [kBTU]",ECMData_Baseline[[#All],[Energy]],0),MATCH("Fans Interior",ECMData_Baseline[#Headers],0))</f>
        <v>0</v>
      </c>
      <c r="AH13" s="634">
        <f>INDEX(ECMData_ECM7[#All],MATCH("Natural Gas Energy Use [kBTU]",ECMData_Baseline[[#All],[Energy]],0),MATCH("Fans Interior",ECMData_Baseline[#Headers],0))</f>
        <v>0</v>
      </c>
      <c r="AI13" s="634">
        <f>SUM(ECMData_EndUse[[#This Row],[Fans Interior - Elec]:[Fans Interior - Gas]])</f>
        <v>0</v>
      </c>
      <c r="AJ13" s="634">
        <f>INDEX(ECMData_ECM7[#All],MATCH("Electrical Energy Use [kBTU]",ECMData_Baseline[[#All],[Energy]],0),MATCH("Fans Parking Garage",ECMData_Baseline[#Headers],0))</f>
        <v>0</v>
      </c>
      <c r="AK13" s="634">
        <f>INDEX(ECMData_ECM7[#All],MATCH("Natural Gas Energy Use [kBTU]",ECMData_Baseline[[#All],[Energy]],0),MATCH("Fans Parking Garage",ECMData_Baseline[#Headers],0))</f>
        <v>0</v>
      </c>
      <c r="AL13" s="634">
        <f>SUM(ECMData_EndUse[[#This Row],[Fans Parking Garage - Elec]:[Fans Parking Garage - Gas]])</f>
        <v>0</v>
      </c>
      <c r="AM13" s="634">
        <f>INDEX(ECMData_ECM7[#All],MATCH("Electrical Energy Use [kBTU]",ECMData_Baseline[[#All],[Energy]],0),MATCH("Service Water Heating",ECMData_Baseline[#Headers],0))</f>
        <v>0</v>
      </c>
      <c r="AN13" s="634">
        <f>INDEX(ECMData_ECM7[#All],MATCH("Natural Gas Energy Use [kBTU]",ECMData_Baseline[[#All],[Energy]],0),MATCH("Service Water Heating",ECMData_Baseline[#Headers],0))</f>
        <v>0</v>
      </c>
      <c r="AO13" s="634">
        <f>SUM(ECMData_EndUse[[#This Row],[Service Water Heating - Elec]:[Service Water Heating - Gas]])</f>
        <v>0</v>
      </c>
      <c r="AP13" s="634">
        <f>INDEX(ECMData_ECM7[#All],MATCH("Electrical Energy Use [kBTU]",ECMData_Baseline[[#All],[Energy]],0),MATCH("Receptacle Equipment",ECMData_Baseline[#Headers],0))</f>
        <v>0</v>
      </c>
      <c r="AQ13" s="634">
        <f>INDEX(ECMData_ECM7[#All],MATCH("Natural Gas Energy Use [kBTU]",ECMData_Baseline[[#All],[Energy]],0),MATCH("Receptacle Equipment",ECMData_Baseline[#Headers],0))</f>
        <v>0</v>
      </c>
      <c r="AR13" s="634">
        <f>SUM(ECMData_EndUse[[#This Row],[Receptacle Equipment - Elec]:[Receptacle Equipment - Gas]])</f>
        <v>0</v>
      </c>
      <c r="AS13" s="634">
        <f>INDEX(ECMData_ECM7[#All],MATCH("Electrical Energy Use [kBTU]",ECMData_Baseline[[#All],[Energy]],0),MATCH("Interior Lighting Process",ECMData_Baseline[#Headers],0))</f>
        <v>0</v>
      </c>
      <c r="AT13" s="634">
        <f>INDEX(ECMData_ECM7[#All],MATCH("Natural Gas Energy Use [kBTU]",ECMData_Baseline[[#All],[Energy]],0),MATCH("Interior Lighting Process",ECMData_Baseline[#Headers],0))</f>
        <v>0</v>
      </c>
      <c r="AU13" s="634">
        <f>SUM(ECMData_EndUse[[#This Row],[Interior Lighting Process - Elec]:[Interior Lighting Process - Gas]])</f>
        <v>0</v>
      </c>
      <c r="AV13" s="634">
        <f>INDEX(ECMData_ECM7[#All],MATCH("Electrical Energy Use [kBTU]",ECMData_Baseline[[#All],[Energy]],0),MATCH("Refrigeration",ECMData_Baseline[#Headers],0))</f>
        <v>0</v>
      </c>
      <c r="AW13" s="634">
        <f>INDEX(ECMData_ECM7[#All],MATCH("Natural Gas Energy Use [kBTU]",ECMData_Baseline[[#All],[Energy]],0),MATCH("Refrigeration",ECMData_Baseline[#Headers],0))</f>
        <v>0</v>
      </c>
      <c r="AX13" s="634">
        <f>SUM(ECMData_EndUse[[#This Row],[Refrigeration - Elec]:[Refrigeration - Gas]])</f>
        <v>0</v>
      </c>
      <c r="AY13" s="634">
        <f>INDEX(ECMData_ECM7[#All],MATCH("Electrical Energy Use [kBTU]",ECMData_Baseline[[#All],[Energy]],0),MATCH("Data Centre Equipment",ECMData_Baseline[#Headers],0))</f>
        <v>0</v>
      </c>
      <c r="AZ13" s="634">
        <f>INDEX(ECMData_ECM7[#All],MATCH("Natural Gas Energy Use [kBTU]",ECMData_Baseline[[#All],[Energy]],0),MATCH("Data Centre Equipment",ECMData_Baseline[#Headers],0))</f>
        <v>0</v>
      </c>
      <c r="BA13" s="634">
        <f>SUM(ECMData_EndUse[[#This Row],[Data Centre Equipment - Elec]:[Data Centre Equipment - Gas]])</f>
        <v>0</v>
      </c>
      <c r="BB13" s="634">
        <f>INDEX(ECMData_ECM7[#All],MATCH("Electrical Energy Use [kBTU]",ECMData_Baseline[[#All],[Energy]],0),MATCH("Cooking",ECMData_Baseline[#Headers],0))</f>
        <v>0</v>
      </c>
      <c r="BC13" s="634">
        <f>INDEX(ECMData_ECM7[#All],MATCH("Natural Gas Energy Use [kBTU]",ECMData_Baseline[[#All],[Energy]],0),MATCH("Cooking",ECMData_Baseline[#Headers],0))</f>
        <v>0</v>
      </c>
      <c r="BD13" s="634">
        <f>SUM(ECMData_EndUse[[#This Row],[Cooking - Elec]:[Cooking - Gas]])</f>
        <v>0</v>
      </c>
      <c r="BE13" s="634">
        <f>INDEX(ECMData_ECM7[#All],MATCH("Electrical Energy Use [kBTU]",ECMData_Baseline[[#All],[Energy]],0),MATCH("Elevators/ Escalators",ECMData_Baseline[#Headers],0))</f>
        <v>0</v>
      </c>
      <c r="BF13" s="634">
        <f>INDEX(ECMData_ECM7[#All],MATCH("Natural Gas Energy Use [kBTU]",ECMData_Baseline[[#All],[Energy]],0),MATCH("Elevators/ Escalators",ECMData_Baseline[#Headers],0))</f>
        <v>0</v>
      </c>
      <c r="BG13" s="634">
        <f>SUM(ECMData_EndUse[[#This Row],[Elevators/ Escalators - Elec]:[Elevators/ Escalators - Gas]])</f>
        <v>0</v>
      </c>
      <c r="BH13" s="634">
        <f>INDEX(ECMData_ECM7[#All],MATCH("Electrical Energy Use [kBTU]",ECMData_Baseline[[#All],[Energy]],0),MATCH("Heat Rejection",ECMData_Baseline[#Headers],0))</f>
        <v>0</v>
      </c>
      <c r="BI13" s="634">
        <f>INDEX(ECMData_ECM7[#All],MATCH("Natural Gas Energy Use [kBTU]",ECMData_Baseline[[#All],[Energy]],0),MATCH("Heat Rejection",ECMData_Baseline[#Headers],0))</f>
        <v>0</v>
      </c>
      <c r="BJ13" s="634">
        <f>SUM(ECMData_EndUse[[#This Row],[Heat Rejection - Elec]:[Heat Rejection - Gas]])</f>
        <v>0</v>
      </c>
      <c r="BK13" s="634">
        <f>INDEX(ECMData_ECM7[#All],MATCH("Electrical Energy Use [kBTU]",ECMData_Baseline[[#All],[Energy]],0),MATCH("Combined Heat and Power",ECMData_Baseline[#Headers],0))</f>
        <v>0</v>
      </c>
      <c r="BL13" s="634">
        <f>INDEX(ECMData_ECM7[#All],MATCH("Natural Gas Energy Use [kBTU]",ECMData_Baseline[[#All],[Energy]],0),MATCH("Combined Heat and Power",ECMData_Baseline[#Headers],0))</f>
        <v>0</v>
      </c>
      <c r="BM13" s="634">
        <f>SUM(ECMData_EndUse[[#This Row],[Combined Heat and Power - Elec]:[Combined Heat and Power - Gas]])</f>
        <v>0</v>
      </c>
      <c r="BN13" s="634">
        <f>INDEX(ECMData_ECM7[#All],MATCH("Electrical Energy Use [kBTU]",ECMData_Baseline[[#All],[Energy]],0),MATCH("Humidification",ECMData_Baseline[#Headers],0))</f>
        <v>0</v>
      </c>
      <c r="BO13" s="634">
        <f>INDEX(ECMData_ECM7[#All],MATCH("Natural Gas Energy Use [kBTU]",ECMData_Baseline[[#All],[Energy]],0),MATCH("Humidification",ECMData_Baseline[#Headers],0))</f>
        <v>0</v>
      </c>
      <c r="BP13" s="634">
        <f>SUM(ECMData_EndUse[[#This Row],[Humidification - Elec]:[Humidification - Gas]])</f>
        <v>0</v>
      </c>
      <c r="BQ13" s="634">
        <f>INDEX(ECMData_ECM7[#All],MATCH("Electrical Energy Use [kBTU]",ECMData_Baseline[[#All],[Energy]],0),MATCH("Other Processes",ECMData_Baseline[#Headers],0))</f>
        <v>0</v>
      </c>
      <c r="BR13" s="634">
        <f>INDEX(ECMData_ECM7[#All],MATCH("Natural Gas Energy Use [kBTU]",ECMData_Baseline[[#All],[Energy]],0),MATCH("Other Processes",ECMData_Baseline[#Headers],0))</f>
        <v>0</v>
      </c>
      <c r="BS13" s="634">
        <f>SUM(ECMData_EndUse[[#This Row],[Other Processes - Elec]:[Other Processes - Gas]])</f>
        <v>0</v>
      </c>
      <c r="BT13" s="660"/>
      <c r="BU13" s="660"/>
      <c r="BV13" s="660"/>
      <c r="BW13" s="660"/>
      <c r="BX13" s="660"/>
      <c r="BY13" s="660"/>
      <c r="BZ13" s="660"/>
      <c r="CA13" s="660"/>
      <c r="CB13" s="660"/>
      <c r="CC13" s="660"/>
      <c r="CD13" s="660"/>
      <c r="CE13" s="660"/>
      <c r="CF13" s="660"/>
      <c r="CG13" s="660"/>
      <c r="CH13" s="660"/>
      <c r="CI13" s="660"/>
      <c r="CJ13" s="660"/>
      <c r="CK13" s="660"/>
      <c r="CL13" s="660"/>
      <c r="CM13" s="660"/>
      <c r="CN13" s="660"/>
      <c r="CO13" s="660"/>
      <c r="CP13" s="660"/>
      <c r="CQ13" s="660"/>
      <c r="CR13" s="660"/>
      <c r="CS13" s="660"/>
      <c r="CT13" s="660"/>
      <c r="CU13" s="660"/>
      <c r="CV13" s="660"/>
      <c r="CW13" s="660"/>
      <c r="CX13" s="660"/>
      <c r="CY13" s="660"/>
      <c r="CZ13" s="660"/>
      <c r="DA13" s="660"/>
      <c r="DB13" s="660"/>
      <c r="DC13" s="660"/>
      <c r="DD13" s="660"/>
      <c r="DE13" s="660"/>
      <c r="DF13" s="660"/>
      <c r="DG13" s="660"/>
      <c r="DH13" s="660"/>
      <c r="DI13" s="660"/>
      <c r="DJ13" s="660"/>
      <c r="DK13" s="660"/>
      <c r="DL13" s="660"/>
      <c r="DM13" s="660"/>
      <c r="DN13" s="660"/>
      <c r="DO13" s="660"/>
      <c r="DP13" s="660"/>
      <c r="DQ13" s="660"/>
      <c r="DR13" s="660"/>
      <c r="DS13" s="660"/>
      <c r="DT13" s="660"/>
      <c r="DU13" s="660"/>
      <c r="DV13" s="660"/>
      <c r="DW13" s="660"/>
      <c r="DY13" s="560"/>
      <c r="DZ13" s="560"/>
      <c r="EB13" s="18" t="str">
        <f>ECMData_Summary[[#This Row],[Column1]]</f>
        <v>ECM-7</v>
      </c>
      <c r="EC13" s="590">
        <f ca="1">ECMData_Summary[[#This Row],[Column2]]</f>
        <v>0</v>
      </c>
      <c r="ED13" s="634" cm="1">
        <f t="array" ref="ED13">IFERROR(INDEX('ECM Data'!$A$1:$T$119,MATCH(Table202224[[#This Row],[Column1]],'ECM Data'!$A$1:$A$119,0)+4,MATCH('ECM Reports'!ED$4,'ECM Data'!$A$6:$T$6,0))*ED$2,"")</f>
        <v>0</v>
      </c>
      <c r="EE13" s="634" cm="1">
        <f t="array" ref="EE13">IFERROR(INDEX('ECM Data'!$A$1:$T$119,MATCH(Table202224[[#This Row],[Column1]],'ECM Data'!$A$1:$A$119,0)+4,MATCH('ECM Reports'!EE$4,'ECM Data'!$A$6:$T$6,0))*EE$2,"")</f>
        <v>0</v>
      </c>
      <c r="EF13" s="634" cm="1">
        <f t="array" ref="EF13">IFERROR(INDEX('ECM Data'!$A$1:$T$119,MATCH(Table202224[[#This Row],[Column1]],'ECM Data'!$A$1:$A$119,0)+4,MATCH('ECM Reports'!EF$4,'ECM Data'!$A$6:$T$6,0))*EF$2,"")</f>
        <v>0</v>
      </c>
      <c r="EG13" s="634" cm="1">
        <f t="array" ref="EG13">IFERROR(INDEX('ECM Data'!$A$1:$T$119,MATCH(Table202224[[#This Row],[Column1]],'ECM Data'!$A$1:$A$119,0)+4,MATCH('ECM Reports'!EG$4,'ECM Data'!$A$6:$T$6,0))*EG$2,"")</f>
        <v>0</v>
      </c>
      <c r="EH13" s="634" cm="1">
        <f t="array" ref="EH13">IFERROR(INDEX('ECM Data'!$A$1:$T$119,MATCH(Table202224[[#This Row],[Column1]],'ECM Data'!$A$1:$A$119,0)+4,MATCH('ECM Reports'!EH$4,'ECM Data'!$A$6:$T$6,0))*EH$2,"")</f>
        <v>0</v>
      </c>
      <c r="EI13" s="634" cm="1">
        <f t="array" ref="EI13">IFERROR(INDEX('ECM Data'!$A$1:$T$119,MATCH(Table202224[[#This Row],[Column1]],'ECM Data'!$A$1:$A$119,0)+4,MATCH('ECM Reports'!EI$4,'ECM Data'!$A$6:$T$6,0))*EI$2,"")</f>
        <v>0</v>
      </c>
      <c r="EJ13" s="634" cm="1">
        <f t="array" ref="EJ13">IFERROR(INDEX('ECM Data'!$A$1:$T$119,MATCH(Table202224[[#This Row],[Column1]],'ECM Data'!$A$1:$A$119,0)+4,MATCH('ECM Reports'!EJ$4,'ECM Data'!$A$6:$T$6,0))*EJ$2,"")</f>
        <v>0</v>
      </c>
      <c r="EK13" s="634" cm="1">
        <f t="array" ref="EK13">IFERROR(INDEX('ECM Data'!$A$1:$T$119,MATCH(Table202224[[#This Row],[Column1]],'ECM Data'!$A$1:$A$119,0)+4,MATCH('ECM Reports'!EK$4,'ECM Data'!$A$6:$T$6,0))*EK$2,"")</f>
        <v>0</v>
      </c>
      <c r="EL13" s="634" cm="1">
        <f t="array" ref="EL13">IFERROR(INDEX('ECM Data'!$A$1:$T$119,MATCH(Table202224[[#This Row],[Column1]],'ECM Data'!$A$1:$A$119,0)+4,MATCH('ECM Reports'!EL$4,'ECM Data'!$A$6:$T$6,0))*EL$2,"")</f>
        <v>0</v>
      </c>
      <c r="EM13" s="634" cm="1">
        <f t="array" ref="EM13">IFERROR(INDEX('ECM Data'!$A$1:$T$119,MATCH(Table202224[[#This Row],[Column1]],'ECM Data'!$A$1:$A$119,0)+4,MATCH('ECM Reports'!EM$4,'ECM Data'!$A$6:$T$6,0))*EM$2,"")</f>
        <v>0</v>
      </c>
      <c r="EN13" s="634" cm="1">
        <f t="array" ref="EN13">IFERROR(INDEX('ECM Data'!$A$1:$T$119,MATCH(Table202224[[#This Row],[Column1]],'ECM Data'!$A$1:$A$119,0)+4,MATCH('ECM Reports'!EN$4,'ECM Data'!$A$6:$T$6,0))*EN$2,"")</f>
        <v>0</v>
      </c>
      <c r="EO13" s="634" cm="1">
        <f t="array" ref="EO13">IFERROR(INDEX('ECM Data'!$A$1:$T$119,MATCH(Table202224[[#This Row],[Column1]],'ECM Data'!$A$1:$A$119,0)+4,MATCH('ECM Reports'!EO$4,'ECM Data'!$A$6:$T$6,0))*EO$2,"")</f>
        <v>0</v>
      </c>
      <c r="EP13" s="634" cm="1">
        <f t="array" ref="EP13">IFERROR(INDEX('ECM Data'!$A$1:$T$119,MATCH(Table202224[[#This Row],[Column1]],'ECM Data'!$A$1:$A$119,0)+4,MATCH('ECM Reports'!EP$4,'ECM Data'!$A$6:$T$6,0))*EP$2,"")</f>
        <v>0</v>
      </c>
      <c r="EQ13" s="634" cm="1">
        <f t="array" ref="EQ13">IFERROR(INDEX('ECM Data'!$A$1:$T$119,MATCH(Table202224[[#This Row],[Column1]],'ECM Data'!$A$1:$A$119,0)+4,MATCH('ECM Reports'!EQ$4,'ECM Data'!$A$6:$T$6,0))*EQ$2,"")</f>
        <v>0</v>
      </c>
      <c r="ER13" s="634" cm="1">
        <f t="array" ref="ER13">IFERROR(INDEX('ECM Data'!$A$1:$T$119,MATCH(Table202224[[#This Row],[Column1]],'ECM Data'!$A$1:$A$119,0)+4,MATCH('ECM Reports'!ER$4,'ECM Data'!$A$6:$T$6,0))*ER$2,"")</f>
        <v>0</v>
      </c>
      <c r="ES13" s="634" cm="1">
        <f t="array" ref="ES13">IFERROR(INDEX('ECM Data'!$A$1:$T$119,MATCH(Table202224[[#This Row],[Column1]],'ECM Data'!$A$1:$A$119,0)+4,MATCH('ECM Reports'!ES$4,'ECM Data'!$A$6:$T$6,0))*ES$2,"")</f>
        <v>0</v>
      </c>
      <c r="ET13" s="634" cm="1">
        <f t="array" ref="ET13">IFERROR(INDEX('ECM Data'!$A$1:$T$119,MATCH(Table202224[[#This Row],[Column1]],'ECM Data'!$A$1:$A$119,0)+4,MATCH('ECM Reports'!ET$4,'ECM Data'!$A$6:$T$6,0))*ET$2,"")</f>
        <v>0</v>
      </c>
      <c r="EU13" s="634" cm="1">
        <f t="array" ref="EU13">IFERROR(INDEX('ECM Data'!$A$1:$T$119,MATCH(Table202224[[#This Row],[Column1]],'ECM Data'!$A$1:$A$119,0)+4,MATCH('ECM Reports'!EU$4,'ECM Data'!$A$6:$T$6,0))*EU$2,"")</f>
        <v>0</v>
      </c>
      <c r="EV13" s="634" cm="1">
        <f t="array" ref="EV13">IFERROR(INDEX('ECM Data'!$A$1:$T$119,MATCH(Table202224[[#This Row],[Column1]],'ECM Data'!$A$1:$A$119,0)+4,MATCH('ECM Reports'!EV$4,'ECM Data'!$A$6:$T$6,0))*EV$2,"")</f>
        <v>0</v>
      </c>
      <c r="EW13" s="635">
        <f>SUM(Table202224[[#This Row],[Column3]:[Column22]])</f>
        <v>0</v>
      </c>
    </row>
    <row r="14" spans="1:153" ht="30" x14ac:dyDescent="0.25">
      <c r="A14" s="19" t="s">
        <v>884</v>
      </c>
      <c r="B14" s="590" t="str">
        <f ca="1">OFFSET('ECM Data'!$A$1,MATCH('ECM Reports'!$A14,'ECM Data'!$A:$A,0)-1,1)</f>
        <v>Proposed Design</v>
      </c>
      <c r="C14" s="20">
        <f ca="1">OFFSET('ECM Data'!$A$1,MATCH('ECM Reports'!$A14,'ECM Data'!$A:$A,0)+6,1)</f>
        <v>0</v>
      </c>
      <c r="D14" s="20">
        <f ca="1">OFFSET('ECM Data'!$A$1,MATCH('ECM Reports'!$A14,'ECM Data'!$A:$A,0)+7,1)</f>
        <v>0</v>
      </c>
      <c r="E14" s="20">
        <f ca="1">OFFSET('ECM Data'!$A$1,MATCH('ECM Reports'!$A14,'ECM Data'!$A:$A,0)+8,1)</f>
        <v>0</v>
      </c>
      <c r="F14" s="506" t="str">
        <f ca="1">IFERROR(ECMData_Summary[[#This Row],[Column5]]/SUM(MasterRoomList_SpaceTypeTable[Area (sf)]),"")</f>
        <v/>
      </c>
      <c r="G14" s="663">
        <f ca="1">OFFSET('ECM Data'!$A$1,MATCH('ECM Reports'!$A14,'ECM Data'!$A:$A,0)+6,3)</f>
        <v>0</v>
      </c>
      <c r="H14" s="663">
        <f ca="1">OFFSET('ECM Data'!$A$1,MATCH('ECM Reports'!$A14,'ECM Data'!$A:$A,0)+7,3)</f>
        <v>0</v>
      </c>
      <c r="I14" s="663">
        <f ca="1">OFFSET('ECM Data'!$A$1,MATCH('ECM Reports'!$A14,'ECM Data'!$A:$A,0)+8,3)</f>
        <v>0</v>
      </c>
      <c r="J14" s="505" t="str">
        <f ca="1">IFERROR(1-ECMData_Summary[[#This Row],[Column5]]/$E$6,"")</f>
        <v/>
      </c>
      <c r="K14" s="505" t="str">
        <f ca="1">IFERROR(1-ECMData_Summary[[#This Row],[Column8]]/$I$6,"")</f>
        <v/>
      </c>
      <c r="M14" s="19" t="str">
        <f>ECMData_Summary[[#This Row],[Column1]]</f>
        <v>Proposed</v>
      </c>
      <c r="N14" s="590" t="str">
        <f ca="1">ECMData_Summary[[#This Row],[Column2]]</f>
        <v>Proposed Design</v>
      </c>
      <c r="O14" s="634">
        <f>INDEX(ECMData_Proposed[#All],MATCH("Electrical Energy Use [kBTU]",ECMData_Baseline[[#All],[Energy]],0),MATCH("Internal Lighting",ECMData_Baseline[#Headers],0))</f>
        <v>0</v>
      </c>
      <c r="P14" s="634">
        <f>INDEX(ECMData_Proposed[#All],MATCH("Natural Gas Energy Use [kBTU]",ECMData_Baseline[[#All],[Energy]],0),MATCH("Internal Lighting",ECMData_Baseline[#Headers],0))</f>
        <v>0</v>
      </c>
      <c r="Q14" s="634">
        <f>SUM(ECMData_EndUse[[#This Row],[Internal Lighitng - Elec]:[Internal Lighting - Gas]])</f>
        <v>0</v>
      </c>
      <c r="R14" s="634">
        <f>INDEX(ECMData_Proposed[#All],MATCH("Electrical Energy Use [kBTU]",ECMData_Baseline[[#All],[Energy]],0),MATCH("Internal Lighting",ECMData_Baseline[#Headers],0))</f>
        <v>0</v>
      </c>
      <c r="S14" s="634">
        <f>INDEX(ECMData_Proposed[#All],MATCH("Natural Gas Energy Use [kBTU]",ECMData_Baseline[[#All],[Energy]],0),MATCH("Internal Lighting",ECMData_Baseline[#Headers],0))</f>
        <v>0</v>
      </c>
      <c r="T14" s="634">
        <f>SUM(ECMData_EndUse[[#This Row],[External Lighting - Elec]:[External Lighting - Gas]])</f>
        <v>0</v>
      </c>
      <c r="U14" s="634">
        <f>INDEX(ECMData_Proposed[#All],MATCH("Electrical Energy Use [kBTU]",ECMData_Baseline[[#All],[Energy]],0),MATCH("Space Heating",ECMData_Baseline[#Headers],0))</f>
        <v>0</v>
      </c>
      <c r="V14" s="634">
        <f>INDEX(ECMData_Proposed[#All],MATCH("Natural Gas Energy Use [kBTU]",ECMData_Baseline[[#All],[Energy]],0),MATCH("Space Heating",ECMData_Baseline[#Headers],0))</f>
        <v>0</v>
      </c>
      <c r="W14" s="634">
        <f>SUM(ECMData_EndUse[[#This Row],[Space Heating - Elec]:[Space Heating - Gas]])</f>
        <v>0</v>
      </c>
      <c r="X14" s="634">
        <f>INDEX(ECMData_Proposed[#All],MATCH("Electrical Energy Use [kBTU]",ECMData_Baseline[[#All],[Energy]],0),MATCH("Space Cooling",ECMData_Baseline[#Headers],0))</f>
        <v>0</v>
      </c>
      <c r="Y14" s="634">
        <f>INDEX(ECMData_Proposed[#All],MATCH("Natural Gas Energy Use [kBTU]",ECMData_Baseline[[#All],[Energy]],0),MATCH("Space Cooling",ECMData_Baseline[#Headers],0))</f>
        <v>0</v>
      </c>
      <c r="Z14" s="634">
        <f>SUM(ECMData_EndUse[[#This Row],[Space Cooling - Elec]:[Space Cooling - Gas]])</f>
        <v>0</v>
      </c>
      <c r="AA14" s="634">
        <f>INDEX(ECMData_Proposed[#All],MATCH("Electrical Energy Use [kBTU]",ECMData_Baseline[[#All],[Energy]],0),MATCH("Pumps",ECMData_Baseline[#Headers],0))</f>
        <v>0</v>
      </c>
      <c r="AB14" s="634">
        <f>INDEX(ECMData_Proposed[#All],MATCH("Natural Gas Energy Use [kBTU]",ECMData_Baseline[[#All],[Energy]],0),MATCH("Pumps",ECMData_Baseline[#Headers],0))</f>
        <v>0</v>
      </c>
      <c r="AC14" s="634">
        <f>SUM(ECMData_EndUse[[#This Row],[Pumps - Elec]:[Pumps - Gas]])</f>
        <v>0</v>
      </c>
      <c r="AD14" s="634">
        <f>INDEX(ECMData_Proposed[#All],MATCH("Electrical Energy Use [kBTU]",ECMData_Baseline[[#All],[Energy]],0),MATCH("Fans Process",ECMData_Baseline[#Headers],0))</f>
        <v>0</v>
      </c>
      <c r="AE14" s="634">
        <f>INDEX(ECMData_Proposed[#All],MATCH("Natural Gas Energy Use [kBTU]",ECMData_Baseline[[#All],[Energy]],0),MATCH("Fans Process",ECMData_Baseline[#Headers],0))</f>
        <v>0</v>
      </c>
      <c r="AF14" s="634">
        <f>SUM(ECMData_EndUse[[#This Row],[Fans Process - Elec]:[Fans Process - Gas]])</f>
        <v>0</v>
      </c>
      <c r="AG14" s="634">
        <f>INDEX(ECMData_Proposed[#All],MATCH("Electrical Energy Use [kBTU]",ECMData_Baseline[[#All],[Energy]],0),MATCH("Fans Interior",ECMData_Baseline[#Headers],0))</f>
        <v>0</v>
      </c>
      <c r="AH14" s="634">
        <f>INDEX(ECMData_Proposed[#All],MATCH("Natural Gas Energy Use [kBTU]",ECMData_Baseline[[#All],[Energy]],0),MATCH("Fans Interior",ECMData_Baseline[#Headers],0))</f>
        <v>0</v>
      </c>
      <c r="AI14" s="634">
        <f>SUM(ECMData_EndUse[[#This Row],[Fans Interior - Elec]:[Fans Interior - Gas]])</f>
        <v>0</v>
      </c>
      <c r="AJ14" s="634">
        <f>INDEX(ECMData_Proposed[#All],MATCH("Electrical Energy Use [kBTU]",ECMData_Baseline[[#All],[Energy]],0),MATCH("Fans Parking Garage",ECMData_Baseline[#Headers],0))</f>
        <v>0</v>
      </c>
      <c r="AK14" s="634">
        <f>INDEX(ECMData_Proposed[#All],MATCH("Natural Gas Energy Use [kBTU]",ECMData_Baseline[[#All],[Energy]],0),MATCH("Fans Parking Garage",ECMData_Baseline[#Headers],0))</f>
        <v>0</v>
      </c>
      <c r="AL14" s="634">
        <f>SUM(ECMData_EndUse[[#This Row],[Fans Parking Garage - Elec]:[Fans Parking Garage - Gas]])</f>
        <v>0</v>
      </c>
      <c r="AM14" s="634">
        <f>INDEX(ECMData_Proposed[#All],MATCH("Electrical Energy Use [kBTU]",ECMData_Baseline[[#All],[Energy]],0),MATCH("Service Water Heating",ECMData_Baseline[#Headers],0))</f>
        <v>0</v>
      </c>
      <c r="AN14" s="634">
        <f>INDEX(ECMData_Proposed[#All],MATCH("Natural Gas Energy Use [kBTU]",ECMData_Baseline[[#All],[Energy]],0),MATCH("Service Water Heating",ECMData_Baseline[#Headers],0))</f>
        <v>0</v>
      </c>
      <c r="AO14" s="634">
        <f>SUM(ECMData_EndUse[[#This Row],[Service Water Heating - Elec]:[Service Water Heating - Gas]])</f>
        <v>0</v>
      </c>
      <c r="AP14" s="634">
        <f>INDEX(ECMData_Proposed[#All],MATCH("Electrical Energy Use [kBTU]",ECMData_Baseline[[#All],[Energy]],0),MATCH("Receptacle Equipment",ECMData_Baseline[#Headers],0))</f>
        <v>0</v>
      </c>
      <c r="AQ14" s="634">
        <f>INDEX(ECMData_Proposed[#All],MATCH("Natural Gas Energy Use [kBTU]",ECMData_Baseline[[#All],[Energy]],0),MATCH("Receptacle Equipment",ECMData_Baseline[#Headers],0))</f>
        <v>0</v>
      </c>
      <c r="AR14" s="634">
        <f>SUM(ECMData_EndUse[[#This Row],[Receptacle Equipment - Elec]:[Receptacle Equipment - Gas]])</f>
        <v>0</v>
      </c>
      <c r="AS14" s="634">
        <f>INDEX(ECMData_Proposed[#All],MATCH("Electrical Energy Use [kBTU]",ECMData_Baseline[[#All],[Energy]],0),MATCH("Interior Lighting Process",ECMData_Baseline[#Headers],0))</f>
        <v>0</v>
      </c>
      <c r="AT14" s="634">
        <f>INDEX(ECMData_Proposed[#All],MATCH("Natural Gas Energy Use [kBTU]",ECMData_Baseline[[#All],[Energy]],0),MATCH("Interior Lighting Process",ECMData_Baseline[#Headers],0))</f>
        <v>0</v>
      </c>
      <c r="AU14" s="634">
        <f>SUM(ECMData_EndUse[[#This Row],[Interior Lighting Process - Elec]:[Interior Lighting Process - Gas]])</f>
        <v>0</v>
      </c>
      <c r="AV14" s="634">
        <f>INDEX(ECMData_Proposed[#All],MATCH("Electrical Energy Use [kBTU]",ECMData_Baseline[[#All],[Energy]],0),MATCH("Refrigeration",ECMData_Baseline[#Headers],0))</f>
        <v>0</v>
      </c>
      <c r="AW14" s="634">
        <f>INDEX(ECMData_Proposed[#All],MATCH("Natural Gas Energy Use [kBTU]",ECMData_Baseline[[#All],[Energy]],0),MATCH("Refrigeration",ECMData_Baseline[#Headers],0))</f>
        <v>0</v>
      </c>
      <c r="AX14" s="634">
        <f>SUM(ECMData_EndUse[[#This Row],[Refrigeration - Elec]:[Refrigeration - Gas]])</f>
        <v>0</v>
      </c>
      <c r="AY14" s="634">
        <f>INDEX(ECMData_Proposed[#All],MATCH("Electrical Energy Use [kBTU]",ECMData_Baseline[[#All],[Energy]],0),MATCH("Data Centre Equipment",ECMData_Baseline[#Headers],0))</f>
        <v>0</v>
      </c>
      <c r="AZ14" s="634">
        <f>INDEX(ECMData_Proposed[#All],MATCH("Natural Gas Energy Use [kBTU]",ECMData_Baseline[[#All],[Energy]],0),MATCH("Data Centre Equipment",ECMData_Baseline[#Headers],0))</f>
        <v>0</v>
      </c>
      <c r="BA14" s="634">
        <f>SUM(ECMData_EndUse[[#This Row],[Data Centre Equipment - Elec]:[Data Centre Equipment - Gas]])</f>
        <v>0</v>
      </c>
      <c r="BB14" s="634">
        <f>INDEX(ECMData_Proposed[#All],MATCH("Electrical Energy Use [kBTU]",ECMData_Baseline[[#All],[Energy]],0),MATCH("Cooking",ECMData_Baseline[#Headers],0))</f>
        <v>0</v>
      </c>
      <c r="BC14" s="634">
        <f>INDEX(ECMData_Proposed[#All],MATCH("Natural Gas Energy Use [kBTU]",ECMData_Baseline[[#All],[Energy]],0),MATCH("Cooking",ECMData_Baseline[#Headers],0))</f>
        <v>0</v>
      </c>
      <c r="BD14" s="634">
        <f>SUM(ECMData_EndUse[[#This Row],[Cooking - Elec]:[Cooking - Gas]])</f>
        <v>0</v>
      </c>
      <c r="BE14" s="634">
        <f>INDEX(ECMData_Proposed[#All],MATCH("Electrical Energy Use [kBTU]",ECMData_Baseline[[#All],[Energy]],0),MATCH("Elevators/ Escalators",ECMData_Baseline[#Headers],0))</f>
        <v>0</v>
      </c>
      <c r="BF14" s="634">
        <f>INDEX(ECMData_Proposed[#All],MATCH("Natural Gas Energy Use [kBTU]",ECMData_Baseline[[#All],[Energy]],0),MATCH("Elevators/ Escalators",ECMData_Baseline[#Headers],0))</f>
        <v>0</v>
      </c>
      <c r="BG14" s="634">
        <f>SUM(ECMData_EndUse[[#This Row],[Elevators/ Escalators - Elec]:[Elevators/ Escalators - Gas]])</f>
        <v>0</v>
      </c>
      <c r="BH14" s="634">
        <f>INDEX(ECMData_Proposed[#All],MATCH("Electrical Energy Use [kBTU]",ECMData_Baseline[[#All],[Energy]],0),MATCH("Heat Rejection",ECMData_Baseline[#Headers],0))</f>
        <v>0</v>
      </c>
      <c r="BI14" s="634">
        <f>INDEX(ECMData_Proposed[#All],MATCH("Natural Gas Energy Use [kBTU]",ECMData_Baseline[[#All],[Energy]],0),MATCH("Heat Rejection",ECMData_Baseline[#Headers],0))</f>
        <v>0</v>
      </c>
      <c r="BJ14" s="634">
        <f>SUM(ECMData_EndUse[[#This Row],[Heat Rejection - Elec]:[Heat Rejection - Gas]])</f>
        <v>0</v>
      </c>
      <c r="BK14" s="634">
        <f>INDEX(ECMData_Proposed[#All],MATCH("Electrical Energy Use [kBTU]",ECMData_Baseline[[#All],[Energy]],0),MATCH("Combined Heat and Power",ECMData_Baseline[#Headers],0))</f>
        <v>0</v>
      </c>
      <c r="BL14" s="634">
        <f>INDEX(ECMData_Proposed[#All],MATCH("Natural Gas Energy Use [kBTU]",ECMData_Baseline[[#All],[Energy]],0),MATCH("Combined Heat and Power",ECMData_Baseline[#Headers],0))</f>
        <v>0</v>
      </c>
      <c r="BM14" s="634">
        <f>SUM(ECMData_EndUse[[#This Row],[Combined Heat and Power - Elec]:[Combined Heat and Power - Gas]])</f>
        <v>0</v>
      </c>
      <c r="BN14" s="634">
        <f>INDEX(ECMData_Proposed[#All],MATCH("Electrical Energy Use [kBTU]",ECMData_Baseline[[#All],[Energy]],0),MATCH("Humidification",ECMData_Baseline[#Headers],0))</f>
        <v>0</v>
      </c>
      <c r="BO14" s="634">
        <f>INDEX(ECMData_Proposed[#All],MATCH("Natural Gas Energy Use [kBTU]",ECMData_Baseline[[#All],[Energy]],0),MATCH("Humidification",ECMData_Baseline[#Headers],0))</f>
        <v>0</v>
      </c>
      <c r="BP14" s="634">
        <f>SUM(ECMData_EndUse[[#This Row],[Humidification - Elec]:[Humidification - Gas]])</f>
        <v>0</v>
      </c>
      <c r="BQ14" s="634">
        <f>INDEX(ECMData_Proposed[#All],MATCH("Electrical Energy Use [kBTU]",ECMData_Baseline[[#All],[Energy]],0),MATCH("Other Processes",ECMData_Baseline[#Headers],0))</f>
        <v>0</v>
      </c>
      <c r="BR14" s="634">
        <f>INDEX(ECMData_Proposed[#All],MATCH("Natural Gas Energy Use [kBTU]",ECMData_Baseline[[#All],[Energy]],0),MATCH("Other Processes",ECMData_Baseline[#Headers],0))</f>
        <v>0</v>
      </c>
      <c r="BS14" s="634">
        <f>SUM(ECMData_EndUse[[#This Row],[Other Processes - Elec]:[Other Processes - Gas]])</f>
        <v>0</v>
      </c>
      <c r="BT14" s="660"/>
      <c r="BU14" s="660"/>
      <c r="BV14" s="660"/>
      <c r="BW14" s="660"/>
      <c r="BX14" s="660"/>
      <c r="BY14" s="660"/>
      <c r="BZ14" s="660"/>
      <c r="CA14" s="660"/>
      <c r="CB14" s="660"/>
      <c r="CC14" s="660"/>
      <c r="CD14" s="660"/>
      <c r="CE14" s="660"/>
      <c r="CF14" s="660"/>
      <c r="CG14" s="660"/>
      <c r="CH14" s="660"/>
      <c r="CI14" s="660"/>
      <c r="CJ14" s="660"/>
      <c r="CK14" s="660"/>
      <c r="CL14" s="660"/>
      <c r="CM14" s="660"/>
      <c r="CN14" s="660"/>
      <c r="CO14" s="660"/>
      <c r="CP14" s="660"/>
      <c r="CQ14" s="660"/>
      <c r="CR14" s="660"/>
      <c r="CS14" s="660"/>
      <c r="CT14" s="660"/>
      <c r="CU14" s="660"/>
      <c r="CV14" s="660"/>
      <c r="CW14" s="660"/>
      <c r="CX14" s="660"/>
      <c r="CY14" s="660"/>
      <c r="CZ14" s="660"/>
      <c r="DA14" s="660"/>
      <c r="DB14" s="660"/>
      <c r="DC14" s="660"/>
      <c r="DD14" s="660"/>
      <c r="DE14" s="660"/>
      <c r="DF14" s="660"/>
      <c r="DG14" s="660"/>
      <c r="DH14" s="660"/>
      <c r="DI14" s="660"/>
      <c r="DJ14" s="660"/>
      <c r="DK14" s="660"/>
      <c r="DL14" s="660"/>
      <c r="DM14" s="660"/>
      <c r="DN14" s="660"/>
      <c r="DO14" s="660"/>
      <c r="DP14" s="660"/>
      <c r="DQ14" s="660"/>
      <c r="DR14" s="660"/>
      <c r="DS14" s="660"/>
      <c r="DT14" s="660"/>
      <c r="DU14" s="660"/>
      <c r="DV14" s="660"/>
      <c r="DW14" s="660"/>
      <c r="DY14" s="560"/>
      <c r="DZ14" s="560"/>
      <c r="EB14" s="18" t="str">
        <f>ECMData_Summary[[#This Row],[Column1]]</f>
        <v>Proposed</v>
      </c>
      <c r="EC14" s="590" t="str">
        <f ca="1">ECMData_Summary[[#This Row],[Column2]]</f>
        <v>Proposed Design</v>
      </c>
      <c r="ED14" s="634" cm="1">
        <f t="array" ref="ED14">IFERROR(INDEX('ECM Data'!$A$1:$T$119,MATCH(Table202224[[#This Row],[Column1]],'ECM Data'!$A$1:$A$119,0)+4,MATCH('ECM Reports'!ED$4,'ECM Data'!$A$6:$T$6,0))*ED$2,"")</f>
        <v>0</v>
      </c>
      <c r="EE14" s="634" cm="1">
        <f t="array" ref="EE14">IFERROR(INDEX('ECM Data'!$A$1:$T$119,MATCH(Table202224[[#This Row],[Column1]],'ECM Data'!$A$1:$A$119,0)+4,MATCH('ECM Reports'!EE$4,'ECM Data'!$A$6:$T$6,0))*EE$2,"")</f>
        <v>0</v>
      </c>
      <c r="EF14" s="634" cm="1">
        <f t="array" ref="EF14">IFERROR(INDEX('ECM Data'!$A$1:$T$119,MATCH(Table202224[[#This Row],[Column1]],'ECM Data'!$A$1:$A$119,0)+4,MATCH('ECM Reports'!EF$4,'ECM Data'!$A$6:$T$6,0))*EF$2,"")</f>
        <v>0</v>
      </c>
      <c r="EG14" s="634" cm="1">
        <f t="array" ref="EG14">IFERROR(INDEX('ECM Data'!$A$1:$T$119,MATCH(Table202224[[#This Row],[Column1]],'ECM Data'!$A$1:$A$119,0)+4,MATCH('ECM Reports'!EG$4,'ECM Data'!$A$6:$T$6,0))*EG$2,"")</f>
        <v>0</v>
      </c>
      <c r="EH14" s="634" cm="1">
        <f t="array" ref="EH14">IFERROR(INDEX('ECM Data'!$A$1:$T$119,MATCH(Table202224[[#This Row],[Column1]],'ECM Data'!$A$1:$A$119,0)+4,MATCH('ECM Reports'!EH$4,'ECM Data'!$A$6:$T$6,0))*EH$2,"")</f>
        <v>0</v>
      </c>
      <c r="EI14" s="634" cm="1">
        <f t="array" ref="EI14">IFERROR(INDEX('ECM Data'!$A$1:$T$119,MATCH(Table202224[[#This Row],[Column1]],'ECM Data'!$A$1:$A$119,0)+4,MATCH('ECM Reports'!EI$4,'ECM Data'!$A$6:$T$6,0))*EI$2,"")</f>
        <v>0</v>
      </c>
      <c r="EJ14" s="634" cm="1">
        <f t="array" ref="EJ14">IFERROR(INDEX('ECM Data'!$A$1:$T$119,MATCH(Table202224[[#This Row],[Column1]],'ECM Data'!$A$1:$A$119,0)+4,MATCH('ECM Reports'!EJ$4,'ECM Data'!$A$6:$T$6,0))*EJ$2,"")</f>
        <v>0</v>
      </c>
      <c r="EK14" s="634" cm="1">
        <f t="array" ref="EK14">IFERROR(INDEX('ECM Data'!$A$1:$T$119,MATCH(Table202224[[#This Row],[Column1]],'ECM Data'!$A$1:$A$119,0)+4,MATCH('ECM Reports'!EK$4,'ECM Data'!$A$6:$T$6,0))*EK$2,"")</f>
        <v>0</v>
      </c>
      <c r="EL14" s="634" cm="1">
        <f t="array" ref="EL14">IFERROR(INDEX('ECM Data'!$A$1:$T$119,MATCH(Table202224[[#This Row],[Column1]],'ECM Data'!$A$1:$A$119,0)+4,MATCH('ECM Reports'!EL$4,'ECM Data'!$A$6:$T$6,0))*EL$2,"")</f>
        <v>0</v>
      </c>
      <c r="EM14" s="634" cm="1">
        <f t="array" ref="EM14">IFERROR(INDEX('ECM Data'!$A$1:$T$119,MATCH(Table202224[[#This Row],[Column1]],'ECM Data'!$A$1:$A$119,0)+4,MATCH('ECM Reports'!EM$4,'ECM Data'!$A$6:$T$6,0))*EM$2,"")</f>
        <v>0</v>
      </c>
      <c r="EN14" s="634" cm="1">
        <f t="array" ref="EN14">IFERROR(INDEX('ECM Data'!$A$1:$T$119,MATCH(Table202224[[#This Row],[Column1]],'ECM Data'!$A$1:$A$119,0)+4,MATCH('ECM Reports'!EN$4,'ECM Data'!$A$6:$T$6,0))*EN$2,"")</f>
        <v>0</v>
      </c>
      <c r="EO14" s="634" cm="1">
        <f t="array" ref="EO14">IFERROR(INDEX('ECM Data'!$A$1:$T$119,MATCH(Table202224[[#This Row],[Column1]],'ECM Data'!$A$1:$A$119,0)+4,MATCH('ECM Reports'!EO$4,'ECM Data'!$A$6:$T$6,0))*EO$2,"")</f>
        <v>0</v>
      </c>
      <c r="EP14" s="634" cm="1">
        <f t="array" ref="EP14">IFERROR(INDEX('ECM Data'!$A$1:$T$119,MATCH(Table202224[[#This Row],[Column1]],'ECM Data'!$A$1:$A$119,0)+4,MATCH('ECM Reports'!EP$4,'ECM Data'!$A$6:$T$6,0))*EP$2,"")</f>
        <v>0</v>
      </c>
      <c r="EQ14" s="634" cm="1">
        <f t="array" ref="EQ14">IFERROR(INDEX('ECM Data'!$A$1:$T$119,MATCH(Table202224[[#This Row],[Column1]],'ECM Data'!$A$1:$A$119,0)+4,MATCH('ECM Reports'!EQ$4,'ECM Data'!$A$6:$T$6,0))*EQ$2,"")</f>
        <v>0</v>
      </c>
      <c r="ER14" s="634" cm="1">
        <f t="array" ref="ER14">IFERROR(INDEX('ECM Data'!$A$1:$T$119,MATCH(Table202224[[#This Row],[Column1]],'ECM Data'!$A$1:$A$119,0)+4,MATCH('ECM Reports'!ER$4,'ECM Data'!$A$6:$T$6,0))*ER$2,"")</f>
        <v>0</v>
      </c>
      <c r="ES14" s="634" cm="1">
        <f t="array" ref="ES14">IFERROR(INDEX('ECM Data'!$A$1:$T$119,MATCH(Table202224[[#This Row],[Column1]],'ECM Data'!$A$1:$A$119,0)+4,MATCH('ECM Reports'!ES$4,'ECM Data'!$A$6:$T$6,0))*ES$2,"")</f>
        <v>0</v>
      </c>
      <c r="ET14" s="634" cm="1">
        <f t="array" ref="ET14">IFERROR(INDEX('ECM Data'!$A$1:$T$119,MATCH(Table202224[[#This Row],[Column1]],'ECM Data'!$A$1:$A$119,0)+4,MATCH('ECM Reports'!ET$4,'ECM Data'!$A$6:$T$6,0))*ET$2,"")</f>
        <v>0</v>
      </c>
      <c r="EU14" s="634" cm="1">
        <f t="array" ref="EU14">IFERROR(INDEX('ECM Data'!$A$1:$T$119,MATCH(Table202224[[#This Row],[Column1]],'ECM Data'!$A$1:$A$119,0)+4,MATCH('ECM Reports'!EU$4,'ECM Data'!$A$6:$T$6,0))*EU$2,"")</f>
        <v>0</v>
      </c>
      <c r="EV14" s="634" cm="1">
        <f t="array" ref="EV14">IFERROR(INDEX('ECM Data'!$A$1:$T$119,MATCH(Table202224[[#This Row],[Column1]],'ECM Data'!$A$1:$A$119,0)+4,MATCH('ECM Reports'!EV$4,'ECM Data'!$A$6:$T$6,0))*EV$2,"")</f>
        <v>0</v>
      </c>
      <c r="EW14" s="635">
        <f>SUM(Table202224[[#This Row],[Column3]:[Column22]])</f>
        <v>0</v>
      </c>
    </row>
    <row r="15" spans="1:153" ht="15.75" thickBot="1" x14ac:dyDescent="0.3">
      <c r="EB15" s="18" t="e">
        <f>ECMData_Summary[[#This Row],[Column1]]</f>
        <v>#VALUE!</v>
      </c>
      <c r="EC15" s="590" t="e">
        <f>ECMData_Summary[[#This Row],[Column2]]</f>
        <v>#VALUE!</v>
      </c>
      <c r="ED15" s="634" t="str" cm="1">
        <f t="array" ref="ED15">IFERROR(INDEX('ECM Data'!$A$1:$T$119,MATCH(Table202224[[#This Row],[Column1]],'ECM Data'!$A$1:$A$119,0)+4,MATCH('ECM Reports'!ED$4,'ECM Data'!$A$6:$T$6,0))*ED$2,"")</f>
        <v/>
      </c>
      <c r="EE15" s="634" t="str" cm="1">
        <f t="array" ref="EE15">IFERROR(INDEX('ECM Data'!$A$1:$T$119,MATCH(Table202224[[#This Row],[Column1]],'ECM Data'!$A$1:$A$119,0)+4,MATCH('ECM Reports'!EE$4,'ECM Data'!$A$6:$T$6,0))*EE$2,"")</f>
        <v/>
      </c>
      <c r="EF15" s="634" t="str" cm="1">
        <f t="array" ref="EF15">IFERROR(INDEX('ECM Data'!$A$1:$T$119,MATCH(Table202224[[#This Row],[Column1]],'ECM Data'!$A$1:$A$119,0)+4,MATCH('ECM Reports'!EF$4,'ECM Data'!$A$6:$T$6,0))*EF$2,"")</f>
        <v/>
      </c>
      <c r="EG15" s="634" t="str" cm="1">
        <f t="array" ref="EG15">IFERROR(INDEX('ECM Data'!$A$1:$T$119,MATCH(Table202224[[#This Row],[Column1]],'ECM Data'!$A$1:$A$119,0)+4,MATCH('ECM Reports'!EG$4,'ECM Data'!$A$6:$T$6,0))*EG$2,"")</f>
        <v/>
      </c>
      <c r="EH15" s="634" t="str" cm="1">
        <f t="array" ref="EH15">IFERROR(INDEX('ECM Data'!$A$1:$T$119,MATCH(Table202224[[#This Row],[Column1]],'ECM Data'!$A$1:$A$119,0)+4,MATCH('ECM Reports'!EH$4,'ECM Data'!$A$6:$T$6,0))*EH$2,"")</f>
        <v/>
      </c>
      <c r="EI15" s="634" t="str" cm="1">
        <f t="array" ref="EI15">IFERROR(INDEX('ECM Data'!$A$1:$T$119,MATCH(Table202224[[#This Row],[Column1]],'ECM Data'!$A$1:$A$119,0)+4,MATCH('ECM Reports'!EI$4,'ECM Data'!$A$6:$T$6,0))*EI$2,"")</f>
        <v/>
      </c>
      <c r="EJ15" s="634" t="str" cm="1">
        <f t="array" ref="EJ15">IFERROR(INDEX('ECM Data'!$A$1:$T$119,MATCH(Table202224[[#This Row],[Column1]],'ECM Data'!$A$1:$A$119,0)+4,MATCH('ECM Reports'!EJ$4,'ECM Data'!$A$6:$T$6,0))*EJ$2,"")</f>
        <v/>
      </c>
      <c r="EK15" s="634" t="str" cm="1">
        <f t="array" ref="EK15">IFERROR(INDEX('ECM Data'!$A$1:$T$119,MATCH(Table202224[[#This Row],[Column1]],'ECM Data'!$A$1:$A$119,0)+4,MATCH('ECM Reports'!EK$4,'ECM Data'!$A$6:$T$6,0))*EK$2,"")</f>
        <v/>
      </c>
      <c r="EL15" s="634" t="str" cm="1">
        <f t="array" ref="EL15">IFERROR(INDEX('ECM Data'!$A$1:$T$119,MATCH(Table202224[[#This Row],[Column1]],'ECM Data'!$A$1:$A$119,0)+4,MATCH('ECM Reports'!EL$4,'ECM Data'!$A$6:$T$6,0))*EL$2,"")</f>
        <v/>
      </c>
      <c r="EM15" s="634" t="str" cm="1">
        <f t="array" ref="EM15">IFERROR(INDEX('ECM Data'!$A$1:$T$119,MATCH(Table202224[[#This Row],[Column1]],'ECM Data'!$A$1:$A$119,0)+4,MATCH('ECM Reports'!EM$4,'ECM Data'!$A$6:$T$6,0))*EM$2,"")</f>
        <v/>
      </c>
      <c r="EN15" s="634" t="str" cm="1">
        <f t="array" ref="EN15">IFERROR(INDEX('ECM Data'!$A$1:$T$119,MATCH(Table202224[[#This Row],[Column1]],'ECM Data'!$A$1:$A$119,0)+4,MATCH('ECM Reports'!EN$4,'ECM Data'!$A$6:$T$6,0))*EN$2,"")</f>
        <v/>
      </c>
      <c r="EO15" s="634" t="str" cm="1">
        <f t="array" ref="EO15">IFERROR(INDEX('ECM Data'!$A$1:$T$119,MATCH(Table202224[[#This Row],[Column1]],'ECM Data'!$A$1:$A$119,0)+4,MATCH('ECM Reports'!EO$4,'ECM Data'!$A$6:$T$6,0))*EO$2,"")</f>
        <v/>
      </c>
      <c r="EP15" s="634" t="str" cm="1">
        <f t="array" ref="EP15">IFERROR(INDEX('ECM Data'!$A$1:$T$119,MATCH(Table202224[[#This Row],[Column1]],'ECM Data'!$A$1:$A$119,0)+4,MATCH('ECM Reports'!EP$4,'ECM Data'!$A$6:$T$6,0))*EP$2,"")</f>
        <v/>
      </c>
      <c r="EQ15" s="634" t="str" cm="1">
        <f t="array" ref="EQ15">IFERROR(INDEX('ECM Data'!$A$1:$T$119,MATCH(Table202224[[#This Row],[Column1]],'ECM Data'!$A$1:$A$119,0)+4,MATCH('ECM Reports'!EQ$4,'ECM Data'!$A$6:$T$6,0))*EQ$2,"")</f>
        <v/>
      </c>
      <c r="ER15" s="634" t="str" cm="1">
        <f t="array" ref="ER15">IFERROR(INDEX('ECM Data'!$A$1:$T$119,MATCH(Table202224[[#This Row],[Column1]],'ECM Data'!$A$1:$A$119,0)+4,MATCH('ECM Reports'!ER$4,'ECM Data'!$A$6:$T$6,0))*ER$2,"")</f>
        <v/>
      </c>
      <c r="ES15" s="634" t="str" cm="1">
        <f t="array" ref="ES15">IFERROR(INDEX('ECM Data'!$A$1:$T$119,MATCH(Table202224[[#This Row],[Column1]],'ECM Data'!$A$1:$A$119,0)+4,MATCH('ECM Reports'!ES$4,'ECM Data'!$A$6:$T$6,0))*ES$2,"")</f>
        <v/>
      </c>
      <c r="ET15" s="634" t="str" cm="1">
        <f t="array" ref="ET15">IFERROR(INDEX('ECM Data'!$A$1:$T$119,MATCH(Table202224[[#This Row],[Column1]],'ECM Data'!$A$1:$A$119,0)+4,MATCH('ECM Reports'!ET$4,'ECM Data'!$A$6:$T$6,0))*ET$2,"")</f>
        <v/>
      </c>
      <c r="EU15" s="634" t="str" cm="1">
        <f t="array" ref="EU15">IFERROR(INDEX('ECM Data'!$A$1:$T$119,MATCH(Table202224[[#This Row],[Column1]],'ECM Data'!$A$1:$A$119,0)+4,MATCH('ECM Reports'!EU$4,'ECM Data'!$A$6:$T$6,0))*EU$2,"")</f>
        <v/>
      </c>
      <c r="EV15" s="634" t="str" cm="1">
        <f t="array" ref="EV15">IFERROR(INDEX('ECM Data'!$A$1:$T$119,MATCH(Table202224[[#This Row],[Column1]],'ECM Data'!$A$1:$A$119,0)+4,MATCH('ECM Reports'!EV$4,'ECM Data'!$A$6:$T$6,0))*EV$2,"")</f>
        <v/>
      </c>
      <c r="EW15" s="635">
        <f>SUM(Table202224[[#This Row],[Column3]:[Column22]])</f>
        <v>0</v>
      </c>
    </row>
    <row r="16" spans="1:153" ht="15.75" thickBot="1" x14ac:dyDescent="0.3">
      <c r="M16" s="755" t="s">
        <v>885</v>
      </c>
      <c r="N16" s="756"/>
      <c r="O16" s="550"/>
      <c r="P16" s="550"/>
      <c r="Q16" s="550"/>
      <c r="R16" s="550"/>
      <c r="S16" s="550"/>
      <c r="T16" s="550"/>
      <c r="U16" s="550"/>
      <c r="V16" s="550"/>
      <c r="W16" s="550"/>
      <c r="X16" s="550"/>
      <c r="Y16" s="550"/>
      <c r="Z16" s="550"/>
      <c r="AA16" s="550"/>
      <c r="AB16" s="550"/>
      <c r="AC16" s="550"/>
      <c r="AD16" s="550"/>
      <c r="AE16" s="550"/>
      <c r="AF16" s="550"/>
      <c r="AG16" s="550"/>
      <c r="AH16" s="552"/>
      <c r="EB16" s="18" t="e">
        <f>ECMData_Summary[[#This Row],[Column1]]</f>
        <v>#VALUE!</v>
      </c>
      <c r="EC16" s="590" t="e">
        <f>ECMData_Summary[[#This Row],[Column2]]</f>
        <v>#VALUE!</v>
      </c>
      <c r="ED16" s="636" t="str" cm="1">
        <f t="array" ref="ED16">IFERROR(INDEX('ECM Data'!$A$1:$T$119,MATCH(Table202224[[#This Row],[Column1]],'ECM Data'!$A$1:$A$119,0)+4,MATCH('ECM Reports'!ED$4,'ECM Data'!$A$6:$T$6,0))*ED$2,"")</f>
        <v/>
      </c>
      <c r="EE16" s="636" t="str" cm="1">
        <f t="array" ref="EE16">IFERROR(INDEX('ECM Data'!$A$1:$T$119,MATCH(Table202224[[#This Row],[Column1]],'ECM Data'!$A$1:$A$119,0)+4,MATCH('ECM Reports'!EE$4,'ECM Data'!$A$6:$T$6,0))*EE$2,"")</f>
        <v/>
      </c>
      <c r="EF16" s="636" t="str" cm="1">
        <f t="array" ref="EF16">IFERROR(INDEX('ECM Data'!$A$1:$T$119,MATCH(Table202224[[#This Row],[Column1]],'ECM Data'!$A$1:$A$119,0)+4,MATCH('ECM Reports'!EF$4,'ECM Data'!$A$6:$T$6,0))*EF$2,"")</f>
        <v/>
      </c>
      <c r="EG16" s="636" t="str" cm="1">
        <f t="array" ref="EG16">IFERROR(INDEX('ECM Data'!$A$1:$T$119,MATCH(Table202224[[#This Row],[Column1]],'ECM Data'!$A$1:$A$119,0)+4,MATCH('ECM Reports'!EG$4,'ECM Data'!$A$6:$T$6,0))*EG$2,"")</f>
        <v/>
      </c>
      <c r="EH16" s="636" t="str" cm="1">
        <f t="array" ref="EH16">IFERROR(INDEX('ECM Data'!$A$1:$T$119,MATCH(Table202224[[#This Row],[Column1]],'ECM Data'!$A$1:$A$119,0)+4,MATCH('ECM Reports'!EH$4,'ECM Data'!$A$6:$T$6,0))*EH$2,"")</f>
        <v/>
      </c>
      <c r="EI16" s="636" t="str" cm="1">
        <f t="array" ref="EI16">IFERROR(INDEX('ECM Data'!$A$1:$T$119,MATCH(Table202224[[#This Row],[Column1]],'ECM Data'!$A$1:$A$119,0)+4,MATCH('ECM Reports'!EI$4,'ECM Data'!$A$6:$T$6,0))*EI$2,"")</f>
        <v/>
      </c>
      <c r="EJ16" s="636" t="str" cm="1">
        <f t="array" ref="EJ16">IFERROR(INDEX('ECM Data'!$A$1:$T$119,MATCH(Table202224[[#This Row],[Column1]],'ECM Data'!$A$1:$A$119,0)+4,MATCH('ECM Reports'!EJ$4,'ECM Data'!$A$6:$T$6,0))*EJ$2,"")</f>
        <v/>
      </c>
      <c r="EK16" s="636" t="str" cm="1">
        <f t="array" ref="EK16">IFERROR(INDEX('ECM Data'!$A$1:$T$119,MATCH(Table202224[[#This Row],[Column1]],'ECM Data'!$A$1:$A$119,0)+4,MATCH('ECM Reports'!EK$4,'ECM Data'!$A$6:$T$6,0))*EK$2,"")</f>
        <v/>
      </c>
      <c r="EL16" s="636" t="str" cm="1">
        <f t="array" ref="EL16">IFERROR(INDEX('ECM Data'!$A$1:$T$119,MATCH(Table202224[[#This Row],[Column1]],'ECM Data'!$A$1:$A$119,0)+4,MATCH('ECM Reports'!EL$4,'ECM Data'!$A$6:$T$6,0))*EL$2,"")</f>
        <v/>
      </c>
      <c r="EM16" s="636" t="str" cm="1">
        <f t="array" ref="EM16">IFERROR(INDEX('ECM Data'!$A$1:$T$119,MATCH(Table202224[[#This Row],[Column1]],'ECM Data'!$A$1:$A$119,0)+4,MATCH('ECM Reports'!EM$4,'ECM Data'!$A$6:$T$6,0))*EM$2,"")</f>
        <v/>
      </c>
      <c r="EN16" s="636" t="str" cm="1">
        <f t="array" ref="EN16">IFERROR(INDEX('ECM Data'!$A$1:$T$119,MATCH(Table202224[[#This Row],[Column1]],'ECM Data'!$A$1:$A$119,0)+4,MATCH('ECM Reports'!EN$4,'ECM Data'!$A$6:$T$6,0))*EN$2,"")</f>
        <v/>
      </c>
      <c r="EO16" s="636" t="str" cm="1">
        <f t="array" ref="EO16">IFERROR(INDEX('ECM Data'!$A$1:$T$119,MATCH(Table202224[[#This Row],[Column1]],'ECM Data'!$A$1:$A$119,0)+4,MATCH('ECM Reports'!EO$4,'ECM Data'!$A$6:$T$6,0))*EO$2,"")</f>
        <v/>
      </c>
      <c r="EP16" s="636" t="str" cm="1">
        <f t="array" ref="EP16">IFERROR(INDEX('ECM Data'!$A$1:$T$119,MATCH(Table202224[[#This Row],[Column1]],'ECM Data'!$A$1:$A$119,0)+4,MATCH('ECM Reports'!EP$4,'ECM Data'!$A$6:$T$6,0))*EP$2,"")</f>
        <v/>
      </c>
      <c r="EQ16" s="636" t="str" cm="1">
        <f t="array" ref="EQ16">IFERROR(INDEX('ECM Data'!$A$1:$T$119,MATCH(Table202224[[#This Row],[Column1]],'ECM Data'!$A$1:$A$119,0)+4,MATCH('ECM Reports'!EQ$4,'ECM Data'!$A$6:$T$6,0))*EQ$2,"")</f>
        <v/>
      </c>
      <c r="ER16" s="636" t="str" cm="1">
        <f t="array" ref="ER16">IFERROR(INDEX('ECM Data'!$A$1:$T$119,MATCH(Table202224[[#This Row],[Column1]],'ECM Data'!$A$1:$A$119,0)+4,MATCH('ECM Reports'!ER$4,'ECM Data'!$A$6:$T$6,0))*ER$2,"")</f>
        <v/>
      </c>
      <c r="ES16" s="636" t="str" cm="1">
        <f t="array" ref="ES16">IFERROR(INDEX('ECM Data'!$A$1:$T$119,MATCH(Table202224[[#This Row],[Column1]],'ECM Data'!$A$1:$A$119,0)+4,MATCH('ECM Reports'!ES$4,'ECM Data'!$A$6:$T$6,0))*ES$2,"")</f>
        <v/>
      </c>
      <c r="ET16" s="636" t="str" cm="1">
        <f t="array" ref="ET16">IFERROR(INDEX('ECM Data'!$A$1:$T$119,MATCH(Table202224[[#This Row],[Column1]],'ECM Data'!$A$1:$A$119,0)+4,MATCH('ECM Reports'!ET$4,'ECM Data'!$A$6:$T$6,0))*ET$2,"")</f>
        <v/>
      </c>
      <c r="EU16" s="636" t="str" cm="1">
        <f t="array" ref="EU16">IFERROR(INDEX('ECM Data'!$A$1:$T$119,MATCH(Table202224[[#This Row],[Column1]],'ECM Data'!$A$1:$A$119,0)+4,MATCH('ECM Reports'!EU$4,'ECM Data'!$A$6:$T$6,0))*EU$2,"")</f>
        <v/>
      </c>
      <c r="EV16" s="636" t="str" cm="1">
        <f t="array" ref="EV16">IFERROR(INDEX('ECM Data'!$A$1:$T$119,MATCH(Table202224[[#This Row],[Column1]],'ECM Data'!$A$1:$A$119,0)+4,MATCH('ECM Reports'!EV$4,'ECM Data'!$A$6:$T$6,0))*EV$2,"")</f>
        <v/>
      </c>
      <c r="EW16" s="637">
        <f>SUM(Table202224[[#This Row],[Column3]:[Column22]])</f>
        <v>0</v>
      </c>
    </row>
    <row r="17" spans="13:127" ht="45" x14ac:dyDescent="0.25">
      <c r="M17" s="19" t="s">
        <v>867</v>
      </c>
      <c r="N17" s="3" t="s">
        <v>868</v>
      </c>
      <c r="O17" s="27" t="s">
        <v>887</v>
      </c>
      <c r="P17" s="27" t="s">
        <v>888</v>
      </c>
      <c r="Q17" s="27" t="s">
        <v>889</v>
      </c>
      <c r="R17" s="27" t="s">
        <v>890</v>
      </c>
      <c r="S17" s="27" t="s">
        <v>891</v>
      </c>
      <c r="T17" s="27" t="s">
        <v>892</v>
      </c>
      <c r="U17" s="27" t="s">
        <v>893</v>
      </c>
      <c r="V17" s="661" t="s">
        <v>894</v>
      </c>
      <c r="W17" s="661" t="s">
        <v>895</v>
      </c>
      <c r="X17" s="27" t="s">
        <v>896</v>
      </c>
      <c r="Y17" s="27" t="s">
        <v>897</v>
      </c>
      <c r="Z17" s="27" t="s">
        <v>898</v>
      </c>
      <c r="AA17" s="27" t="s">
        <v>899</v>
      </c>
      <c r="AB17" s="27" t="s">
        <v>900</v>
      </c>
      <c r="AC17" s="27" t="s">
        <v>901</v>
      </c>
      <c r="AD17" s="27" t="s">
        <v>902</v>
      </c>
      <c r="AE17" s="27" t="s">
        <v>903</v>
      </c>
      <c r="AF17" s="27" t="s">
        <v>904</v>
      </c>
      <c r="AG17" s="27" t="s">
        <v>866</v>
      </c>
      <c r="AH17" s="27" t="s">
        <v>206</v>
      </c>
      <c r="AJ17" s="224"/>
      <c r="AK17" s="224"/>
      <c r="AL17" s="224"/>
      <c r="AM17" s="224"/>
      <c r="AN17" s="224"/>
      <c r="AO17" s="224"/>
      <c r="AP17" s="224"/>
      <c r="AQ17" s="224"/>
      <c r="AR17" s="224"/>
      <c r="AS17" s="224"/>
      <c r="AT17" s="224"/>
      <c r="AU17" s="224"/>
      <c r="AV17" s="224"/>
      <c r="AW17" s="224"/>
      <c r="AX17" s="224"/>
      <c r="AY17" s="224"/>
      <c r="AZ17" s="224"/>
      <c r="BA17" s="224"/>
      <c r="BB17" s="224"/>
      <c r="BC17" s="224"/>
      <c r="BD17" s="224"/>
      <c r="BE17" s="224"/>
      <c r="BF17" s="224"/>
      <c r="BG17" s="224"/>
      <c r="BH17" s="224"/>
      <c r="BI17" s="224"/>
      <c r="BJ17" s="224"/>
      <c r="BK17" s="224"/>
      <c r="BL17" s="224"/>
      <c r="BM17" s="224"/>
      <c r="BN17" s="224"/>
      <c r="BO17" s="224"/>
      <c r="BP17" s="224"/>
      <c r="BQ17" s="224"/>
      <c r="BR17" s="224"/>
      <c r="BS17" s="224"/>
      <c r="BT17" s="224"/>
      <c r="BU17" s="224"/>
      <c r="BV17" s="224"/>
      <c r="BW17" s="224"/>
      <c r="BX17" s="224"/>
      <c r="BY17" s="224"/>
      <c r="BZ17" s="224"/>
      <c r="CA17" s="224"/>
      <c r="CB17" s="224"/>
      <c r="CC17" s="224"/>
      <c r="CD17" s="224"/>
      <c r="CE17" s="224"/>
      <c r="CF17" s="224"/>
      <c r="CG17" s="224"/>
      <c r="CH17" s="224"/>
      <c r="CI17" s="224"/>
      <c r="CJ17" s="224"/>
      <c r="CK17" s="224"/>
      <c r="CL17" s="224"/>
      <c r="CM17" s="224"/>
      <c r="CN17" s="224"/>
      <c r="CO17" s="224"/>
      <c r="CP17" s="224"/>
      <c r="CQ17" s="224"/>
      <c r="CR17" s="224"/>
      <c r="CS17" s="224"/>
      <c r="CT17" s="224"/>
      <c r="CU17" s="224"/>
      <c r="CV17" s="224"/>
      <c r="CW17" s="224"/>
      <c r="CX17" s="224"/>
      <c r="CY17" s="224"/>
      <c r="CZ17" s="224"/>
      <c r="DA17" s="224"/>
      <c r="DB17" s="224"/>
      <c r="DC17" s="224"/>
      <c r="DD17" s="224"/>
      <c r="DE17" s="224"/>
      <c r="DF17" s="224"/>
      <c r="DG17" s="224"/>
      <c r="DH17" s="224"/>
      <c r="DI17" s="224"/>
      <c r="DJ17" s="224"/>
      <c r="DK17" s="224"/>
      <c r="DL17" s="224"/>
      <c r="DM17" s="224"/>
      <c r="DN17" s="224"/>
      <c r="DO17" s="224"/>
      <c r="DP17" s="224"/>
      <c r="DQ17" s="224"/>
      <c r="DR17" s="224"/>
      <c r="DS17" s="224"/>
      <c r="DT17" s="224"/>
      <c r="DU17" s="224"/>
      <c r="DV17" s="224"/>
      <c r="DW17" s="224"/>
    </row>
    <row r="18" spans="13:127" x14ac:dyDescent="0.25">
      <c r="M18" s="18" t="str">
        <f>A6</f>
        <v>Baseline</v>
      </c>
      <c r="N18" s="590">
        <f ca="1">B6</f>
        <v>0</v>
      </c>
      <c r="O18" s="506">
        <f>INDEX(ECMData_EndUse[#All],MATCH(ECMData_EUI37[[#This Row],[Model Run]],ECMData_EndUse[[#All],[Model Run]],0),MATCH(_xlfn.CONCAT(O$29," - Total"),ECMData_EndUse[#Headers],0))</f>
        <v>0</v>
      </c>
      <c r="P18" s="506">
        <f>INDEX(ECMData_EndUse[#All],MATCH(ECMData_EUI37[[#This Row],[Model Run]],ECMData_EndUse[[#All],[Model Run]],0),MATCH(_xlfn.CONCAT(P$29," - Total"),ECMData_EndUse[#Headers],0))</f>
        <v>0</v>
      </c>
      <c r="Q18" s="506">
        <f>INDEX(ECMData_EndUse[#All],MATCH(ECMData_EUI37[[#This Row],[Model Run]],ECMData_EndUse[[#All],[Model Run]],0),MATCH(_xlfn.CONCAT(Q$29," - Total"),ECMData_EndUse[#Headers],0))</f>
        <v>0</v>
      </c>
      <c r="R18" s="506">
        <f>INDEX(ECMData_EndUse[#All],MATCH(ECMData_EUI37[[#This Row],[Model Run]],ECMData_EndUse[[#All],[Model Run]],0),MATCH(_xlfn.CONCAT(R$29," - Total"),ECMData_EndUse[#Headers],0))</f>
        <v>0</v>
      </c>
      <c r="S18" s="506">
        <f>INDEX(ECMData_EndUse[#All],MATCH(ECMData_EUI37[[#This Row],[Model Run]],ECMData_EndUse[[#All],[Model Run]],0),MATCH(_xlfn.CONCAT(S$29," - Total"),ECMData_EndUse[#Headers],0))</f>
        <v>0</v>
      </c>
      <c r="T18" s="506">
        <f>INDEX(ECMData_EndUse[#All],MATCH(ECMData_EUI37[[#This Row],[Model Run]],ECMData_EndUse[[#All],[Model Run]],0),MATCH(_xlfn.CONCAT(T$29," - Total"),ECMData_EndUse[#Headers],0))</f>
        <v>0</v>
      </c>
      <c r="U18" s="506">
        <f>INDEX(ECMData_EndUse[#All],MATCH(ECMData_EUI37[[#This Row],[Model Run]],ECMData_EndUse[[#All],[Model Run]],0),MATCH(_xlfn.CONCAT(U$29," - Total"),ECMData_EndUse[#Headers],0))</f>
        <v>0</v>
      </c>
      <c r="V18" s="506">
        <f>INDEX(ECMData_EndUse[#All],MATCH(ECMData_EUI37[[#This Row],[Model Run]],ECMData_EndUse[[#All],[Model Run]],0),MATCH(_xlfn.CONCAT(V$29," - Total"),ECMData_EndUse[#Headers],0))</f>
        <v>0</v>
      </c>
      <c r="W18" s="506">
        <f>INDEX(ECMData_EndUse[#All],MATCH(ECMData_EUI37[[#This Row],[Model Run]],ECMData_EndUse[[#All],[Model Run]],0),MATCH(_xlfn.CONCAT(W$29," - Total"),ECMData_EndUse[#Headers],0))</f>
        <v>0</v>
      </c>
      <c r="X18" s="506">
        <f>INDEX(ECMData_EndUse[#All],MATCH(ECMData_EUI37[[#This Row],[Model Run]],ECMData_EndUse[[#All],[Model Run]],0),MATCH(_xlfn.CONCAT(X$29," - Total"),ECMData_EndUse[#Headers],0))</f>
        <v>0</v>
      </c>
      <c r="Y18" s="506">
        <f>INDEX(ECMData_EndUse[#All],MATCH(ECMData_EUI37[[#This Row],[Model Run]],ECMData_EndUse[[#All],[Model Run]],0),MATCH(_xlfn.CONCAT(Y$29," - Total"),ECMData_EndUse[#Headers],0))</f>
        <v>0</v>
      </c>
      <c r="Z18" s="506">
        <f>INDEX(ECMData_EndUse[#All],MATCH(ECMData_EUI37[[#This Row],[Model Run]],ECMData_EndUse[[#All],[Model Run]],0),MATCH(_xlfn.CONCAT(Z$29," - Total"),ECMData_EndUse[#Headers],0))</f>
        <v>0</v>
      </c>
      <c r="AA18" s="506">
        <f>INDEX(ECMData_EndUse[#All],MATCH(ECMData_EUI37[[#This Row],[Model Run]],ECMData_EndUse[[#All],[Model Run]],0),MATCH(_xlfn.CONCAT(AA$29," - Total"),ECMData_EndUse[#Headers],0))</f>
        <v>0</v>
      </c>
      <c r="AB18" s="506">
        <f>INDEX(ECMData_EndUse[#All],MATCH(ECMData_EUI37[[#This Row],[Model Run]],ECMData_EndUse[[#All],[Model Run]],0),MATCH(_xlfn.CONCAT(AB$29," - Total"),ECMData_EndUse[#Headers],0))</f>
        <v>0</v>
      </c>
      <c r="AC18" s="506">
        <f>INDEX(ECMData_EndUse[#All],MATCH(ECMData_EUI37[[#This Row],[Model Run]],ECMData_EndUse[[#All],[Model Run]],0),MATCH(_xlfn.CONCAT(AC$29," - Total"),ECMData_EndUse[#Headers],0))</f>
        <v>0</v>
      </c>
      <c r="AD18" s="506">
        <f>INDEX(ECMData_EndUse[#All],MATCH(ECMData_EUI37[[#This Row],[Model Run]],ECMData_EndUse[[#All],[Model Run]],0),MATCH(_xlfn.CONCAT(AD$29," - Total"),ECMData_EndUse[#Headers],0))</f>
        <v>0</v>
      </c>
      <c r="AE18" s="506">
        <f>INDEX(ECMData_EndUse[#All],MATCH(ECMData_EUI37[[#This Row],[Model Run]],ECMData_EndUse[[#All],[Model Run]],0),MATCH(_xlfn.CONCAT(AE$29," - Total"),ECMData_EndUse[#Headers],0))</f>
        <v>0</v>
      </c>
      <c r="AF18" s="506">
        <f>INDEX(ECMData_EndUse[#All],MATCH(ECMData_EUI37[[#This Row],[Model Run]],ECMData_EndUse[[#All],[Model Run]],0),MATCH(_xlfn.CONCAT(AF$29," - Total"),ECMData_EndUse[#Headers],0))</f>
        <v>0</v>
      </c>
      <c r="AG18" s="506">
        <f>INDEX(ECMData_EndUse[#All],MATCH(ECMData_EUI37[[#This Row],[Model Run]],ECMData_EndUse[[#All],[Model Run]],0),MATCH(_xlfn.CONCAT(AG$29," - Total"),ECMData_EndUse[#Headers],0))</f>
        <v>0</v>
      </c>
      <c r="AH18" s="553">
        <f>SUM(ECMData_EUI37[[#This Row],[Internal Lighting]:[Other Processes]])</f>
        <v>0</v>
      </c>
      <c r="AJ18" s="224"/>
      <c r="AK18" s="224"/>
      <c r="AL18" s="224"/>
      <c r="AM18" s="224"/>
      <c r="AN18" s="224"/>
      <c r="AO18" s="224"/>
      <c r="AP18" s="224"/>
      <c r="AQ18" s="224"/>
      <c r="AR18" s="224"/>
      <c r="AS18" s="224"/>
      <c r="AT18" s="224"/>
      <c r="AU18" s="224"/>
      <c r="AV18" s="224"/>
      <c r="AW18" s="224"/>
      <c r="AX18" s="224"/>
      <c r="AY18" s="224"/>
      <c r="AZ18" s="224"/>
      <c r="BA18" s="224"/>
      <c r="BB18" s="224"/>
      <c r="BC18" s="224"/>
      <c r="BD18" s="224"/>
      <c r="BE18" s="224"/>
      <c r="BF18" s="224"/>
      <c r="BG18" s="224"/>
      <c r="BH18" s="224"/>
      <c r="BI18" s="224"/>
      <c r="BJ18" s="224"/>
      <c r="BK18" s="224"/>
      <c r="BL18" s="224"/>
      <c r="BM18" s="224"/>
      <c r="BN18" s="224"/>
      <c r="BO18" s="224"/>
      <c r="BP18" s="224"/>
      <c r="BQ18" s="224"/>
      <c r="BR18" s="224"/>
      <c r="BS18" s="224"/>
      <c r="BT18" s="224"/>
      <c r="BU18" s="224"/>
      <c r="BV18" s="224"/>
      <c r="BW18" s="224"/>
      <c r="BX18" s="224"/>
      <c r="BY18" s="224"/>
      <c r="BZ18" s="224"/>
      <c r="CA18" s="224"/>
      <c r="CB18" s="224"/>
      <c r="CC18" s="224"/>
      <c r="CD18" s="224"/>
      <c r="CE18" s="224"/>
      <c r="CF18" s="224"/>
      <c r="CG18" s="224"/>
      <c r="CH18" s="224"/>
      <c r="CI18" s="224"/>
      <c r="CJ18" s="224"/>
      <c r="CK18" s="224"/>
      <c r="CL18" s="224"/>
      <c r="CM18" s="224"/>
      <c r="CN18" s="224"/>
      <c r="CO18" s="224"/>
      <c r="CP18" s="224"/>
      <c r="CQ18" s="224"/>
      <c r="CR18" s="224"/>
      <c r="CS18" s="224"/>
      <c r="CT18" s="224"/>
      <c r="CU18" s="224"/>
      <c r="CV18" s="224"/>
      <c r="CW18" s="224"/>
      <c r="CX18" s="224"/>
      <c r="CY18" s="224"/>
      <c r="CZ18" s="224"/>
      <c r="DA18" s="224"/>
      <c r="DB18" s="224"/>
      <c r="DC18" s="224"/>
      <c r="DD18" s="224"/>
      <c r="DE18" s="224"/>
      <c r="DF18" s="224"/>
      <c r="DG18" s="224"/>
      <c r="DH18" s="224"/>
      <c r="DI18" s="224"/>
      <c r="DJ18" s="224"/>
      <c r="DK18" s="224"/>
      <c r="DL18" s="224"/>
      <c r="DM18" s="224"/>
      <c r="DN18" s="224"/>
      <c r="DO18" s="224"/>
      <c r="DP18" s="224"/>
      <c r="DQ18" s="224"/>
      <c r="DR18" s="224"/>
      <c r="DS18" s="224"/>
      <c r="DT18" s="224"/>
      <c r="DU18" s="224"/>
      <c r="DV18" s="224"/>
      <c r="DW18" s="224"/>
    </row>
    <row r="19" spans="13:127" x14ac:dyDescent="0.25">
      <c r="M19" s="18" t="str">
        <f t="shared" ref="M19:M26" si="3">A7</f>
        <v>ECM-1</v>
      </c>
      <c r="N19" s="590">
        <f t="shared" ref="N19:N26" ca="1" si="4">B7</f>
        <v>0</v>
      </c>
      <c r="O19" s="506">
        <f>INDEX(ECMData_EndUse[#All],MATCH(ECMData_EUI37[[#This Row],[Model Run]],ECMData_EndUse[[#All],[Model Run]],0),MATCH(_xlfn.CONCAT(O$29," - Total"),ECMData_EndUse[#Headers],0))</f>
        <v>0</v>
      </c>
      <c r="P19" s="506">
        <f>INDEX(ECMData_EndUse[#All],MATCH(ECMData_EUI37[[#This Row],[Model Run]],ECMData_EndUse[[#All],[Model Run]],0),MATCH(_xlfn.CONCAT(P$29," - Total"),ECMData_EndUse[#Headers],0))</f>
        <v>0</v>
      </c>
      <c r="Q19" s="506">
        <f>INDEX(ECMData_EndUse[#All],MATCH(ECMData_EUI37[[#This Row],[Model Run]],ECMData_EndUse[[#All],[Model Run]],0),MATCH(_xlfn.CONCAT(Q$29," - Total"),ECMData_EndUse[#Headers],0))</f>
        <v>0</v>
      </c>
      <c r="R19" s="506">
        <f>INDEX(ECMData_EndUse[#All],MATCH(ECMData_EUI37[[#This Row],[Model Run]],ECMData_EndUse[[#All],[Model Run]],0),MATCH(_xlfn.CONCAT(R$29," - Total"),ECMData_EndUse[#Headers],0))</f>
        <v>0</v>
      </c>
      <c r="S19" s="506">
        <f>INDEX(ECMData_EndUse[#All],MATCH(ECMData_EUI37[[#This Row],[Model Run]],ECMData_EndUse[[#All],[Model Run]],0),MATCH(_xlfn.CONCAT(S$29," - Total"),ECMData_EndUse[#Headers],0))</f>
        <v>0</v>
      </c>
      <c r="T19" s="506">
        <f>INDEX(ECMData_EndUse[#All],MATCH(ECMData_EUI37[[#This Row],[Model Run]],ECMData_EndUse[[#All],[Model Run]],0),MATCH(_xlfn.CONCAT(T$29," - Total"),ECMData_EndUse[#Headers],0))</f>
        <v>0</v>
      </c>
      <c r="U19" s="506">
        <f>INDEX(ECMData_EndUse[#All],MATCH(ECMData_EUI37[[#This Row],[Model Run]],ECMData_EndUse[[#All],[Model Run]],0),MATCH(_xlfn.CONCAT(U$29," - Total"),ECMData_EndUse[#Headers],0))</f>
        <v>0</v>
      </c>
      <c r="V19" s="554">
        <f>INDEX(ECMData_EndUse[#All],MATCH(ECMData_EUI37[[#This Row],[Model Run]],ECMData_EndUse[[#All],[Model Run]],0),MATCH(_xlfn.CONCAT(V$29," - Total"),ECMData_EndUse[#Headers],0))</f>
        <v>0</v>
      </c>
      <c r="W19" s="554">
        <f>INDEX(ECMData_EndUse[#All],MATCH(ECMData_EUI37[[#This Row],[Model Run]],ECMData_EndUse[[#All],[Model Run]],0),MATCH(_xlfn.CONCAT(W$29," - Total"),ECMData_EndUse[#Headers],0))</f>
        <v>0</v>
      </c>
      <c r="X19" s="506">
        <f>INDEX(ECMData_EndUse[#All],MATCH(ECMData_EUI37[[#This Row],[Model Run]],ECMData_EndUse[[#All],[Model Run]],0),MATCH(_xlfn.CONCAT(X$29," - Total"),ECMData_EndUse[#Headers],0))</f>
        <v>0</v>
      </c>
      <c r="Y19" s="506">
        <f>INDEX(ECMData_EndUse[#All],MATCH(ECMData_EUI37[[#This Row],[Model Run]],ECMData_EndUse[[#All],[Model Run]],0),MATCH(_xlfn.CONCAT(Y$29," - Total"),ECMData_EndUse[#Headers],0))</f>
        <v>0</v>
      </c>
      <c r="Z19" s="506">
        <f>INDEX(ECMData_EndUse[#All],MATCH(ECMData_EUI37[[#This Row],[Model Run]],ECMData_EndUse[[#All],[Model Run]],0),MATCH(_xlfn.CONCAT(Z$29," - Total"),ECMData_EndUse[#Headers],0))</f>
        <v>0</v>
      </c>
      <c r="AA19" s="506">
        <f>INDEX(ECMData_EndUse[#All],MATCH(ECMData_EUI37[[#This Row],[Model Run]],ECMData_EndUse[[#All],[Model Run]],0),MATCH(_xlfn.CONCAT(AA$29," - Total"),ECMData_EndUse[#Headers],0))</f>
        <v>0</v>
      </c>
      <c r="AB19" s="506">
        <f>INDEX(ECMData_EndUse[#All],MATCH(ECMData_EUI37[[#This Row],[Model Run]],ECMData_EndUse[[#All],[Model Run]],0),MATCH(_xlfn.CONCAT(AB$29," - Total"),ECMData_EndUse[#Headers],0))</f>
        <v>0</v>
      </c>
      <c r="AC19" s="506">
        <f>INDEX(ECMData_EndUse[#All],MATCH(ECMData_EUI37[[#This Row],[Model Run]],ECMData_EndUse[[#All],[Model Run]],0),MATCH(_xlfn.CONCAT(AC$29," - Total"),ECMData_EndUse[#Headers],0))</f>
        <v>0</v>
      </c>
      <c r="AD19" s="506">
        <f>INDEX(ECMData_EndUse[#All],MATCH(ECMData_EUI37[[#This Row],[Model Run]],ECMData_EndUse[[#All],[Model Run]],0),MATCH(_xlfn.CONCAT(AD$29," - Total"),ECMData_EndUse[#Headers],0))</f>
        <v>0</v>
      </c>
      <c r="AE19" s="506">
        <f>INDEX(ECMData_EndUse[#All],MATCH(ECMData_EUI37[[#This Row],[Model Run]],ECMData_EndUse[[#All],[Model Run]],0),MATCH(_xlfn.CONCAT(AE$29," - Total"),ECMData_EndUse[#Headers],0))</f>
        <v>0</v>
      </c>
      <c r="AF19" s="506">
        <f>INDEX(ECMData_EndUse[#All],MATCH(ECMData_EUI37[[#This Row],[Model Run]],ECMData_EndUse[[#All],[Model Run]],0),MATCH(_xlfn.CONCAT(AF$29," - Total"),ECMData_EndUse[#Headers],0))</f>
        <v>0</v>
      </c>
      <c r="AG19" s="506">
        <f>INDEX(ECMData_EndUse[#All],MATCH(ECMData_EUI37[[#This Row],[Model Run]],ECMData_EndUse[[#All],[Model Run]],0),MATCH(_xlfn.CONCAT(AG$29," - Total"),ECMData_EndUse[#Headers],0))</f>
        <v>0</v>
      </c>
      <c r="AH19" s="553">
        <f>SUM(ECMData_EUI37[[#This Row],[Internal Lighting]:[Other Processes]])</f>
        <v>0</v>
      </c>
      <c r="AJ19" s="224"/>
      <c r="AK19" s="224"/>
      <c r="AL19" s="224"/>
      <c r="AM19" s="224"/>
      <c r="AN19" s="224"/>
      <c r="AO19" s="224"/>
      <c r="AP19" s="224"/>
      <c r="AQ19" s="224"/>
      <c r="AR19" s="224"/>
      <c r="AS19" s="224"/>
      <c r="AT19" s="224"/>
      <c r="AU19" s="224"/>
      <c r="AV19" s="224"/>
      <c r="AW19" s="224"/>
      <c r="AX19" s="224"/>
      <c r="AY19" s="224"/>
      <c r="AZ19" s="224"/>
      <c r="BA19" s="224"/>
      <c r="BB19" s="224"/>
      <c r="BC19" s="224"/>
      <c r="BD19" s="224"/>
      <c r="BE19" s="224"/>
      <c r="BF19" s="224"/>
      <c r="BG19" s="224"/>
      <c r="BH19" s="224"/>
      <c r="BI19" s="224"/>
      <c r="BJ19" s="224"/>
      <c r="BK19" s="224"/>
      <c r="BL19" s="224"/>
      <c r="BM19" s="224"/>
      <c r="BN19" s="224"/>
      <c r="BO19" s="224"/>
      <c r="BP19" s="224"/>
      <c r="BQ19" s="224"/>
      <c r="BR19" s="224"/>
      <c r="BS19" s="224"/>
      <c r="BT19" s="224"/>
      <c r="BU19" s="224"/>
      <c r="BV19" s="224"/>
      <c r="BW19" s="224"/>
      <c r="BX19" s="224"/>
      <c r="BY19" s="224"/>
      <c r="BZ19" s="224"/>
      <c r="CA19" s="224"/>
      <c r="CB19" s="224"/>
      <c r="CC19" s="224"/>
      <c r="CD19" s="224"/>
      <c r="CE19" s="224"/>
      <c r="CF19" s="224"/>
      <c r="CG19" s="224"/>
      <c r="CH19" s="224"/>
      <c r="CI19" s="224"/>
      <c r="CJ19" s="224"/>
      <c r="CK19" s="224"/>
      <c r="CL19" s="224"/>
      <c r="CM19" s="224"/>
      <c r="CN19" s="224"/>
      <c r="CO19" s="224"/>
      <c r="CP19" s="224"/>
      <c r="CQ19" s="224"/>
      <c r="CR19" s="224"/>
      <c r="CS19" s="224"/>
      <c r="CT19" s="224"/>
      <c r="CU19" s="224"/>
      <c r="CV19" s="224"/>
      <c r="CW19" s="224"/>
      <c r="CX19" s="224"/>
      <c r="CY19" s="224"/>
      <c r="CZ19" s="224"/>
      <c r="DA19" s="224"/>
      <c r="DB19" s="224"/>
      <c r="DC19" s="224"/>
      <c r="DD19" s="224"/>
      <c r="DE19" s="224"/>
      <c r="DF19" s="224"/>
      <c r="DG19" s="224"/>
      <c r="DH19" s="224"/>
      <c r="DI19" s="224"/>
      <c r="DJ19" s="224"/>
      <c r="DK19" s="224"/>
      <c r="DL19" s="224"/>
      <c r="DM19" s="224"/>
      <c r="DN19" s="224"/>
      <c r="DO19" s="224"/>
      <c r="DP19" s="224"/>
      <c r="DQ19" s="224"/>
      <c r="DR19" s="224"/>
      <c r="DS19" s="224"/>
      <c r="DT19" s="224"/>
      <c r="DU19" s="224"/>
      <c r="DV19" s="224"/>
      <c r="DW19" s="224"/>
    </row>
    <row r="20" spans="13:127" x14ac:dyDescent="0.25">
      <c r="M20" s="18" t="str">
        <f t="shared" si="3"/>
        <v>ECM-2</v>
      </c>
      <c r="N20" s="590">
        <f t="shared" ca="1" si="4"/>
        <v>0</v>
      </c>
      <c r="O20" s="506">
        <f>INDEX(ECMData_EndUse[#All],MATCH(ECMData_EUI37[[#This Row],[Model Run]],ECMData_EndUse[[#All],[Model Run]],0),MATCH(_xlfn.CONCAT(O$29," - Total"),ECMData_EndUse[#Headers],0))</f>
        <v>0</v>
      </c>
      <c r="P20" s="506">
        <f>INDEX(ECMData_EndUse[#All],MATCH(ECMData_EUI37[[#This Row],[Model Run]],ECMData_EndUse[[#All],[Model Run]],0),MATCH(_xlfn.CONCAT(P$29," - Total"),ECMData_EndUse[#Headers],0))</f>
        <v>0</v>
      </c>
      <c r="Q20" s="506">
        <f>INDEX(ECMData_EndUse[#All],MATCH(ECMData_EUI37[[#This Row],[Model Run]],ECMData_EndUse[[#All],[Model Run]],0),MATCH(_xlfn.CONCAT(Q$29," - Total"),ECMData_EndUse[#Headers],0))</f>
        <v>0</v>
      </c>
      <c r="R20" s="506">
        <f>INDEX(ECMData_EndUse[#All],MATCH(ECMData_EUI37[[#This Row],[Model Run]],ECMData_EndUse[[#All],[Model Run]],0),MATCH(_xlfn.CONCAT(R$29," - Total"),ECMData_EndUse[#Headers],0))</f>
        <v>0</v>
      </c>
      <c r="S20" s="506">
        <f>INDEX(ECMData_EndUse[#All],MATCH(ECMData_EUI37[[#This Row],[Model Run]],ECMData_EndUse[[#All],[Model Run]],0),MATCH(_xlfn.CONCAT(S$29," - Total"),ECMData_EndUse[#Headers],0))</f>
        <v>0</v>
      </c>
      <c r="T20" s="506">
        <f>INDEX(ECMData_EndUse[#All],MATCH(ECMData_EUI37[[#This Row],[Model Run]],ECMData_EndUse[[#All],[Model Run]],0),MATCH(_xlfn.CONCAT(T$29," - Total"),ECMData_EndUse[#Headers],0))</f>
        <v>0</v>
      </c>
      <c r="U20" s="506">
        <f>INDEX(ECMData_EndUse[#All],MATCH(ECMData_EUI37[[#This Row],[Model Run]],ECMData_EndUse[[#All],[Model Run]],0),MATCH(_xlfn.CONCAT(U$29," - Total"),ECMData_EndUse[#Headers],0))</f>
        <v>0</v>
      </c>
      <c r="V20" s="554">
        <f>INDEX(ECMData_EndUse[#All],MATCH(ECMData_EUI37[[#This Row],[Model Run]],ECMData_EndUse[[#All],[Model Run]],0),MATCH(_xlfn.CONCAT(V$29," - Total"),ECMData_EndUse[#Headers],0))</f>
        <v>0</v>
      </c>
      <c r="W20" s="554">
        <f>INDEX(ECMData_EndUse[#All],MATCH(ECMData_EUI37[[#This Row],[Model Run]],ECMData_EndUse[[#All],[Model Run]],0),MATCH(_xlfn.CONCAT(W$29," - Total"),ECMData_EndUse[#Headers],0))</f>
        <v>0</v>
      </c>
      <c r="X20" s="506">
        <f>INDEX(ECMData_EndUse[#All],MATCH(ECMData_EUI37[[#This Row],[Model Run]],ECMData_EndUse[[#All],[Model Run]],0),MATCH(_xlfn.CONCAT(X$29," - Total"),ECMData_EndUse[#Headers],0))</f>
        <v>0</v>
      </c>
      <c r="Y20" s="506">
        <f>INDEX(ECMData_EndUse[#All],MATCH(ECMData_EUI37[[#This Row],[Model Run]],ECMData_EndUse[[#All],[Model Run]],0),MATCH(_xlfn.CONCAT(Y$29," - Total"),ECMData_EndUse[#Headers],0))</f>
        <v>0</v>
      </c>
      <c r="Z20" s="506">
        <f>INDEX(ECMData_EndUse[#All],MATCH(ECMData_EUI37[[#This Row],[Model Run]],ECMData_EndUse[[#All],[Model Run]],0),MATCH(_xlfn.CONCAT(Z$29," - Total"),ECMData_EndUse[#Headers],0))</f>
        <v>0</v>
      </c>
      <c r="AA20" s="506">
        <f>INDEX(ECMData_EndUse[#All],MATCH(ECMData_EUI37[[#This Row],[Model Run]],ECMData_EndUse[[#All],[Model Run]],0),MATCH(_xlfn.CONCAT(AA$29," - Total"),ECMData_EndUse[#Headers],0))</f>
        <v>0</v>
      </c>
      <c r="AB20" s="506">
        <f>INDEX(ECMData_EndUse[#All],MATCH(ECMData_EUI37[[#This Row],[Model Run]],ECMData_EndUse[[#All],[Model Run]],0),MATCH(_xlfn.CONCAT(AB$29," - Total"),ECMData_EndUse[#Headers],0))</f>
        <v>0</v>
      </c>
      <c r="AC20" s="506">
        <f>INDEX(ECMData_EndUse[#All],MATCH(ECMData_EUI37[[#This Row],[Model Run]],ECMData_EndUse[[#All],[Model Run]],0),MATCH(_xlfn.CONCAT(AC$29," - Total"),ECMData_EndUse[#Headers],0))</f>
        <v>0</v>
      </c>
      <c r="AD20" s="506">
        <f>INDEX(ECMData_EndUse[#All],MATCH(ECMData_EUI37[[#This Row],[Model Run]],ECMData_EndUse[[#All],[Model Run]],0),MATCH(_xlfn.CONCAT(AD$29," - Total"),ECMData_EndUse[#Headers],0))</f>
        <v>0</v>
      </c>
      <c r="AE20" s="506">
        <f>INDEX(ECMData_EndUse[#All],MATCH(ECMData_EUI37[[#This Row],[Model Run]],ECMData_EndUse[[#All],[Model Run]],0),MATCH(_xlfn.CONCAT(AE$29," - Total"),ECMData_EndUse[#Headers],0))</f>
        <v>0</v>
      </c>
      <c r="AF20" s="506">
        <f>INDEX(ECMData_EndUse[#All],MATCH(ECMData_EUI37[[#This Row],[Model Run]],ECMData_EndUse[[#All],[Model Run]],0),MATCH(_xlfn.CONCAT(AF$29," - Total"),ECMData_EndUse[#Headers],0))</f>
        <v>0</v>
      </c>
      <c r="AG20" s="506">
        <f>INDEX(ECMData_EndUse[#All],MATCH(ECMData_EUI37[[#This Row],[Model Run]],ECMData_EndUse[[#All],[Model Run]],0),MATCH(_xlfn.CONCAT(AG$29," - Total"),ECMData_EndUse[#Headers],0))</f>
        <v>0</v>
      </c>
      <c r="AH20" s="553">
        <f>SUM(ECMData_EUI37[[#This Row],[Internal Lighting]:[Other Processes]])</f>
        <v>0</v>
      </c>
      <c r="AJ20" s="224"/>
      <c r="AK20" s="224"/>
      <c r="AL20" s="224"/>
      <c r="AM20" s="224"/>
      <c r="AN20" s="224"/>
      <c r="AO20" s="224"/>
      <c r="AP20" s="224"/>
      <c r="AQ20" s="224"/>
      <c r="AR20" s="224"/>
      <c r="AS20" s="224"/>
      <c r="AT20" s="224"/>
      <c r="AU20" s="224"/>
      <c r="AV20" s="224"/>
      <c r="AW20" s="224"/>
      <c r="AX20" s="224"/>
      <c r="AY20" s="224"/>
      <c r="AZ20" s="224"/>
      <c r="BA20" s="224"/>
      <c r="BB20" s="224"/>
      <c r="BC20" s="224"/>
      <c r="BD20" s="224"/>
      <c r="BE20" s="224"/>
      <c r="BF20" s="224"/>
      <c r="BG20" s="224"/>
      <c r="BH20" s="224"/>
      <c r="BI20" s="224"/>
      <c r="BJ20" s="224"/>
      <c r="BK20" s="224"/>
      <c r="BL20" s="224"/>
      <c r="BM20" s="224"/>
      <c r="BN20" s="224"/>
      <c r="BO20" s="224"/>
      <c r="BP20" s="224"/>
      <c r="BQ20" s="224"/>
      <c r="BR20" s="224"/>
      <c r="BS20" s="224"/>
      <c r="BT20" s="224"/>
      <c r="BU20" s="224"/>
      <c r="BV20" s="224"/>
      <c r="BW20" s="224"/>
      <c r="BX20" s="224"/>
      <c r="BY20" s="224"/>
      <c r="BZ20" s="224"/>
      <c r="CA20" s="224"/>
      <c r="CB20" s="224"/>
      <c r="CC20" s="224"/>
      <c r="CD20" s="224"/>
      <c r="CE20" s="224"/>
      <c r="CF20" s="224"/>
      <c r="CG20" s="224"/>
      <c r="CH20" s="224"/>
      <c r="CI20" s="224"/>
      <c r="CJ20" s="224"/>
      <c r="CK20" s="224"/>
      <c r="CL20" s="224"/>
      <c r="CM20" s="224"/>
      <c r="CN20" s="224"/>
      <c r="CO20" s="224"/>
      <c r="CP20" s="224"/>
      <c r="CQ20" s="224"/>
      <c r="CR20" s="224"/>
      <c r="CS20" s="224"/>
      <c r="CT20" s="224"/>
      <c r="CU20" s="224"/>
      <c r="CV20" s="224"/>
      <c r="CW20" s="224"/>
      <c r="CX20" s="224"/>
      <c r="CY20" s="224"/>
      <c r="CZ20" s="224"/>
      <c r="DA20" s="224"/>
      <c r="DB20" s="224"/>
      <c r="DC20" s="224"/>
      <c r="DD20" s="224"/>
      <c r="DE20" s="224"/>
      <c r="DF20" s="224"/>
      <c r="DG20" s="224"/>
      <c r="DH20" s="224"/>
      <c r="DI20" s="224"/>
      <c r="DJ20" s="224"/>
      <c r="DK20" s="224"/>
      <c r="DL20" s="224"/>
      <c r="DM20" s="224"/>
      <c r="DN20" s="224"/>
      <c r="DO20" s="224"/>
      <c r="DP20" s="224"/>
      <c r="DQ20" s="224"/>
      <c r="DR20" s="224"/>
      <c r="DS20" s="224"/>
      <c r="DT20" s="224"/>
      <c r="DU20" s="224"/>
      <c r="DV20" s="224"/>
      <c r="DW20" s="224"/>
    </row>
    <row r="21" spans="13:127" x14ac:dyDescent="0.25">
      <c r="M21" s="18" t="str">
        <f t="shared" si="3"/>
        <v>ECM-3</v>
      </c>
      <c r="N21" s="590">
        <f t="shared" ca="1" si="4"/>
        <v>0</v>
      </c>
      <c r="O21" s="506">
        <f>INDEX(ECMData_EndUse[#All],MATCH(ECMData_EUI37[[#This Row],[Model Run]],ECMData_EndUse[[#All],[Model Run]],0),MATCH(_xlfn.CONCAT(O$29," - Total"),ECMData_EndUse[#Headers],0))</f>
        <v>0</v>
      </c>
      <c r="P21" s="506">
        <f>INDEX(ECMData_EndUse[#All],MATCH(ECMData_EUI37[[#This Row],[Model Run]],ECMData_EndUse[[#All],[Model Run]],0),MATCH(_xlfn.CONCAT(P$29," - Total"),ECMData_EndUse[#Headers],0))</f>
        <v>0</v>
      </c>
      <c r="Q21" s="506">
        <f>INDEX(ECMData_EndUse[#All],MATCH(ECMData_EUI37[[#This Row],[Model Run]],ECMData_EndUse[[#All],[Model Run]],0),MATCH(_xlfn.CONCAT(Q$29," - Total"),ECMData_EndUse[#Headers],0))</f>
        <v>0</v>
      </c>
      <c r="R21" s="506">
        <f>INDEX(ECMData_EndUse[#All],MATCH(ECMData_EUI37[[#This Row],[Model Run]],ECMData_EndUse[[#All],[Model Run]],0),MATCH(_xlfn.CONCAT(R$29," - Total"),ECMData_EndUse[#Headers],0))</f>
        <v>0</v>
      </c>
      <c r="S21" s="506">
        <f>INDEX(ECMData_EndUse[#All],MATCH(ECMData_EUI37[[#This Row],[Model Run]],ECMData_EndUse[[#All],[Model Run]],0),MATCH(_xlfn.CONCAT(S$29," - Total"),ECMData_EndUse[#Headers],0))</f>
        <v>0</v>
      </c>
      <c r="T21" s="506">
        <f>INDEX(ECMData_EndUse[#All],MATCH(ECMData_EUI37[[#This Row],[Model Run]],ECMData_EndUse[[#All],[Model Run]],0),MATCH(_xlfn.CONCAT(T$29," - Total"),ECMData_EndUse[#Headers],0))</f>
        <v>0</v>
      </c>
      <c r="U21" s="506">
        <f>INDEX(ECMData_EndUse[#All],MATCH(ECMData_EUI37[[#This Row],[Model Run]],ECMData_EndUse[[#All],[Model Run]],0),MATCH(_xlfn.CONCAT(U$29," - Total"),ECMData_EndUse[#Headers],0))</f>
        <v>0</v>
      </c>
      <c r="V21" s="554">
        <f>INDEX(ECMData_EndUse[#All],MATCH(ECMData_EUI37[[#This Row],[Model Run]],ECMData_EndUse[[#All],[Model Run]],0),MATCH(_xlfn.CONCAT(V$29," - Total"),ECMData_EndUse[#Headers],0))</f>
        <v>0</v>
      </c>
      <c r="W21" s="554">
        <f>INDEX(ECMData_EndUse[#All],MATCH(ECMData_EUI37[[#This Row],[Model Run]],ECMData_EndUse[[#All],[Model Run]],0),MATCH(_xlfn.CONCAT(W$29," - Total"),ECMData_EndUse[#Headers],0))</f>
        <v>0</v>
      </c>
      <c r="X21" s="506">
        <f>INDEX(ECMData_EndUse[#All],MATCH(ECMData_EUI37[[#This Row],[Model Run]],ECMData_EndUse[[#All],[Model Run]],0),MATCH(_xlfn.CONCAT(X$29," - Total"),ECMData_EndUse[#Headers],0))</f>
        <v>0</v>
      </c>
      <c r="Y21" s="506">
        <f>INDEX(ECMData_EndUse[#All],MATCH(ECMData_EUI37[[#This Row],[Model Run]],ECMData_EndUse[[#All],[Model Run]],0),MATCH(_xlfn.CONCAT(Y$29," - Total"),ECMData_EndUse[#Headers],0))</f>
        <v>0</v>
      </c>
      <c r="Z21" s="506">
        <f>INDEX(ECMData_EndUse[#All],MATCH(ECMData_EUI37[[#This Row],[Model Run]],ECMData_EndUse[[#All],[Model Run]],0),MATCH(_xlfn.CONCAT(Z$29," - Total"),ECMData_EndUse[#Headers],0))</f>
        <v>0</v>
      </c>
      <c r="AA21" s="506">
        <f>INDEX(ECMData_EndUse[#All],MATCH(ECMData_EUI37[[#This Row],[Model Run]],ECMData_EndUse[[#All],[Model Run]],0),MATCH(_xlfn.CONCAT(AA$29," - Total"),ECMData_EndUse[#Headers],0))</f>
        <v>0</v>
      </c>
      <c r="AB21" s="506">
        <f>INDEX(ECMData_EndUse[#All],MATCH(ECMData_EUI37[[#This Row],[Model Run]],ECMData_EndUse[[#All],[Model Run]],0),MATCH(_xlfn.CONCAT(AB$29," - Total"),ECMData_EndUse[#Headers],0))</f>
        <v>0</v>
      </c>
      <c r="AC21" s="506">
        <f>INDEX(ECMData_EndUse[#All],MATCH(ECMData_EUI37[[#This Row],[Model Run]],ECMData_EndUse[[#All],[Model Run]],0),MATCH(_xlfn.CONCAT(AC$29," - Total"),ECMData_EndUse[#Headers],0))</f>
        <v>0</v>
      </c>
      <c r="AD21" s="506">
        <f>INDEX(ECMData_EndUse[#All],MATCH(ECMData_EUI37[[#This Row],[Model Run]],ECMData_EndUse[[#All],[Model Run]],0),MATCH(_xlfn.CONCAT(AD$29," - Total"),ECMData_EndUse[#Headers],0))</f>
        <v>0</v>
      </c>
      <c r="AE21" s="506">
        <f>INDEX(ECMData_EndUse[#All],MATCH(ECMData_EUI37[[#This Row],[Model Run]],ECMData_EndUse[[#All],[Model Run]],0),MATCH(_xlfn.CONCAT(AE$29," - Total"),ECMData_EndUse[#Headers],0))</f>
        <v>0</v>
      </c>
      <c r="AF21" s="506">
        <f>INDEX(ECMData_EndUse[#All],MATCH(ECMData_EUI37[[#This Row],[Model Run]],ECMData_EndUse[[#All],[Model Run]],0),MATCH(_xlfn.CONCAT(AF$29," - Total"),ECMData_EndUse[#Headers],0))</f>
        <v>0</v>
      </c>
      <c r="AG21" s="506">
        <f>INDEX(ECMData_EndUse[#All],MATCH(ECMData_EUI37[[#This Row],[Model Run]],ECMData_EndUse[[#All],[Model Run]],0),MATCH(_xlfn.CONCAT(AG$29," - Total"),ECMData_EndUse[#Headers],0))</f>
        <v>0</v>
      </c>
      <c r="AH21" s="553">
        <f>SUM(ECMData_EUI37[[#This Row],[Internal Lighting]:[Other Processes]])</f>
        <v>0</v>
      </c>
      <c r="AJ21" s="224"/>
      <c r="AK21" s="224"/>
      <c r="AL21" s="224"/>
      <c r="AM21" s="224"/>
      <c r="AN21" s="224"/>
      <c r="AO21" s="224"/>
      <c r="AP21" s="224"/>
      <c r="AQ21" s="224"/>
      <c r="AR21" s="224"/>
      <c r="AS21" s="224"/>
      <c r="AT21" s="224"/>
      <c r="AU21" s="224"/>
      <c r="AV21" s="224"/>
      <c r="AW21" s="224"/>
      <c r="AX21" s="224"/>
      <c r="AY21" s="224"/>
      <c r="AZ21" s="224"/>
      <c r="BA21" s="224"/>
      <c r="BB21" s="224"/>
      <c r="BC21" s="224"/>
      <c r="BD21" s="224"/>
      <c r="BE21" s="224"/>
      <c r="BF21" s="224"/>
      <c r="BG21" s="224"/>
      <c r="BH21" s="224"/>
      <c r="BI21" s="224"/>
      <c r="BJ21" s="224"/>
      <c r="BK21" s="224"/>
      <c r="BL21" s="224"/>
      <c r="BM21" s="224"/>
      <c r="BN21" s="224"/>
      <c r="BO21" s="224"/>
      <c r="BP21" s="224"/>
      <c r="BQ21" s="224"/>
      <c r="BR21" s="224"/>
      <c r="BS21" s="224"/>
      <c r="BT21" s="224"/>
      <c r="BU21" s="224"/>
      <c r="BV21" s="224"/>
      <c r="BW21" s="224"/>
      <c r="BX21" s="224"/>
      <c r="BY21" s="224"/>
      <c r="BZ21" s="224"/>
      <c r="CA21" s="224"/>
      <c r="CB21" s="224"/>
      <c r="CC21" s="224"/>
      <c r="CD21" s="224"/>
      <c r="CE21" s="224"/>
      <c r="CF21" s="224"/>
      <c r="CG21" s="224"/>
      <c r="CH21" s="224"/>
      <c r="CI21" s="224"/>
      <c r="CJ21" s="224"/>
      <c r="CK21" s="224"/>
      <c r="CL21" s="224"/>
      <c r="CM21" s="224"/>
      <c r="CN21" s="224"/>
      <c r="CO21" s="224"/>
      <c r="CP21" s="224"/>
      <c r="CQ21" s="224"/>
      <c r="CR21" s="224"/>
      <c r="CS21" s="224"/>
      <c r="CT21" s="224"/>
      <c r="CU21" s="224"/>
      <c r="CV21" s="224"/>
      <c r="CW21" s="224"/>
      <c r="CX21" s="224"/>
      <c r="CY21" s="224"/>
      <c r="CZ21" s="224"/>
      <c r="DA21" s="224"/>
      <c r="DB21" s="224"/>
      <c r="DC21" s="224"/>
      <c r="DD21" s="224"/>
      <c r="DE21" s="224"/>
      <c r="DF21" s="224"/>
      <c r="DG21" s="224"/>
      <c r="DH21" s="224"/>
      <c r="DI21" s="224"/>
      <c r="DJ21" s="224"/>
      <c r="DK21" s="224"/>
      <c r="DL21" s="224"/>
      <c r="DM21" s="224"/>
      <c r="DN21" s="224"/>
      <c r="DO21" s="224"/>
      <c r="DP21" s="224"/>
      <c r="DQ21" s="224"/>
      <c r="DR21" s="224"/>
      <c r="DS21" s="224"/>
      <c r="DT21" s="224"/>
      <c r="DU21" s="224"/>
      <c r="DV21" s="224"/>
      <c r="DW21" s="224"/>
    </row>
    <row r="22" spans="13:127" x14ac:dyDescent="0.25">
      <c r="M22" s="18" t="str">
        <f t="shared" si="3"/>
        <v>ECM-4</v>
      </c>
      <c r="N22" s="590">
        <f t="shared" ca="1" si="4"/>
        <v>0</v>
      </c>
      <c r="O22" s="506">
        <f>INDEX(ECMData_EndUse[#All],MATCH(ECMData_EUI37[[#This Row],[Model Run]],ECMData_EndUse[[#All],[Model Run]],0),MATCH(_xlfn.CONCAT(O$29," - Total"),ECMData_EndUse[#Headers],0))</f>
        <v>0</v>
      </c>
      <c r="P22" s="506">
        <f>INDEX(ECMData_EndUse[#All],MATCH(ECMData_EUI37[[#This Row],[Model Run]],ECMData_EndUse[[#All],[Model Run]],0),MATCH(_xlfn.CONCAT(P$29," - Total"),ECMData_EndUse[#Headers],0))</f>
        <v>0</v>
      </c>
      <c r="Q22" s="506">
        <f>INDEX(ECMData_EndUse[#All],MATCH(ECMData_EUI37[[#This Row],[Model Run]],ECMData_EndUse[[#All],[Model Run]],0),MATCH(_xlfn.CONCAT(Q$29," - Total"),ECMData_EndUse[#Headers],0))</f>
        <v>0</v>
      </c>
      <c r="R22" s="506">
        <f>INDEX(ECMData_EndUse[#All],MATCH(ECMData_EUI37[[#This Row],[Model Run]],ECMData_EndUse[[#All],[Model Run]],0),MATCH(_xlfn.CONCAT(R$29," - Total"),ECMData_EndUse[#Headers],0))</f>
        <v>0</v>
      </c>
      <c r="S22" s="506">
        <f>INDEX(ECMData_EndUse[#All],MATCH(ECMData_EUI37[[#This Row],[Model Run]],ECMData_EndUse[[#All],[Model Run]],0),MATCH(_xlfn.CONCAT(S$29," - Total"),ECMData_EndUse[#Headers],0))</f>
        <v>0</v>
      </c>
      <c r="T22" s="506">
        <f>INDEX(ECMData_EndUse[#All],MATCH(ECMData_EUI37[[#This Row],[Model Run]],ECMData_EndUse[[#All],[Model Run]],0),MATCH(_xlfn.CONCAT(T$29," - Total"),ECMData_EndUse[#Headers],0))</f>
        <v>0</v>
      </c>
      <c r="U22" s="506">
        <f>INDEX(ECMData_EndUse[#All],MATCH(ECMData_EUI37[[#This Row],[Model Run]],ECMData_EndUse[[#All],[Model Run]],0),MATCH(_xlfn.CONCAT(U$29," - Total"),ECMData_EndUse[#Headers],0))</f>
        <v>0</v>
      </c>
      <c r="V22" s="554">
        <f>INDEX(ECMData_EndUse[#All],MATCH(ECMData_EUI37[[#This Row],[Model Run]],ECMData_EndUse[[#All],[Model Run]],0),MATCH(_xlfn.CONCAT(V$29," - Total"),ECMData_EndUse[#Headers],0))</f>
        <v>0</v>
      </c>
      <c r="W22" s="554">
        <f>INDEX(ECMData_EndUse[#All],MATCH(ECMData_EUI37[[#This Row],[Model Run]],ECMData_EndUse[[#All],[Model Run]],0),MATCH(_xlfn.CONCAT(W$29," - Total"),ECMData_EndUse[#Headers],0))</f>
        <v>0</v>
      </c>
      <c r="X22" s="506">
        <f>INDEX(ECMData_EndUse[#All],MATCH(ECMData_EUI37[[#This Row],[Model Run]],ECMData_EndUse[[#All],[Model Run]],0),MATCH(_xlfn.CONCAT(X$29," - Total"),ECMData_EndUse[#Headers],0))</f>
        <v>0</v>
      </c>
      <c r="Y22" s="506">
        <f>INDEX(ECMData_EndUse[#All],MATCH(ECMData_EUI37[[#This Row],[Model Run]],ECMData_EndUse[[#All],[Model Run]],0),MATCH(_xlfn.CONCAT(Y$29," - Total"),ECMData_EndUse[#Headers],0))</f>
        <v>0</v>
      </c>
      <c r="Z22" s="506">
        <f>INDEX(ECMData_EndUse[#All],MATCH(ECMData_EUI37[[#This Row],[Model Run]],ECMData_EndUse[[#All],[Model Run]],0),MATCH(_xlfn.CONCAT(Z$29," - Total"),ECMData_EndUse[#Headers],0))</f>
        <v>0</v>
      </c>
      <c r="AA22" s="506">
        <f>INDEX(ECMData_EndUse[#All],MATCH(ECMData_EUI37[[#This Row],[Model Run]],ECMData_EndUse[[#All],[Model Run]],0),MATCH(_xlfn.CONCAT(AA$29," - Total"),ECMData_EndUse[#Headers],0))</f>
        <v>0</v>
      </c>
      <c r="AB22" s="506">
        <f>INDEX(ECMData_EndUse[#All],MATCH(ECMData_EUI37[[#This Row],[Model Run]],ECMData_EndUse[[#All],[Model Run]],0),MATCH(_xlfn.CONCAT(AB$29," - Total"),ECMData_EndUse[#Headers],0))</f>
        <v>0</v>
      </c>
      <c r="AC22" s="506">
        <f>INDEX(ECMData_EndUse[#All],MATCH(ECMData_EUI37[[#This Row],[Model Run]],ECMData_EndUse[[#All],[Model Run]],0),MATCH(_xlfn.CONCAT(AC$29," - Total"),ECMData_EndUse[#Headers],0))</f>
        <v>0</v>
      </c>
      <c r="AD22" s="506">
        <f>INDEX(ECMData_EndUse[#All],MATCH(ECMData_EUI37[[#This Row],[Model Run]],ECMData_EndUse[[#All],[Model Run]],0),MATCH(_xlfn.CONCAT(AD$29," - Total"),ECMData_EndUse[#Headers],0))</f>
        <v>0</v>
      </c>
      <c r="AE22" s="506">
        <f>INDEX(ECMData_EndUse[#All],MATCH(ECMData_EUI37[[#This Row],[Model Run]],ECMData_EndUse[[#All],[Model Run]],0),MATCH(_xlfn.CONCAT(AE$29," - Total"),ECMData_EndUse[#Headers],0))</f>
        <v>0</v>
      </c>
      <c r="AF22" s="506">
        <f>INDEX(ECMData_EndUse[#All],MATCH(ECMData_EUI37[[#This Row],[Model Run]],ECMData_EndUse[[#All],[Model Run]],0),MATCH(_xlfn.CONCAT(AF$29," - Total"),ECMData_EndUse[#Headers],0))</f>
        <v>0</v>
      </c>
      <c r="AG22" s="506">
        <f>INDEX(ECMData_EndUse[#All],MATCH(ECMData_EUI37[[#This Row],[Model Run]],ECMData_EndUse[[#All],[Model Run]],0),MATCH(_xlfn.CONCAT(AG$29," - Total"),ECMData_EndUse[#Headers],0))</f>
        <v>0</v>
      </c>
      <c r="AH22" s="553">
        <f>SUM(ECMData_EUI37[[#This Row],[Internal Lighting]:[Other Processes]])</f>
        <v>0</v>
      </c>
      <c r="AJ22" s="224"/>
      <c r="AK22" s="224"/>
      <c r="AL22" s="224"/>
      <c r="AM22" s="224"/>
      <c r="AN22" s="224"/>
      <c r="AO22" s="224"/>
      <c r="AP22" s="224"/>
      <c r="AQ22" s="224"/>
      <c r="AR22" s="224"/>
      <c r="AS22" s="224"/>
      <c r="AT22" s="224"/>
      <c r="AU22" s="224"/>
      <c r="AV22" s="224"/>
      <c r="AW22" s="224"/>
      <c r="AX22" s="224"/>
      <c r="AY22" s="224"/>
      <c r="AZ22" s="224"/>
      <c r="BA22" s="224"/>
      <c r="BB22" s="224"/>
      <c r="BC22" s="224"/>
      <c r="BD22" s="224"/>
      <c r="BE22" s="224"/>
      <c r="BF22" s="224"/>
      <c r="BG22" s="224"/>
      <c r="BH22" s="224"/>
      <c r="BI22" s="224"/>
      <c r="BJ22" s="224"/>
      <c r="BK22" s="224"/>
      <c r="BL22" s="224"/>
      <c r="BM22" s="224"/>
      <c r="BN22" s="224"/>
      <c r="BO22" s="224"/>
      <c r="BP22" s="224"/>
      <c r="BQ22" s="224"/>
      <c r="BR22" s="224"/>
      <c r="BS22" s="224"/>
      <c r="BT22" s="224"/>
      <c r="BU22" s="224"/>
      <c r="BV22" s="224"/>
      <c r="BW22" s="224"/>
      <c r="BX22" s="224"/>
      <c r="BY22" s="224"/>
      <c r="BZ22" s="224"/>
      <c r="CA22" s="224"/>
      <c r="CB22" s="224"/>
      <c r="CC22" s="224"/>
      <c r="CD22" s="224"/>
      <c r="CE22" s="224"/>
      <c r="CF22" s="224"/>
      <c r="CG22" s="224"/>
      <c r="CH22" s="224"/>
      <c r="CI22" s="224"/>
      <c r="CJ22" s="224"/>
      <c r="CK22" s="224"/>
      <c r="CL22" s="224"/>
      <c r="CM22" s="224"/>
      <c r="CN22" s="224"/>
      <c r="CO22" s="224"/>
      <c r="CP22" s="224"/>
      <c r="CQ22" s="224"/>
      <c r="CR22" s="224"/>
      <c r="CS22" s="224"/>
      <c r="CT22" s="224"/>
      <c r="CU22" s="224"/>
      <c r="CV22" s="224"/>
      <c r="CW22" s="224"/>
      <c r="CX22" s="224"/>
      <c r="CY22" s="224"/>
      <c r="CZ22" s="224"/>
      <c r="DA22" s="224"/>
      <c r="DB22" s="224"/>
      <c r="DC22" s="224"/>
      <c r="DD22" s="224"/>
      <c r="DE22" s="224"/>
      <c r="DF22" s="224"/>
      <c r="DG22" s="224"/>
      <c r="DH22" s="224"/>
      <c r="DI22" s="224"/>
      <c r="DJ22" s="224"/>
      <c r="DK22" s="224"/>
      <c r="DL22" s="224"/>
      <c r="DM22" s="224"/>
      <c r="DN22" s="224"/>
      <c r="DO22" s="224"/>
      <c r="DP22" s="224"/>
      <c r="DQ22" s="224"/>
      <c r="DR22" s="224"/>
      <c r="DS22" s="224"/>
      <c r="DT22" s="224"/>
      <c r="DU22" s="224"/>
      <c r="DV22" s="224"/>
      <c r="DW22" s="224"/>
    </row>
    <row r="23" spans="13:127" x14ac:dyDescent="0.25">
      <c r="M23" s="18" t="str">
        <f t="shared" si="3"/>
        <v>ECM-5</v>
      </c>
      <c r="N23" s="590">
        <f t="shared" ca="1" si="4"/>
        <v>0</v>
      </c>
      <c r="O23" s="506">
        <f>INDEX(ECMData_EndUse[#All],MATCH(ECMData_EUI37[[#This Row],[Model Run]],ECMData_EndUse[[#All],[Model Run]],0),MATCH(_xlfn.CONCAT(O$29," - Total"),ECMData_EndUse[#Headers],0))</f>
        <v>0</v>
      </c>
      <c r="P23" s="506">
        <f>INDEX(ECMData_EndUse[#All],MATCH(ECMData_EUI37[[#This Row],[Model Run]],ECMData_EndUse[[#All],[Model Run]],0),MATCH(_xlfn.CONCAT(P$29," - Total"),ECMData_EndUse[#Headers],0))</f>
        <v>0</v>
      </c>
      <c r="Q23" s="506">
        <f>INDEX(ECMData_EndUse[#All],MATCH(ECMData_EUI37[[#This Row],[Model Run]],ECMData_EndUse[[#All],[Model Run]],0),MATCH(_xlfn.CONCAT(Q$29," - Total"),ECMData_EndUse[#Headers],0))</f>
        <v>0</v>
      </c>
      <c r="R23" s="506">
        <f>INDEX(ECMData_EndUse[#All],MATCH(ECMData_EUI37[[#This Row],[Model Run]],ECMData_EndUse[[#All],[Model Run]],0),MATCH(_xlfn.CONCAT(R$29," - Total"),ECMData_EndUse[#Headers],0))</f>
        <v>0</v>
      </c>
      <c r="S23" s="506">
        <f>INDEX(ECMData_EndUse[#All],MATCH(ECMData_EUI37[[#This Row],[Model Run]],ECMData_EndUse[[#All],[Model Run]],0),MATCH(_xlfn.CONCAT(S$29," - Total"),ECMData_EndUse[#Headers],0))</f>
        <v>0</v>
      </c>
      <c r="T23" s="506">
        <f>INDEX(ECMData_EndUse[#All],MATCH(ECMData_EUI37[[#This Row],[Model Run]],ECMData_EndUse[[#All],[Model Run]],0),MATCH(_xlfn.CONCAT(T$29," - Total"),ECMData_EndUse[#Headers],0))</f>
        <v>0</v>
      </c>
      <c r="U23" s="506">
        <f>INDEX(ECMData_EndUse[#All],MATCH(ECMData_EUI37[[#This Row],[Model Run]],ECMData_EndUse[[#All],[Model Run]],0),MATCH(_xlfn.CONCAT(U$29," - Total"),ECMData_EndUse[#Headers],0))</f>
        <v>0</v>
      </c>
      <c r="V23" s="554">
        <f>INDEX(ECMData_EndUse[#All],MATCH(ECMData_EUI37[[#This Row],[Model Run]],ECMData_EndUse[[#All],[Model Run]],0),MATCH(_xlfn.CONCAT(V$29," - Total"),ECMData_EndUse[#Headers],0))</f>
        <v>0</v>
      </c>
      <c r="W23" s="554">
        <f>INDEX(ECMData_EndUse[#All],MATCH(ECMData_EUI37[[#This Row],[Model Run]],ECMData_EndUse[[#All],[Model Run]],0),MATCH(_xlfn.CONCAT(W$29," - Total"),ECMData_EndUse[#Headers],0))</f>
        <v>0</v>
      </c>
      <c r="X23" s="506">
        <f>INDEX(ECMData_EndUse[#All],MATCH(ECMData_EUI37[[#This Row],[Model Run]],ECMData_EndUse[[#All],[Model Run]],0),MATCH(_xlfn.CONCAT(X$29," - Total"),ECMData_EndUse[#Headers],0))</f>
        <v>0</v>
      </c>
      <c r="Y23" s="506">
        <f>INDEX(ECMData_EndUse[#All],MATCH(ECMData_EUI37[[#This Row],[Model Run]],ECMData_EndUse[[#All],[Model Run]],0),MATCH(_xlfn.CONCAT(Y$29," - Total"),ECMData_EndUse[#Headers],0))</f>
        <v>0</v>
      </c>
      <c r="Z23" s="506">
        <f>INDEX(ECMData_EndUse[#All],MATCH(ECMData_EUI37[[#This Row],[Model Run]],ECMData_EndUse[[#All],[Model Run]],0),MATCH(_xlfn.CONCAT(Z$29," - Total"),ECMData_EndUse[#Headers],0))</f>
        <v>0</v>
      </c>
      <c r="AA23" s="506">
        <f>INDEX(ECMData_EndUse[#All],MATCH(ECMData_EUI37[[#This Row],[Model Run]],ECMData_EndUse[[#All],[Model Run]],0),MATCH(_xlfn.CONCAT(AA$29," - Total"),ECMData_EndUse[#Headers],0))</f>
        <v>0</v>
      </c>
      <c r="AB23" s="506">
        <f>INDEX(ECMData_EndUse[#All],MATCH(ECMData_EUI37[[#This Row],[Model Run]],ECMData_EndUse[[#All],[Model Run]],0),MATCH(_xlfn.CONCAT(AB$29," - Total"),ECMData_EndUse[#Headers],0))</f>
        <v>0</v>
      </c>
      <c r="AC23" s="506">
        <f>INDEX(ECMData_EndUse[#All],MATCH(ECMData_EUI37[[#This Row],[Model Run]],ECMData_EndUse[[#All],[Model Run]],0),MATCH(_xlfn.CONCAT(AC$29," - Total"),ECMData_EndUse[#Headers],0))</f>
        <v>0</v>
      </c>
      <c r="AD23" s="506">
        <f>INDEX(ECMData_EndUse[#All],MATCH(ECMData_EUI37[[#This Row],[Model Run]],ECMData_EndUse[[#All],[Model Run]],0),MATCH(_xlfn.CONCAT(AD$29," - Total"),ECMData_EndUse[#Headers],0))</f>
        <v>0</v>
      </c>
      <c r="AE23" s="506">
        <f>INDEX(ECMData_EndUse[#All],MATCH(ECMData_EUI37[[#This Row],[Model Run]],ECMData_EndUse[[#All],[Model Run]],0),MATCH(_xlfn.CONCAT(AE$29," - Total"),ECMData_EndUse[#Headers],0))</f>
        <v>0</v>
      </c>
      <c r="AF23" s="506">
        <f>INDEX(ECMData_EndUse[#All],MATCH(ECMData_EUI37[[#This Row],[Model Run]],ECMData_EndUse[[#All],[Model Run]],0),MATCH(_xlfn.CONCAT(AF$29," - Total"),ECMData_EndUse[#Headers],0))</f>
        <v>0</v>
      </c>
      <c r="AG23" s="506">
        <f>INDEX(ECMData_EndUse[#All],MATCH(ECMData_EUI37[[#This Row],[Model Run]],ECMData_EndUse[[#All],[Model Run]],0),MATCH(_xlfn.CONCAT(AG$29," - Total"),ECMData_EndUse[#Headers],0))</f>
        <v>0</v>
      </c>
      <c r="AH23" s="553">
        <f>SUM(ECMData_EUI37[[#This Row],[Internal Lighting]:[Other Processes]])</f>
        <v>0</v>
      </c>
      <c r="AJ23" s="224"/>
      <c r="AK23" s="224"/>
      <c r="AL23" s="224"/>
      <c r="AM23" s="224"/>
      <c r="AN23" s="224"/>
      <c r="AO23" s="224"/>
      <c r="AP23" s="224"/>
      <c r="AQ23" s="224"/>
      <c r="AR23" s="224"/>
      <c r="AS23" s="224"/>
      <c r="AT23" s="224"/>
      <c r="AU23" s="224"/>
      <c r="AV23" s="224"/>
      <c r="AW23" s="224"/>
      <c r="AX23" s="224"/>
      <c r="AY23" s="224"/>
      <c r="AZ23" s="224"/>
      <c r="BA23" s="224"/>
      <c r="BB23" s="224"/>
      <c r="BC23" s="224"/>
      <c r="BD23" s="224"/>
      <c r="BE23" s="224"/>
      <c r="BF23" s="224"/>
      <c r="BG23" s="224"/>
      <c r="BH23" s="224"/>
      <c r="BI23" s="224"/>
      <c r="BJ23" s="224"/>
      <c r="BK23" s="224"/>
      <c r="BL23" s="224"/>
      <c r="BM23" s="224"/>
      <c r="BN23" s="224"/>
      <c r="BO23" s="224"/>
      <c r="BP23" s="224"/>
      <c r="BQ23" s="224"/>
      <c r="BR23" s="224"/>
      <c r="BS23" s="224"/>
      <c r="BT23" s="224"/>
      <c r="BU23" s="224"/>
      <c r="BV23" s="224"/>
      <c r="BW23" s="224"/>
      <c r="BX23" s="224"/>
      <c r="BY23" s="224"/>
      <c r="BZ23" s="224"/>
      <c r="CA23" s="224"/>
      <c r="CB23" s="224"/>
      <c r="CC23" s="224"/>
      <c r="CD23" s="224"/>
      <c r="CE23" s="224"/>
      <c r="CF23" s="224"/>
      <c r="CG23" s="224"/>
      <c r="CH23" s="224"/>
      <c r="CI23" s="224"/>
      <c r="CJ23" s="224"/>
      <c r="CK23" s="224"/>
      <c r="CL23" s="224"/>
      <c r="CM23" s="224"/>
      <c r="CN23" s="224"/>
      <c r="CO23" s="224"/>
      <c r="CP23" s="224"/>
      <c r="CQ23" s="224"/>
      <c r="CR23" s="224"/>
      <c r="CS23" s="224"/>
      <c r="CT23" s="224"/>
      <c r="CU23" s="224"/>
      <c r="CV23" s="224"/>
      <c r="CW23" s="224"/>
      <c r="CX23" s="224"/>
      <c r="CY23" s="224"/>
      <c r="CZ23" s="224"/>
      <c r="DA23" s="224"/>
      <c r="DB23" s="224"/>
      <c r="DC23" s="224"/>
      <c r="DD23" s="224"/>
      <c r="DE23" s="224"/>
      <c r="DF23" s="224"/>
      <c r="DG23" s="224"/>
      <c r="DH23" s="224"/>
      <c r="DI23" s="224"/>
      <c r="DJ23" s="224"/>
      <c r="DK23" s="224"/>
      <c r="DL23" s="224"/>
      <c r="DM23" s="224"/>
      <c r="DN23" s="224"/>
      <c r="DO23" s="224"/>
      <c r="DP23" s="224"/>
      <c r="DQ23" s="224"/>
      <c r="DR23" s="224"/>
      <c r="DS23" s="224"/>
      <c r="DT23" s="224"/>
      <c r="DU23" s="224"/>
      <c r="DV23" s="224"/>
      <c r="DW23" s="224"/>
    </row>
    <row r="24" spans="13:127" x14ac:dyDescent="0.25">
      <c r="M24" s="18" t="str">
        <f t="shared" si="3"/>
        <v>ECM-6</v>
      </c>
      <c r="N24" s="590">
        <f t="shared" ca="1" si="4"/>
        <v>0</v>
      </c>
      <c r="O24" s="506">
        <f>INDEX(ECMData_EndUse[#All],MATCH(ECMData_EUI37[[#This Row],[Model Run]],ECMData_EndUse[[#All],[Model Run]],0),MATCH(_xlfn.CONCAT(O$29," - Total"),ECMData_EndUse[#Headers],0))</f>
        <v>0</v>
      </c>
      <c r="P24" s="506">
        <f>INDEX(ECMData_EndUse[#All],MATCH(ECMData_EUI37[[#This Row],[Model Run]],ECMData_EndUse[[#All],[Model Run]],0),MATCH(_xlfn.CONCAT(P$29," - Total"),ECMData_EndUse[#Headers],0))</f>
        <v>0</v>
      </c>
      <c r="Q24" s="506">
        <f>INDEX(ECMData_EndUse[#All],MATCH(ECMData_EUI37[[#This Row],[Model Run]],ECMData_EndUse[[#All],[Model Run]],0),MATCH(_xlfn.CONCAT(Q$29," - Total"),ECMData_EndUse[#Headers],0))</f>
        <v>0</v>
      </c>
      <c r="R24" s="506">
        <f>INDEX(ECMData_EndUse[#All],MATCH(ECMData_EUI37[[#This Row],[Model Run]],ECMData_EndUse[[#All],[Model Run]],0),MATCH(_xlfn.CONCAT(R$29," - Total"),ECMData_EndUse[#Headers],0))</f>
        <v>0</v>
      </c>
      <c r="S24" s="506">
        <f>INDEX(ECMData_EndUse[#All],MATCH(ECMData_EUI37[[#This Row],[Model Run]],ECMData_EndUse[[#All],[Model Run]],0),MATCH(_xlfn.CONCAT(S$29," - Total"),ECMData_EndUse[#Headers],0))</f>
        <v>0</v>
      </c>
      <c r="T24" s="506">
        <f>INDEX(ECMData_EndUse[#All],MATCH(ECMData_EUI37[[#This Row],[Model Run]],ECMData_EndUse[[#All],[Model Run]],0),MATCH(_xlfn.CONCAT(T$29," - Total"),ECMData_EndUse[#Headers],0))</f>
        <v>0</v>
      </c>
      <c r="U24" s="506">
        <f>INDEX(ECMData_EndUse[#All],MATCH(ECMData_EUI37[[#This Row],[Model Run]],ECMData_EndUse[[#All],[Model Run]],0),MATCH(_xlfn.CONCAT(U$29," - Total"),ECMData_EndUse[#Headers],0))</f>
        <v>0</v>
      </c>
      <c r="V24" s="554">
        <f>INDEX(ECMData_EndUse[#All],MATCH(ECMData_EUI37[[#This Row],[Model Run]],ECMData_EndUse[[#All],[Model Run]],0),MATCH(_xlfn.CONCAT(V$29," - Total"),ECMData_EndUse[#Headers],0))</f>
        <v>0</v>
      </c>
      <c r="W24" s="554">
        <f>INDEX(ECMData_EndUse[#All],MATCH(ECMData_EUI37[[#This Row],[Model Run]],ECMData_EndUse[[#All],[Model Run]],0),MATCH(_xlfn.CONCAT(W$29," - Total"),ECMData_EndUse[#Headers],0))</f>
        <v>0</v>
      </c>
      <c r="X24" s="506">
        <f>INDEX(ECMData_EndUse[#All],MATCH(ECMData_EUI37[[#This Row],[Model Run]],ECMData_EndUse[[#All],[Model Run]],0),MATCH(_xlfn.CONCAT(X$29," - Total"),ECMData_EndUse[#Headers],0))</f>
        <v>0</v>
      </c>
      <c r="Y24" s="506">
        <f>INDEX(ECMData_EndUse[#All],MATCH(ECMData_EUI37[[#This Row],[Model Run]],ECMData_EndUse[[#All],[Model Run]],0),MATCH(_xlfn.CONCAT(Y$29," - Total"),ECMData_EndUse[#Headers],0))</f>
        <v>0</v>
      </c>
      <c r="Z24" s="506">
        <f>INDEX(ECMData_EndUse[#All],MATCH(ECMData_EUI37[[#This Row],[Model Run]],ECMData_EndUse[[#All],[Model Run]],0),MATCH(_xlfn.CONCAT(Z$29," - Total"),ECMData_EndUse[#Headers],0))</f>
        <v>0</v>
      </c>
      <c r="AA24" s="506">
        <f>INDEX(ECMData_EndUse[#All],MATCH(ECMData_EUI37[[#This Row],[Model Run]],ECMData_EndUse[[#All],[Model Run]],0),MATCH(_xlfn.CONCAT(AA$29," - Total"),ECMData_EndUse[#Headers],0))</f>
        <v>0</v>
      </c>
      <c r="AB24" s="506">
        <f>INDEX(ECMData_EndUse[#All],MATCH(ECMData_EUI37[[#This Row],[Model Run]],ECMData_EndUse[[#All],[Model Run]],0),MATCH(_xlfn.CONCAT(AB$29," - Total"),ECMData_EndUse[#Headers],0))</f>
        <v>0</v>
      </c>
      <c r="AC24" s="506">
        <f>INDEX(ECMData_EndUse[#All],MATCH(ECMData_EUI37[[#This Row],[Model Run]],ECMData_EndUse[[#All],[Model Run]],0),MATCH(_xlfn.CONCAT(AC$29," - Total"),ECMData_EndUse[#Headers],0))</f>
        <v>0</v>
      </c>
      <c r="AD24" s="506">
        <f>INDEX(ECMData_EndUse[#All],MATCH(ECMData_EUI37[[#This Row],[Model Run]],ECMData_EndUse[[#All],[Model Run]],0),MATCH(_xlfn.CONCAT(AD$29," - Total"),ECMData_EndUse[#Headers],0))</f>
        <v>0</v>
      </c>
      <c r="AE24" s="506">
        <f>INDEX(ECMData_EndUse[#All],MATCH(ECMData_EUI37[[#This Row],[Model Run]],ECMData_EndUse[[#All],[Model Run]],0),MATCH(_xlfn.CONCAT(AE$29," - Total"),ECMData_EndUse[#Headers],0))</f>
        <v>0</v>
      </c>
      <c r="AF24" s="506">
        <f>INDEX(ECMData_EndUse[#All],MATCH(ECMData_EUI37[[#This Row],[Model Run]],ECMData_EndUse[[#All],[Model Run]],0),MATCH(_xlfn.CONCAT(AF$29," - Total"),ECMData_EndUse[#Headers],0))</f>
        <v>0</v>
      </c>
      <c r="AG24" s="506">
        <f>INDEX(ECMData_EndUse[#All],MATCH(ECMData_EUI37[[#This Row],[Model Run]],ECMData_EndUse[[#All],[Model Run]],0),MATCH(_xlfn.CONCAT(AG$29," - Total"),ECMData_EndUse[#Headers],0))</f>
        <v>0</v>
      </c>
      <c r="AH24" s="553">
        <f>SUM(ECMData_EUI37[[#This Row],[Internal Lighting]:[Other Processes]])</f>
        <v>0</v>
      </c>
      <c r="AJ24" s="224"/>
      <c r="AK24" s="224"/>
      <c r="AL24" s="224"/>
      <c r="AM24" s="224"/>
      <c r="AN24" s="224"/>
      <c r="AO24" s="224"/>
      <c r="AP24" s="224"/>
      <c r="AQ24" s="224"/>
      <c r="AR24" s="224"/>
      <c r="AS24" s="224"/>
      <c r="AT24" s="224"/>
      <c r="AU24" s="224"/>
      <c r="AV24" s="224"/>
      <c r="AW24" s="224"/>
      <c r="AX24" s="224"/>
      <c r="AY24" s="224"/>
      <c r="AZ24" s="224"/>
      <c r="BA24" s="224"/>
      <c r="BB24" s="224"/>
      <c r="BC24" s="224"/>
      <c r="BD24" s="224"/>
      <c r="BE24" s="224"/>
      <c r="BF24" s="224"/>
      <c r="BG24" s="224"/>
      <c r="BH24" s="224"/>
      <c r="BI24" s="224"/>
      <c r="BJ24" s="224"/>
      <c r="BK24" s="224"/>
      <c r="BL24" s="224"/>
      <c r="BM24" s="224"/>
      <c r="BN24" s="224"/>
      <c r="BO24" s="224"/>
      <c r="BP24" s="224"/>
      <c r="BQ24" s="224"/>
      <c r="BR24" s="224"/>
      <c r="BS24" s="224"/>
      <c r="BT24" s="224"/>
      <c r="BU24" s="224"/>
      <c r="BV24" s="224"/>
      <c r="BW24" s="224"/>
      <c r="BX24" s="224"/>
      <c r="BY24" s="224"/>
      <c r="BZ24" s="224"/>
      <c r="CA24" s="224"/>
      <c r="CB24" s="224"/>
      <c r="CC24" s="224"/>
      <c r="CD24" s="224"/>
      <c r="CE24" s="224"/>
      <c r="CF24" s="224"/>
      <c r="CG24" s="224"/>
      <c r="CH24" s="224"/>
      <c r="CI24" s="224"/>
      <c r="CJ24" s="224"/>
      <c r="CK24" s="224"/>
      <c r="CL24" s="224"/>
      <c r="CM24" s="224"/>
      <c r="CN24" s="224"/>
      <c r="CO24" s="224"/>
      <c r="CP24" s="224"/>
      <c r="CQ24" s="224"/>
      <c r="CR24" s="224"/>
      <c r="CS24" s="224"/>
      <c r="CT24" s="224"/>
      <c r="CU24" s="224"/>
      <c r="CV24" s="224"/>
      <c r="CW24" s="224"/>
      <c r="CX24" s="224"/>
      <c r="CY24" s="224"/>
      <c r="CZ24" s="224"/>
      <c r="DA24" s="224"/>
      <c r="DB24" s="224"/>
      <c r="DC24" s="224"/>
      <c r="DD24" s="224"/>
      <c r="DE24" s="224"/>
      <c r="DF24" s="224"/>
      <c r="DG24" s="224"/>
      <c r="DH24" s="224"/>
      <c r="DI24" s="224"/>
      <c r="DJ24" s="224"/>
      <c r="DK24" s="224"/>
      <c r="DL24" s="224"/>
      <c r="DM24" s="224"/>
      <c r="DN24" s="224"/>
      <c r="DO24" s="224"/>
      <c r="DP24" s="224"/>
      <c r="DQ24" s="224"/>
      <c r="DR24" s="224"/>
      <c r="DS24" s="224"/>
      <c r="DT24" s="224"/>
      <c r="DU24" s="224"/>
      <c r="DV24" s="224"/>
      <c r="DW24" s="224"/>
    </row>
    <row r="25" spans="13:127" x14ac:dyDescent="0.25">
      <c r="M25" s="18" t="str">
        <f t="shared" si="3"/>
        <v>ECM-7</v>
      </c>
      <c r="N25" s="590">
        <f t="shared" ca="1" si="4"/>
        <v>0</v>
      </c>
      <c r="O25" s="506">
        <f>INDEX(ECMData_EndUse[#All],MATCH(ECMData_EUI37[[#This Row],[Model Run]],ECMData_EndUse[[#All],[Model Run]],0),MATCH(_xlfn.CONCAT(O$29," - Total"),ECMData_EndUse[#Headers],0))</f>
        <v>0</v>
      </c>
      <c r="P25" s="506">
        <f>INDEX(ECMData_EndUse[#All],MATCH(ECMData_EUI37[[#This Row],[Model Run]],ECMData_EndUse[[#All],[Model Run]],0),MATCH(_xlfn.CONCAT(P$29," - Total"),ECMData_EndUse[#Headers],0))</f>
        <v>0</v>
      </c>
      <c r="Q25" s="506">
        <f>INDEX(ECMData_EndUse[#All],MATCH(ECMData_EUI37[[#This Row],[Model Run]],ECMData_EndUse[[#All],[Model Run]],0),MATCH(_xlfn.CONCAT(Q$29," - Total"),ECMData_EndUse[#Headers],0))</f>
        <v>0</v>
      </c>
      <c r="R25" s="506">
        <f>INDEX(ECMData_EndUse[#All],MATCH(ECMData_EUI37[[#This Row],[Model Run]],ECMData_EndUse[[#All],[Model Run]],0),MATCH(_xlfn.CONCAT(R$29," - Total"),ECMData_EndUse[#Headers],0))</f>
        <v>0</v>
      </c>
      <c r="S25" s="506">
        <f>INDEX(ECMData_EndUse[#All],MATCH(ECMData_EUI37[[#This Row],[Model Run]],ECMData_EndUse[[#All],[Model Run]],0),MATCH(_xlfn.CONCAT(S$29," - Total"),ECMData_EndUse[#Headers],0))</f>
        <v>0</v>
      </c>
      <c r="T25" s="506">
        <f>INDEX(ECMData_EndUse[#All],MATCH(ECMData_EUI37[[#This Row],[Model Run]],ECMData_EndUse[[#All],[Model Run]],0),MATCH(_xlfn.CONCAT(T$29," - Total"),ECMData_EndUse[#Headers],0))</f>
        <v>0</v>
      </c>
      <c r="U25" s="506">
        <f>INDEX(ECMData_EndUse[#All],MATCH(ECMData_EUI37[[#This Row],[Model Run]],ECMData_EndUse[[#All],[Model Run]],0),MATCH(_xlfn.CONCAT(U$29," - Total"),ECMData_EndUse[#Headers],0))</f>
        <v>0</v>
      </c>
      <c r="V25" s="554">
        <f>INDEX(ECMData_EndUse[#All],MATCH(ECMData_EUI37[[#This Row],[Model Run]],ECMData_EndUse[[#All],[Model Run]],0),MATCH(_xlfn.CONCAT(V$29," - Total"),ECMData_EndUse[#Headers],0))</f>
        <v>0</v>
      </c>
      <c r="W25" s="554">
        <f>INDEX(ECMData_EndUse[#All],MATCH(ECMData_EUI37[[#This Row],[Model Run]],ECMData_EndUse[[#All],[Model Run]],0),MATCH(_xlfn.CONCAT(W$29," - Total"),ECMData_EndUse[#Headers],0))</f>
        <v>0</v>
      </c>
      <c r="X25" s="506">
        <f>INDEX(ECMData_EndUse[#All],MATCH(ECMData_EUI37[[#This Row],[Model Run]],ECMData_EndUse[[#All],[Model Run]],0),MATCH(_xlfn.CONCAT(X$29," - Total"),ECMData_EndUse[#Headers],0))</f>
        <v>0</v>
      </c>
      <c r="Y25" s="506">
        <f>INDEX(ECMData_EndUse[#All],MATCH(ECMData_EUI37[[#This Row],[Model Run]],ECMData_EndUse[[#All],[Model Run]],0),MATCH(_xlfn.CONCAT(Y$29," - Total"),ECMData_EndUse[#Headers],0))</f>
        <v>0</v>
      </c>
      <c r="Z25" s="506">
        <f>INDEX(ECMData_EndUse[#All],MATCH(ECMData_EUI37[[#This Row],[Model Run]],ECMData_EndUse[[#All],[Model Run]],0),MATCH(_xlfn.CONCAT(Z$29," - Total"),ECMData_EndUse[#Headers],0))</f>
        <v>0</v>
      </c>
      <c r="AA25" s="506">
        <f>INDEX(ECMData_EndUse[#All],MATCH(ECMData_EUI37[[#This Row],[Model Run]],ECMData_EndUse[[#All],[Model Run]],0),MATCH(_xlfn.CONCAT(AA$29," - Total"),ECMData_EndUse[#Headers],0))</f>
        <v>0</v>
      </c>
      <c r="AB25" s="506">
        <f>INDEX(ECMData_EndUse[#All],MATCH(ECMData_EUI37[[#This Row],[Model Run]],ECMData_EndUse[[#All],[Model Run]],0),MATCH(_xlfn.CONCAT(AB$29," - Total"),ECMData_EndUse[#Headers],0))</f>
        <v>0</v>
      </c>
      <c r="AC25" s="506">
        <f>INDEX(ECMData_EndUse[#All],MATCH(ECMData_EUI37[[#This Row],[Model Run]],ECMData_EndUse[[#All],[Model Run]],0),MATCH(_xlfn.CONCAT(AC$29," - Total"),ECMData_EndUse[#Headers],0))</f>
        <v>0</v>
      </c>
      <c r="AD25" s="506">
        <f>INDEX(ECMData_EndUse[#All],MATCH(ECMData_EUI37[[#This Row],[Model Run]],ECMData_EndUse[[#All],[Model Run]],0),MATCH(_xlfn.CONCAT(AD$29," - Total"),ECMData_EndUse[#Headers],0))</f>
        <v>0</v>
      </c>
      <c r="AE25" s="506">
        <f>INDEX(ECMData_EndUse[#All],MATCH(ECMData_EUI37[[#This Row],[Model Run]],ECMData_EndUse[[#All],[Model Run]],0),MATCH(_xlfn.CONCAT(AE$29," - Total"),ECMData_EndUse[#Headers],0))</f>
        <v>0</v>
      </c>
      <c r="AF25" s="506">
        <f>INDEX(ECMData_EndUse[#All],MATCH(ECMData_EUI37[[#This Row],[Model Run]],ECMData_EndUse[[#All],[Model Run]],0),MATCH(_xlfn.CONCAT(AF$29," - Total"),ECMData_EndUse[#Headers],0))</f>
        <v>0</v>
      </c>
      <c r="AG25" s="506">
        <f>INDEX(ECMData_EndUse[#All],MATCH(ECMData_EUI37[[#This Row],[Model Run]],ECMData_EndUse[[#All],[Model Run]],0),MATCH(_xlfn.CONCAT(AG$29," - Total"),ECMData_EndUse[#Headers],0))</f>
        <v>0</v>
      </c>
      <c r="AH25" s="553">
        <f>SUM(ECMData_EUI37[[#This Row],[Internal Lighting]:[Other Processes]])</f>
        <v>0</v>
      </c>
      <c r="AJ25" s="224"/>
      <c r="AK25" s="224"/>
      <c r="AL25" s="224"/>
      <c r="AM25" s="224"/>
      <c r="AN25" s="224"/>
      <c r="AO25" s="224"/>
      <c r="AP25" s="224"/>
      <c r="AQ25" s="224"/>
      <c r="AR25" s="224"/>
      <c r="AS25" s="224"/>
      <c r="AT25" s="224"/>
      <c r="AU25" s="224"/>
      <c r="AV25" s="224"/>
      <c r="AW25" s="224"/>
      <c r="AX25" s="224"/>
      <c r="AY25" s="224"/>
      <c r="AZ25" s="224"/>
      <c r="BA25" s="224"/>
      <c r="BB25" s="224"/>
      <c r="BC25" s="224"/>
      <c r="BD25" s="224"/>
      <c r="BE25" s="224"/>
      <c r="BF25" s="224"/>
      <c r="BG25" s="224"/>
      <c r="BH25" s="224"/>
      <c r="BI25" s="224"/>
      <c r="BJ25" s="224"/>
      <c r="BK25" s="224"/>
      <c r="BL25" s="224"/>
      <c r="BM25" s="224"/>
      <c r="BN25" s="224"/>
      <c r="BO25" s="224"/>
      <c r="BP25" s="224"/>
      <c r="BQ25" s="224"/>
      <c r="BR25" s="224"/>
      <c r="BS25" s="224"/>
      <c r="BT25" s="224"/>
      <c r="BU25" s="224"/>
      <c r="BV25" s="224"/>
      <c r="BW25" s="224"/>
      <c r="BX25" s="224"/>
      <c r="BY25" s="224"/>
      <c r="BZ25" s="224"/>
      <c r="CA25" s="224"/>
      <c r="CB25" s="224"/>
      <c r="CC25" s="224"/>
      <c r="CD25" s="224"/>
      <c r="CE25" s="224"/>
      <c r="CF25" s="224"/>
      <c r="CG25" s="224"/>
      <c r="CH25" s="224"/>
      <c r="CI25" s="224"/>
      <c r="CJ25" s="224"/>
      <c r="CK25" s="224"/>
      <c r="CL25" s="224"/>
      <c r="CM25" s="224"/>
      <c r="CN25" s="224"/>
      <c r="CO25" s="224"/>
      <c r="CP25" s="224"/>
      <c r="CQ25" s="224"/>
      <c r="CR25" s="224"/>
      <c r="CS25" s="224"/>
      <c r="CT25" s="224"/>
      <c r="CU25" s="224"/>
      <c r="CV25" s="224"/>
      <c r="CW25" s="224"/>
      <c r="CX25" s="224"/>
      <c r="CY25" s="224"/>
      <c r="CZ25" s="224"/>
      <c r="DA25" s="224"/>
      <c r="DB25" s="224"/>
      <c r="DC25" s="224"/>
      <c r="DD25" s="224"/>
      <c r="DE25" s="224"/>
      <c r="DF25" s="224"/>
      <c r="DG25" s="224"/>
      <c r="DH25" s="224"/>
      <c r="DI25" s="224"/>
      <c r="DJ25" s="224"/>
      <c r="DK25" s="224"/>
      <c r="DL25" s="224"/>
      <c r="DM25" s="224"/>
      <c r="DN25" s="224"/>
      <c r="DO25" s="224"/>
      <c r="DP25" s="224"/>
      <c r="DQ25" s="224"/>
      <c r="DR25" s="224"/>
      <c r="DS25" s="224"/>
      <c r="DT25" s="224"/>
      <c r="DU25" s="224"/>
      <c r="DV25" s="224"/>
      <c r="DW25" s="224"/>
    </row>
    <row r="26" spans="13:127" ht="15.75" thickBot="1" x14ac:dyDescent="0.3">
      <c r="M26" s="18" t="str">
        <f t="shared" si="3"/>
        <v>Proposed</v>
      </c>
      <c r="N26" s="590" t="str">
        <f t="shared" ca="1" si="4"/>
        <v>Proposed Design</v>
      </c>
      <c r="O26" s="507">
        <f>INDEX(ECMData_EndUse[#All],MATCH(ECMData_EUI37[[#This Row],[Model Run]],ECMData_EndUse[[#All],[Model Run]],0),MATCH(_xlfn.CONCAT(O$29," - Total"),ECMData_EndUse[#Headers],0))</f>
        <v>0</v>
      </c>
      <c r="P26" s="507">
        <f>INDEX(ECMData_EndUse[#All],MATCH(ECMData_EUI37[[#This Row],[Model Run]],ECMData_EndUse[[#All],[Model Run]],0),MATCH(_xlfn.CONCAT(P$29," - Total"),ECMData_EndUse[#Headers],0))</f>
        <v>0</v>
      </c>
      <c r="Q26" s="507">
        <f>INDEX(ECMData_EndUse[#All],MATCH(ECMData_EUI37[[#This Row],[Model Run]],ECMData_EndUse[[#All],[Model Run]],0),MATCH(_xlfn.CONCAT(Q$29," - Total"),ECMData_EndUse[#Headers],0))</f>
        <v>0</v>
      </c>
      <c r="R26" s="507">
        <f>INDEX(ECMData_EndUse[#All],MATCH(ECMData_EUI37[[#This Row],[Model Run]],ECMData_EndUse[[#All],[Model Run]],0),MATCH(_xlfn.CONCAT(R$29," - Total"),ECMData_EndUse[#Headers],0))</f>
        <v>0</v>
      </c>
      <c r="S26" s="507">
        <f>INDEX(ECMData_EndUse[#All],MATCH(ECMData_EUI37[[#This Row],[Model Run]],ECMData_EndUse[[#All],[Model Run]],0),MATCH(_xlfn.CONCAT(S$29," - Total"),ECMData_EndUse[#Headers],0))</f>
        <v>0</v>
      </c>
      <c r="T26" s="507">
        <f>INDEX(ECMData_EndUse[#All],MATCH(ECMData_EUI37[[#This Row],[Model Run]],ECMData_EndUse[[#All],[Model Run]],0),MATCH(_xlfn.CONCAT(T$29," - Total"),ECMData_EndUse[#Headers],0))</f>
        <v>0</v>
      </c>
      <c r="U26" s="507">
        <f>INDEX(ECMData_EndUse[#All],MATCH(ECMData_EUI37[[#This Row],[Model Run]],ECMData_EndUse[[#All],[Model Run]],0),MATCH(_xlfn.CONCAT(U$29," - Total"),ECMData_EndUse[#Headers],0))</f>
        <v>0</v>
      </c>
      <c r="V26" s="555">
        <f>INDEX(ECMData_EndUse[#All],MATCH(ECMData_EUI37[[#This Row],[Model Run]],ECMData_EndUse[[#All],[Model Run]],0),MATCH(_xlfn.CONCAT(V$29," - Total"),ECMData_EndUse[#Headers],0))</f>
        <v>0</v>
      </c>
      <c r="W26" s="555">
        <f>INDEX(ECMData_EndUse[#All],MATCH(ECMData_EUI37[[#This Row],[Model Run]],ECMData_EndUse[[#All],[Model Run]],0),MATCH(_xlfn.CONCAT(W$29," - Total"),ECMData_EndUse[#Headers],0))</f>
        <v>0</v>
      </c>
      <c r="X26" s="507">
        <f>INDEX(ECMData_EndUse[#All],MATCH(ECMData_EUI37[[#This Row],[Model Run]],ECMData_EndUse[[#All],[Model Run]],0),MATCH(_xlfn.CONCAT(X$29," - Total"),ECMData_EndUse[#Headers],0))</f>
        <v>0</v>
      </c>
      <c r="Y26" s="507">
        <f>INDEX(ECMData_EndUse[#All],MATCH(ECMData_EUI37[[#This Row],[Model Run]],ECMData_EndUse[[#All],[Model Run]],0),MATCH(_xlfn.CONCAT(Y$29," - Total"),ECMData_EndUse[#Headers],0))</f>
        <v>0</v>
      </c>
      <c r="Z26" s="507">
        <f>INDEX(ECMData_EndUse[#All],MATCH(ECMData_EUI37[[#This Row],[Model Run]],ECMData_EndUse[[#All],[Model Run]],0),MATCH(_xlfn.CONCAT(Z$29," - Total"),ECMData_EndUse[#Headers],0))</f>
        <v>0</v>
      </c>
      <c r="AA26" s="507">
        <f>INDEX(ECMData_EndUse[#All],MATCH(ECMData_EUI37[[#This Row],[Model Run]],ECMData_EndUse[[#All],[Model Run]],0),MATCH(_xlfn.CONCAT(AA$29," - Total"),ECMData_EndUse[#Headers],0))</f>
        <v>0</v>
      </c>
      <c r="AB26" s="507">
        <f>INDEX(ECMData_EndUse[#All],MATCH(ECMData_EUI37[[#This Row],[Model Run]],ECMData_EndUse[[#All],[Model Run]],0),MATCH(_xlfn.CONCAT(AB$29," - Total"),ECMData_EndUse[#Headers],0))</f>
        <v>0</v>
      </c>
      <c r="AC26" s="507">
        <f>INDEX(ECMData_EndUse[#All],MATCH(ECMData_EUI37[[#This Row],[Model Run]],ECMData_EndUse[[#All],[Model Run]],0),MATCH(_xlfn.CONCAT(AC$29," - Total"),ECMData_EndUse[#Headers],0))</f>
        <v>0</v>
      </c>
      <c r="AD26" s="507">
        <f>INDEX(ECMData_EndUse[#All],MATCH(ECMData_EUI37[[#This Row],[Model Run]],ECMData_EndUse[[#All],[Model Run]],0),MATCH(_xlfn.CONCAT(AD$29," - Total"),ECMData_EndUse[#Headers],0))</f>
        <v>0</v>
      </c>
      <c r="AE26" s="507">
        <f>INDEX(ECMData_EndUse[#All],MATCH(ECMData_EUI37[[#This Row],[Model Run]],ECMData_EndUse[[#All],[Model Run]],0),MATCH(_xlfn.CONCAT(AE$29," - Total"),ECMData_EndUse[#Headers],0))</f>
        <v>0</v>
      </c>
      <c r="AF26" s="507">
        <f>INDEX(ECMData_EndUse[#All],MATCH(ECMData_EUI37[[#This Row],[Model Run]],ECMData_EndUse[[#All],[Model Run]],0),MATCH(_xlfn.CONCAT(AF$29," - Total"),ECMData_EndUse[#Headers],0))</f>
        <v>0</v>
      </c>
      <c r="AG26" s="507">
        <f>INDEX(ECMData_EndUse[#All],MATCH(ECMData_EUI37[[#This Row],[Model Run]],ECMData_EndUse[[#All],[Model Run]],0),MATCH(_xlfn.CONCAT(AG$29," - Total"),ECMData_EndUse[#Headers],0))</f>
        <v>0</v>
      </c>
      <c r="AH26" s="556">
        <f>SUM(ECMData_EUI37[[#This Row],[Internal Lighting]:[Other Processes]])</f>
        <v>0</v>
      </c>
      <c r="AJ26" s="224"/>
      <c r="AK26" s="224"/>
      <c r="AL26" s="224"/>
      <c r="AM26" s="224"/>
      <c r="AN26" s="224"/>
      <c r="AO26" s="224"/>
      <c r="AP26" s="224"/>
      <c r="AQ26" s="224"/>
      <c r="AR26" s="224"/>
      <c r="AS26" s="224"/>
      <c r="AT26" s="224"/>
      <c r="AU26" s="224"/>
      <c r="AV26" s="224"/>
      <c r="AW26" s="224"/>
      <c r="AX26" s="224"/>
      <c r="AY26" s="224"/>
      <c r="AZ26" s="224"/>
      <c r="BA26" s="224"/>
      <c r="BB26" s="224"/>
      <c r="BC26" s="224"/>
      <c r="BD26" s="224"/>
      <c r="BE26" s="224"/>
      <c r="BF26" s="224"/>
      <c r="BG26" s="224"/>
      <c r="BH26" s="224"/>
      <c r="BI26" s="224"/>
      <c r="BJ26" s="224"/>
      <c r="BK26" s="224"/>
      <c r="BL26" s="224"/>
      <c r="BM26" s="224"/>
      <c r="BN26" s="224"/>
      <c r="BO26" s="224"/>
      <c r="BP26" s="224"/>
      <c r="BQ26" s="224"/>
      <c r="BR26" s="224"/>
      <c r="BS26" s="224"/>
      <c r="BT26" s="224"/>
      <c r="BU26" s="224"/>
      <c r="BV26" s="224"/>
      <c r="BW26" s="224"/>
      <c r="BX26" s="224"/>
      <c r="BY26" s="224"/>
      <c r="BZ26" s="224"/>
      <c r="CA26" s="224"/>
      <c r="CB26" s="224"/>
      <c r="CC26" s="224"/>
      <c r="CD26" s="224"/>
      <c r="CE26" s="224"/>
      <c r="CF26" s="224"/>
      <c r="CG26" s="224"/>
      <c r="CH26" s="224"/>
      <c r="CI26" s="224"/>
      <c r="CJ26" s="224"/>
      <c r="CK26" s="224"/>
      <c r="CL26" s="224"/>
      <c r="CM26" s="224"/>
      <c r="CN26" s="224"/>
      <c r="CO26" s="224"/>
      <c r="CP26" s="224"/>
      <c r="CQ26" s="224"/>
      <c r="CR26" s="224"/>
      <c r="CS26" s="224"/>
      <c r="CT26" s="224"/>
      <c r="CU26" s="224"/>
      <c r="CV26" s="224"/>
      <c r="CW26" s="224"/>
      <c r="CX26" s="224"/>
      <c r="CY26" s="224"/>
      <c r="CZ26" s="224"/>
      <c r="DA26" s="224"/>
      <c r="DB26" s="224"/>
      <c r="DC26" s="224"/>
      <c r="DD26" s="224"/>
      <c r="DE26" s="224"/>
      <c r="DF26" s="224"/>
      <c r="DG26" s="224"/>
      <c r="DH26" s="224"/>
      <c r="DI26" s="224"/>
      <c r="DJ26" s="224"/>
      <c r="DK26" s="224"/>
      <c r="DL26" s="224"/>
      <c r="DM26" s="224"/>
      <c r="DN26" s="224"/>
      <c r="DO26" s="224"/>
      <c r="DP26" s="224"/>
      <c r="DQ26" s="224"/>
      <c r="DR26" s="224"/>
      <c r="DS26" s="224"/>
      <c r="DT26" s="224"/>
      <c r="DU26" s="224"/>
      <c r="DV26" s="224"/>
      <c r="DW26" s="224"/>
    </row>
    <row r="27" spans="13:127" ht="15.75" thickBot="1" x14ac:dyDescent="0.3">
      <c r="AJ27" s="224"/>
      <c r="AK27" s="224"/>
      <c r="AL27" s="224"/>
      <c r="AM27" s="224"/>
      <c r="AN27" s="224"/>
      <c r="AO27" s="224"/>
      <c r="AP27" s="224"/>
      <c r="AQ27" s="224"/>
      <c r="AR27" s="224"/>
      <c r="AS27" s="224"/>
      <c r="AT27" s="224"/>
      <c r="AU27" s="224"/>
      <c r="AV27" s="224"/>
      <c r="AW27" s="224"/>
      <c r="AX27" s="224"/>
      <c r="AY27" s="224"/>
      <c r="AZ27" s="224"/>
      <c r="BA27" s="224"/>
      <c r="BB27" s="224"/>
      <c r="BC27" s="224"/>
      <c r="BD27" s="224"/>
      <c r="BE27" s="224"/>
      <c r="BF27" s="224"/>
      <c r="BG27" s="224"/>
      <c r="BH27" s="224"/>
      <c r="BI27" s="224"/>
      <c r="BJ27" s="224"/>
      <c r="BK27" s="224"/>
      <c r="BL27" s="224"/>
      <c r="BM27" s="224"/>
      <c r="BN27" s="224"/>
      <c r="BO27" s="224"/>
      <c r="BP27" s="224"/>
      <c r="BQ27" s="224"/>
      <c r="BR27" s="224"/>
      <c r="BS27" s="224"/>
      <c r="BT27" s="224"/>
      <c r="BU27" s="224"/>
      <c r="BV27" s="224"/>
      <c r="BW27" s="224"/>
      <c r="BX27" s="224"/>
      <c r="BY27" s="224"/>
      <c r="BZ27" s="224"/>
      <c r="CA27" s="224"/>
      <c r="CB27" s="224"/>
      <c r="CC27" s="224"/>
      <c r="CD27" s="224"/>
      <c r="CE27" s="224"/>
      <c r="CF27" s="224"/>
      <c r="CG27" s="224"/>
      <c r="CH27" s="224"/>
      <c r="CI27" s="224"/>
      <c r="CJ27" s="224"/>
      <c r="CK27" s="224"/>
      <c r="CL27" s="224"/>
      <c r="CM27" s="224"/>
      <c r="CN27" s="224"/>
      <c r="CO27" s="224"/>
      <c r="CP27" s="224"/>
      <c r="CQ27" s="224"/>
      <c r="CR27" s="224"/>
      <c r="CS27" s="224"/>
      <c r="CT27" s="224"/>
      <c r="CU27" s="224"/>
      <c r="CV27" s="224"/>
      <c r="CW27" s="224"/>
      <c r="CX27" s="224"/>
      <c r="CY27" s="224"/>
      <c r="CZ27" s="224"/>
      <c r="DA27" s="224"/>
      <c r="DB27" s="224"/>
      <c r="DC27" s="224"/>
      <c r="DD27" s="224"/>
      <c r="DE27" s="224"/>
      <c r="DF27" s="224"/>
      <c r="DG27" s="224"/>
      <c r="DH27" s="224"/>
      <c r="DI27" s="224"/>
      <c r="DJ27" s="224"/>
      <c r="DK27" s="224"/>
      <c r="DL27" s="224"/>
      <c r="DM27" s="224"/>
      <c r="DN27" s="224"/>
      <c r="DO27" s="224"/>
      <c r="DP27" s="224"/>
      <c r="DQ27" s="224"/>
      <c r="DR27" s="224"/>
      <c r="DS27" s="224"/>
      <c r="DT27" s="224"/>
      <c r="DU27" s="224"/>
      <c r="DV27" s="224"/>
      <c r="DW27" s="224"/>
    </row>
    <row r="28" spans="13:127" x14ac:dyDescent="0.25">
      <c r="M28" s="755" t="s">
        <v>885</v>
      </c>
      <c r="N28" s="756"/>
      <c r="O28" s="550"/>
      <c r="P28" s="550"/>
      <c r="Q28" s="550"/>
      <c r="R28" s="550"/>
      <c r="S28" s="550"/>
      <c r="T28" s="550"/>
      <c r="U28" s="550"/>
      <c r="V28" s="550"/>
      <c r="W28" s="550"/>
      <c r="X28" s="550"/>
      <c r="Y28" s="550"/>
      <c r="Z28" s="550"/>
      <c r="AA28" s="550"/>
      <c r="AB28" s="550"/>
      <c r="AC28" s="550"/>
      <c r="AD28" s="550"/>
      <c r="AE28" s="550"/>
      <c r="AF28" s="550"/>
      <c r="AG28" s="550"/>
      <c r="AH28" s="552"/>
      <c r="AI28" s="659"/>
      <c r="AJ28" s="224"/>
      <c r="AK28" s="224"/>
      <c r="AL28" s="224"/>
      <c r="AM28" s="224"/>
      <c r="AN28" s="224"/>
      <c r="AO28" s="224"/>
      <c r="AP28" s="224"/>
      <c r="AQ28" s="224"/>
      <c r="AR28" s="224"/>
      <c r="AS28" s="224"/>
      <c r="AT28" s="224"/>
      <c r="AU28" s="224"/>
      <c r="AV28" s="224"/>
      <c r="AW28" s="224"/>
      <c r="AX28" s="224"/>
      <c r="AY28" s="224"/>
      <c r="AZ28" s="224"/>
      <c r="BA28" s="224"/>
      <c r="BB28" s="224"/>
      <c r="BC28" s="224"/>
      <c r="BD28" s="224"/>
      <c r="BE28" s="224"/>
      <c r="BF28" s="224"/>
      <c r="BG28" s="224"/>
      <c r="BH28" s="224"/>
      <c r="BI28" s="224"/>
      <c r="BJ28" s="224"/>
      <c r="BK28" s="224"/>
      <c r="BL28" s="224"/>
      <c r="BM28" s="224"/>
      <c r="BN28" s="224"/>
      <c r="BO28" s="224"/>
      <c r="BP28" s="224"/>
      <c r="BQ28" s="224"/>
      <c r="BR28" s="224"/>
      <c r="BS28" s="224"/>
      <c r="BT28" s="224"/>
      <c r="BU28" s="224"/>
      <c r="BV28" s="224"/>
      <c r="BW28" s="224"/>
      <c r="BX28" s="224"/>
      <c r="BY28" s="224"/>
      <c r="BZ28" s="224"/>
      <c r="CA28" s="224"/>
      <c r="CB28" s="224"/>
      <c r="CC28" s="224"/>
      <c r="CD28" s="224"/>
      <c r="CE28" s="224"/>
      <c r="CF28" s="224"/>
      <c r="CG28" s="224"/>
      <c r="CH28" s="224"/>
      <c r="CI28" s="224"/>
      <c r="CJ28" s="224"/>
      <c r="CK28" s="224"/>
      <c r="CL28" s="224"/>
      <c r="CM28" s="224"/>
      <c r="CN28" s="224"/>
      <c r="CO28" s="224"/>
      <c r="CP28" s="224"/>
      <c r="CQ28" s="224"/>
      <c r="CR28" s="224"/>
      <c r="CS28" s="224"/>
      <c r="CT28" s="224"/>
      <c r="CU28" s="224"/>
      <c r="CV28" s="224"/>
      <c r="CW28" s="224"/>
      <c r="CX28" s="224"/>
      <c r="CY28" s="224"/>
      <c r="CZ28" s="224"/>
      <c r="DA28" s="224"/>
      <c r="DB28" s="224"/>
      <c r="DC28" s="224"/>
      <c r="DD28" s="224"/>
      <c r="DE28" s="224"/>
      <c r="DF28" s="224"/>
      <c r="DG28" s="224"/>
      <c r="DH28" s="224"/>
      <c r="DI28" s="224"/>
      <c r="DJ28" s="224"/>
      <c r="DK28" s="224"/>
      <c r="DL28" s="224"/>
      <c r="DM28" s="224"/>
      <c r="DN28" s="224"/>
      <c r="DO28" s="224"/>
      <c r="DP28" s="224"/>
      <c r="DQ28" s="224"/>
      <c r="DR28" s="224"/>
      <c r="DS28" s="224"/>
      <c r="DT28" s="224"/>
      <c r="DU28" s="224"/>
      <c r="DV28" s="224"/>
      <c r="DW28" s="224"/>
    </row>
    <row r="29" spans="13:127" ht="45" x14ac:dyDescent="0.25">
      <c r="M29" s="19" t="s">
        <v>867</v>
      </c>
      <c r="N29" s="3" t="s">
        <v>868</v>
      </c>
      <c r="O29" s="27" t="s">
        <v>887</v>
      </c>
      <c r="P29" s="27" t="s">
        <v>888</v>
      </c>
      <c r="Q29" s="27" t="s">
        <v>889</v>
      </c>
      <c r="R29" s="27" t="s">
        <v>890</v>
      </c>
      <c r="S29" s="27" t="s">
        <v>891</v>
      </c>
      <c r="T29" s="27" t="s">
        <v>892</v>
      </c>
      <c r="U29" s="27" t="s">
        <v>893</v>
      </c>
      <c r="V29" s="661" t="s">
        <v>894</v>
      </c>
      <c r="W29" s="661" t="s">
        <v>895</v>
      </c>
      <c r="X29" s="27" t="s">
        <v>896</v>
      </c>
      <c r="Y29" s="27" t="s">
        <v>897</v>
      </c>
      <c r="Z29" s="27" t="s">
        <v>898</v>
      </c>
      <c r="AA29" s="27" t="s">
        <v>899</v>
      </c>
      <c r="AB29" s="27" t="s">
        <v>900</v>
      </c>
      <c r="AC29" s="27" t="s">
        <v>901</v>
      </c>
      <c r="AD29" s="27" t="s">
        <v>902</v>
      </c>
      <c r="AE29" s="27" t="s">
        <v>903</v>
      </c>
      <c r="AF29" s="27" t="s">
        <v>904</v>
      </c>
      <c r="AG29" s="27" t="s">
        <v>866</v>
      </c>
      <c r="AH29" s="27" t="s">
        <v>206</v>
      </c>
      <c r="AI29" s="506"/>
      <c r="AJ29" s="506"/>
      <c r="AK29" s="506"/>
      <c r="AL29" s="506"/>
      <c r="AM29" s="506"/>
      <c r="AN29" s="506"/>
      <c r="AO29" s="506"/>
      <c r="AP29" s="506"/>
      <c r="AQ29" s="506"/>
      <c r="AR29" s="506"/>
      <c r="AS29" s="506"/>
      <c r="AT29" s="506"/>
      <c r="AU29" s="506"/>
      <c r="AV29" s="506"/>
      <c r="AW29" s="506"/>
      <c r="AX29" s="506"/>
      <c r="AY29" s="506"/>
      <c r="AZ29" s="506"/>
      <c r="BA29" s="506"/>
      <c r="BB29" s="506"/>
      <c r="BC29" s="506"/>
      <c r="BD29" s="506"/>
      <c r="BE29" s="506"/>
      <c r="BF29" s="506"/>
      <c r="BG29" s="506"/>
      <c r="BH29" s="506"/>
      <c r="BI29" s="506"/>
      <c r="BJ29" s="506"/>
      <c r="BK29" s="506"/>
      <c r="BL29" s="506"/>
      <c r="BM29" s="506"/>
      <c r="BN29" s="506"/>
      <c r="BO29" s="506"/>
      <c r="BP29" s="506"/>
      <c r="BQ29" s="506"/>
      <c r="BR29" s="506"/>
      <c r="BS29" s="506"/>
      <c r="BT29" s="506"/>
      <c r="BU29" s="506"/>
      <c r="BV29" s="506"/>
      <c r="BW29" s="506"/>
      <c r="BX29" s="506"/>
      <c r="BY29" s="506"/>
      <c r="BZ29" s="506"/>
      <c r="CA29" s="506"/>
      <c r="CB29" s="506"/>
      <c r="CC29" s="506"/>
      <c r="CD29" s="506"/>
      <c r="CE29" s="506"/>
      <c r="CF29" s="506"/>
      <c r="CG29" s="506"/>
      <c r="CH29" s="506"/>
      <c r="CI29" s="506"/>
      <c r="CJ29" s="506"/>
      <c r="CK29" s="506"/>
      <c r="CL29" s="506"/>
      <c r="CM29" s="506"/>
      <c r="CN29" s="506"/>
      <c r="CO29" s="506"/>
      <c r="CP29" s="506"/>
      <c r="CQ29" s="506"/>
      <c r="CR29" s="506"/>
      <c r="CS29" s="506"/>
      <c r="CT29" s="506"/>
      <c r="CU29" s="506"/>
      <c r="CV29" s="506"/>
      <c r="CW29" s="506"/>
      <c r="CX29" s="506"/>
      <c r="CY29" s="506"/>
      <c r="CZ29" s="506"/>
      <c r="DA29" s="506"/>
      <c r="DB29" s="506"/>
      <c r="DC29" s="506"/>
      <c r="DD29" s="506"/>
      <c r="DE29" s="506"/>
      <c r="DF29" s="506"/>
      <c r="DG29" s="506"/>
      <c r="DH29" s="506"/>
      <c r="DI29" s="506"/>
      <c r="DJ29" s="506"/>
      <c r="DK29" s="506"/>
      <c r="DL29" s="506"/>
      <c r="DM29" s="506"/>
      <c r="DN29" s="506"/>
      <c r="DO29" s="506"/>
      <c r="DP29" s="506"/>
      <c r="DQ29" s="506"/>
      <c r="DR29" s="506"/>
      <c r="DS29" s="506"/>
      <c r="DT29" s="506"/>
      <c r="DU29" s="506"/>
      <c r="DV29" s="506"/>
      <c r="DW29" s="506"/>
    </row>
    <row r="30" spans="13:127" x14ac:dyDescent="0.25">
      <c r="M30" s="18" t="str">
        <f t="shared" ref="M30:M38" si="5">A6</f>
        <v>Baseline</v>
      </c>
      <c r="N30" s="590">
        <f t="shared" ref="N30:N38" ca="1" si="6">B6</f>
        <v>0</v>
      </c>
      <c r="O30" s="506" t="e">
        <f>INDEX(ECMData_EndUse[#All],MATCH(ECMData_EUI[[#This Row],[Model Run]],ECMData_EndUse[[#All],[Model Run]],0),MATCH(_xlfn.CONCAT(O$29," - Total"),ECMData_EndUse[#Headers],0))/MasterRoomList_SpaceTypeSummary[[#Totals],[Area (sqft)]]</f>
        <v>#DIV/0!</v>
      </c>
      <c r="P30" s="506" t="e">
        <f>INDEX(ECMData_EndUse[#All],MATCH(ECMData_EUI[[#This Row],[Model Run]],ECMData_EndUse[[#All],[Model Run]],0),MATCH(_xlfn.CONCAT(P$29," - Total"),ECMData_EndUse[#Headers],0))/MasterRoomList_SpaceTypeSummary[[#Totals],[Area (sqft)]]</f>
        <v>#DIV/0!</v>
      </c>
      <c r="Q30" s="506" t="e">
        <f>INDEX(ECMData_EndUse[#All],MATCH(ECMData_EUI[[#This Row],[Model Run]],ECMData_EndUse[[#All],[Model Run]],0),MATCH(_xlfn.CONCAT(Q$29," - Total"),ECMData_EndUse[#Headers],0))/MasterRoomList_SpaceTypeSummary[[#Totals],[Area (sqft)]]</f>
        <v>#DIV/0!</v>
      </c>
      <c r="R30" s="506" t="e">
        <f>INDEX(ECMData_EndUse[#All],MATCH(ECMData_EUI[[#This Row],[Model Run]],ECMData_EndUse[[#All],[Model Run]],0),MATCH(_xlfn.CONCAT(R$29," - Total"),ECMData_EndUse[#Headers],0))/MasterRoomList_SpaceTypeSummary[[#Totals],[Area (sqft)]]</f>
        <v>#DIV/0!</v>
      </c>
      <c r="S30" s="506" t="e">
        <f>INDEX(ECMData_EndUse[#All],MATCH(ECMData_EUI[[#This Row],[Model Run]],ECMData_EndUse[[#All],[Model Run]],0),MATCH(_xlfn.CONCAT(S$29," - Total"),ECMData_EndUse[#Headers],0))/MasterRoomList_SpaceTypeSummary[[#Totals],[Area (sqft)]]</f>
        <v>#DIV/0!</v>
      </c>
      <c r="T30" s="506" t="e">
        <f>INDEX(ECMData_EndUse[#All],MATCH(ECMData_EUI[[#This Row],[Model Run]],ECMData_EndUse[[#All],[Model Run]],0),MATCH(_xlfn.CONCAT(T$29," - Total"),ECMData_EndUse[#Headers],0))/MasterRoomList_SpaceTypeSummary[[#Totals],[Area (sqft)]]</f>
        <v>#DIV/0!</v>
      </c>
      <c r="U30" s="506" t="e">
        <f>INDEX(ECMData_EndUse[#All],MATCH(ECMData_EUI[[#This Row],[Model Run]],ECMData_EndUse[[#All],[Model Run]],0),MATCH(_xlfn.CONCAT(U$29," - Total"),ECMData_EndUse[#Headers],0))/MasterRoomList_SpaceTypeSummary[[#Totals],[Area (sqft)]]</f>
        <v>#DIV/0!</v>
      </c>
      <c r="V30" s="506" t="e">
        <f>INDEX(ECMData_EndUse[#All],MATCH(ECMData_EUI[[#This Row],[Model Run]],ECMData_EndUse[[#All],[Model Run]],0),MATCH(_xlfn.CONCAT(V$29," - Total"),ECMData_EndUse[#Headers],0))/MasterRoomList_SpaceTypeSummary[[#Totals],[Area (sqft)]]</f>
        <v>#DIV/0!</v>
      </c>
      <c r="W30" s="506" t="e">
        <f>INDEX(ECMData_EndUse[#All],MATCH(ECMData_EUI[[#This Row],[Model Run]],ECMData_EndUse[[#All],[Model Run]],0),MATCH(_xlfn.CONCAT(W$29," - Total"),ECMData_EndUse[#Headers],0))/MasterRoomList_SpaceTypeSummary[[#Totals],[Area (sqft)]]</f>
        <v>#DIV/0!</v>
      </c>
      <c r="X30" s="506" t="e">
        <f>INDEX(ECMData_EndUse[#All],MATCH(ECMData_EUI[[#This Row],[Model Run]],ECMData_EndUse[[#All],[Model Run]],0),MATCH(_xlfn.CONCAT(X$29," - Total"),ECMData_EndUse[#Headers],0))/MasterRoomList_SpaceTypeSummary[[#Totals],[Area (sqft)]]</f>
        <v>#DIV/0!</v>
      </c>
      <c r="Y30" s="506" t="e">
        <f>INDEX(ECMData_EndUse[#All],MATCH(ECMData_EUI[[#This Row],[Model Run]],ECMData_EndUse[[#All],[Model Run]],0),MATCH(_xlfn.CONCAT(Y$29," - Total"),ECMData_EndUse[#Headers],0))/MasterRoomList_SpaceTypeSummary[[#Totals],[Area (sqft)]]</f>
        <v>#DIV/0!</v>
      </c>
      <c r="Z30" s="506" t="e">
        <f>INDEX(ECMData_EndUse[#All],MATCH(ECMData_EUI[[#This Row],[Model Run]],ECMData_EndUse[[#All],[Model Run]],0),MATCH(_xlfn.CONCAT(Z$29," - Total"),ECMData_EndUse[#Headers],0))/MasterRoomList_SpaceTypeSummary[[#Totals],[Area (sqft)]]</f>
        <v>#DIV/0!</v>
      </c>
      <c r="AA30" s="506" t="e">
        <f>INDEX(ECMData_EndUse[#All],MATCH(ECMData_EUI[[#This Row],[Model Run]],ECMData_EndUse[[#All],[Model Run]],0),MATCH(_xlfn.CONCAT(AA$29," - Total"),ECMData_EndUse[#Headers],0))/MasterRoomList_SpaceTypeSummary[[#Totals],[Area (sqft)]]</f>
        <v>#DIV/0!</v>
      </c>
      <c r="AB30" s="506" t="e">
        <f>INDEX(ECMData_EndUse[#All],MATCH(ECMData_EUI[[#This Row],[Model Run]],ECMData_EndUse[[#All],[Model Run]],0),MATCH(_xlfn.CONCAT(AB$29," - Total"),ECMData_EndUse[#Headers],0))/MasterRoomList_SpaceTypeSummary[[#Totals],[Area (sqft)]]</f>
        <v>#DIV/0!</v>
      </c>
      <c r="AC30" s="506" t="e">
        <f>INDEX(ECMData_EndUse[#All],MATCH(ECMData_EUI[[#This Row],[Model Run]],ECMData_EndUse[[#All],[Model Run]],0),MATCH(_xlfn.CONCAT(AC$29," - Total"),ECMData_EndUse[#Headers],0))/MasterRoomList_SpaceTypeSummary[[#Totals],[Area (sqft)]]</f>
        <v>#DIV/0!</v>
      </c>
      <c r="AD30" s="506" t="e">
        <f>INDEX(ECMData_EndUse[#All],MATCH(ECMData_EUI[[#This Row],[Model Run]],ECMData_EndUse[[#All],[Model Run]],0),MATCH(_xlfn.CONCAT(AD$29," - Total"),ECMData_EndUse[#Headers],0))/MasterRoomList_SpaceTypeSummary[[#Totals],[Area (sqft)]]</f>
        <v>#DIV/0!</v>
      </c>
      <c r="AE30" s="506" t="e">
        <f>INDEX(ECMData_EndUse[#All],MATCH(ECMData_EUI[[#This Row],[Model Run]],ECMData_EndUse[[#All],[Model Run]],0),MATCH(_xlfn.CONCAT(AE$29," - Total"),ECMData_EndUse[#Headers],0))/MasterRoomList_SpaceTypeSummary[[#Totals],[Area (sqft)]]</f>
        <v>#DIV/0!</v>
      </c>
      <c r="AF30" s="506" t="e">
        <f>INDEX(ECMData_EndUse[#All],MATCH(ECMData_EUI[[#This Row],[Model Run]],ECMData_EndUse[[#All],[Model Run]],0),MATCH(_xlfn.CONCAT(AF$29," - Total"),ECMData_EndUse[#Headers],0))/MasterRoomList_SpaceTypeSummary[[#Totals],[Area (sqft)]]</f>
        <v>#DIV/0!</v>
      </c>
      <c r="AG30" s="506" t="e">
        <f>INDEX(ECMData_EndUse[#All],MATCH(ECMData_EUI[[#This Row],[Model Run]],ECMData_EndUse[[#All],[Model Run]],0),MATCH(_xlfn.CONCAT(AG$29," - Total"),ECMData_EndUse[#Headers],0))/MasterRoomList_SpaceTypeSummary[[#Totals],[Area (sqft)]]</f>
        <v>#DIV/0!</v>
      </c>
      <c r="AH30" s="553" t="e">
        <f>SUM(ECMData_EUI[[#This Row],[Internal Lighting]:[Other Processes]])</f>
        <v>#DIV/0!</v>
      </c>
      <c r="AI30" s="506"/>
      <c r="AJ30" s="506"/>
      <c r="AK30" s="506"/>
      <c r="AL30" s="506"/>
      <c r="AM30" s="506"/>
      <c r="AN30" s="506"/>
      <c r="AO30" s="506"/>
      <c r="AP30" s="506"/>
      <c r="AQ30" s="506"/>
      <c r="AR30" s="506"/>
      <c r="AS30" s="506"/>
      <c r="AT30" s="506"/>
      <c r="AU30" s="506"/>
      <c r="AV30" s="506"/>
      <c r="AW30" s="506"/>
      <c r="AX30" s="506"/>
      <c r="AY30" s="506"/>
      <c r="AZ30" s="506"/>
      <c r="BA30" s="506"/>
      <c r="BB30" s="506"/>
      <c r="BC30" s="506"/>
      <c r="BD30" s="506"/>
      <c r="BE30" s="506"/>
      <c r="BF30" s="506"/>
      <c r="BG30" s="506"/>
      <c r="BH30" s="506"/>
      <c r="BI30" s="506"/>
      <c r="BJ30" s="506"/>
      <c r="BK30" s="506"/>
      <c r="BL30" s="506"/>
      <c r="BM30" s="506"/>
      <c r="BN30" s="506"/>
      <c r="BO30" s="506"/>
      <c r="BP30" s="506"/>
      <c r="BQ30" s="506"/>
      <c r="BR30" s="506"/>
      <c r="BS30" s="506"/>
      <c r="BT30" s="506"/>
      <c r="BU30" s="506"/>
      <c r="BV30" s="506"/>
      <c r="BW30" s="506"/>
      <c r="BX30" s="506"/>
      <c r="BY30" s="506"/>
      <c r="BZ30" s="506"/>
      <c r="CA30" s="506"/>
      <c r="CB30" s="506"/>
      <c r="CC30" s="506"/>
      <c r="CD30" s="506"/>
      <c r="CE30" s="506"/>
      <c r="CF30" s="506"/>
      <c r="CG30" s="506"/>
      <c r="CH30" s="506"/>
      <c r="CI30" s="506"/>
      <c r="CJ30" s="506"/>
      <c r="CK30" s="506"/>
      <c r="CL30" s="506"/>
      <c r="CM30" s="506"/>
      <c r="CN30" s="506"/>
      <c r="CO30" s="506"/>
      <c r="CP30" s="506"/>
      <c r="CQ30" s="506"/>
      <c r="CR30" s="506"/>
      <c r="CS30" s="506"/>
      <c r="CT30" s="506"/>
      <c r="CU30" s="506"/>
      <c r="CV30" s="506"/>
      <c r="CW30" s="506"/>
      <c r="CX30" s="506"/>
      <c r="CY30" s="506"/>
      <c r="CZ30" s="506"/>
      <c r="DA30" s="506"/>
      <c r="DB30" s="506"/>
      <c r="DC30" s="506"/>
      <c r="DD30" s="506"/>
      <c r="DE30" s="506"/>
      <c r="DF30" s="506"/>
      <c r="DG30" s="506"/>
      <c r="DH30" s="506"/>
      <c r="DI30" s="506"/>
      <c r="DJ30" s="506"/>
      <c r="DK30" s="506"/>
      <c r="DL30" s="506"/>
      <c r="DM30" s="506"/>
      <c r="DN30" s="506"/>
      <c r="DO30" s="506"/>
      <c r="DP30" s="506"/>
      <c r="DQ30" s="506"/>
      <c r="DR30" s="506"/>
      <c r="DS30" s="506"/>
      <c r="DT30" s="506"/>
      <c r="DU30" s="506"/>
      <c r="DV30" s="506"/>
      <c r="DW30" s="506"/>
    </row>
    <row r="31" spans="13:127" x14ac:dyDescent="0.25">
      <c r="M31" s="18" t="str">
        <f t="shared" si="5"/>
        <v>ECM-1</v>
      </c>
      <c r="N31" s="590">
        <f t="shared" ca="1" si="6"/>
        <v>0</v>
      </c>
      <c r="O31" s="506" t="e">
        <f>INDEX(ECMData_EndUse[#All],MATCH(ECMData_EUI[[#This Row],[Model Run]],ECMData_EndUse[[#All],[Model Run]],0),MATCH(_xlfn.CONCAT(O$29," - Total"),ECMData_EndUse[#Headers],0))/MasterRoomList_SpaceTypeSummary[[#Totals],[Area (sqft)]]</f>
        <v>#DIV/0!</v>
      </c>
      <c r="P31" s="506" t="e">
        <f>INDEX(ECMData_EndUse[#All],MATCH(ECMData_EUI[[#This Row],[Model Run]],ECMData_EndUse[[#All],[Model Run]],0),MATCH(_xlfn.CONCAT(P$29," - Total"),ECMData_EndUse[#Headers],0))/MasterRoomList_SpaceTypeSummary[[#Totals],[Area (sqft)]]</f>
        <v>#DIV/0!</v>
      </c>
      <c r="Q31" s="506" t="e">
        <f>INDEX(ECMData_EndUse[#All],MATCH(ECMData_EUI[[#This Row],[Model Run]],ECMData_EndUse[[#All],[Model Run]],0),MATCH(_xlfn.CONCAT(Q$29," - Total"),ECMData_EndUse[#Headers],0))/MasterRoomList_SpaceTypeSummary[[#Totals],[Area (sqft)]]</f>
        <v>#DIV/0!</v>
      </c>
      <c r="R31" s="506" t="e">
        <f>INDEX(ECMData_EndUse[#All],MATCH(ECMData_EUI[[#This Row],[Model Run]],ECMData_EndUse[[#All],[Model Run]],0),MATCH(_xlfn.CONCAT(R$29," - Total"),ECMData_EndUse[#Headers],0))/MasterRoomList_SpaceTypeSummary[[#Totals],[Area (sqft)]]</f>
        <v>#DIV/0!</v>
      </c>
      <c r="S31" s="506" t="e">
        <f>INDEX(ECMData_EndUse[#All],MATCH(ECMData_EUI[[#This Row],[Model Run]],ECMData_EndUse[[#All],[Model Run]],0),MATCH(_xlfn.CONCAT(S$29," - Total"),ECMData_EndUse[#Headers],0))/MasterRoomList_SpaceTypeSummary[[#Totals],[Area (sqft)]]</f>
        <v>#DIV/0!</v>
      </c>
      <c r="T31" s="506" t="e">
        <f>INDEX(ECMData_EndUse[#All],MATCH(ECMData_EUI[[#This Row],[Model Run]],ECMData_EndUse[[#All],[Model Run]],0),MATCH(_xlfn.CONCAT(T$29," - Total"),ECMData_EndUse[#Headers],0))/MasterRoomList_SpaceTypeSummary[[#Totals],[Area (sqft)]]</f>
        <v>#DIV/0!</v>
      </c>
      <c r="U31" s="506" t="e">
        <f>INDEX(ECMData_EndUse[#All],MATCH(ECMData_EUI[[#This Row],[Model Run]],ECMData_EndUse[[#All],[Model Run]],0),MATCH(_xlfn.CONCAT(U$29," - Total"),ECMData_EndUse[#Headers],0))/MasterRoomList_SpaceTypeSummary[[#Totals],[Area (sqft)]]</f>
        <v>#DIV/0!</v>
      </c>
      <c r="V31" s="554" t="e">
        <f>INDEX(ECMData_EndUse[#All],MATCH(ECMData_EUI[[#This Row],[Model Run]],ECMData_EndUse[[#All],[Model Run]],0),MATCH(_xlfn.CONCAT(V$29," - Total"),ECMData_EndUse[#Headers],0))/MasterRoomList_SpaceTypeSummary[[#Totals],[Area (sqft)]]</f>
        <v>#DIV/0!</v>
      </c>
      <c r="W31" s="554" t="e">
        <f>INDEX(ECMData_EndUse[#All],MATCH(ECMData_EUI[[#This Row],[Model Run]],ECMData_EndUse[[#All],[Model Run]],0),MATCH(_xlfn.CONCAT(W$29," - Total"),ECMData_EndUse[#Headers],0))/MasterRoomList_SpaceTypeSummary[[#Totals],[Area (sqft)]]</f>
        <v>#DIV/0!</v>
      </c>
      <c r="X31" s="506" t="e">
        <f>INDEX(ECMData_EndUse[#All],MATCH(ECMData_EUI[[#This Row],[Model Run]],ECMData_EndUse[[#All],[Model Run]],0),MATCH(_xlfn.CONCAT(X$29," - Total"),ECMData_EndUse[#Headers],0))/MasterRoomList_SpaceTypeSummary[[#Totals],[Area (sqft)]]</f>
        <v>#DIV/0!</v>
      </c>
      <c r="Y31" s="506" t="e">
        <f>INDEX(ECMData_EndUse[#All],MATCH(ECMData_EUI[[#This Row],[Model Run]],ECMData_EndUse[[#All],[Model Run]],0),MATCH(_xlfn.CONCAT(Y$29," - Total"),ECMData_EndUse[#Headers],0))/MasterRoomList_SpaceTypeSummary[[#Totals],[Area (sqft)]]</f>
        <v>#DIV/0!</v>
      </c>
      <c r="Z31" s="506" t="e">
        <f>INDEX(ECMData_EndUse[#All],MATCH(ECMData_EUI[[#This Row],[Model Run]],ECMData_EndUse[[#All],[Model Run]],0),MATCH(_xlfn.CONCAT(Z$29," - Total"),ECMData_EndUse[#Headers],0))/MasterRoomList_SpaceTypeSummary[[#Totals],[Area (sqft)]]</f>
        <v>#DIV/0!</v>
      </c>
      <c r="AA31" s="506" t="e">
        <f>INDEX(ECMData_EndUse[#All],MATCH(ECMData_EUI[[#This Row],[Model Run]],ECMData_EndUse[[#All],[Model Run]],0),MATCH(_xlfn.CONCAT(AA$29," - Total"),ECMData_EndUse[#Headers],0))/MasterRoomList_SpaceTypeSummary[[#Totals],[Area (sqft)]]</f>
        <v>#DIV/0!</v>
      </c>
      <c r="AB31" s="506" t="e">
        <f>INDEX(ECMData_EndUse[#All],MATCH(ECMData_EUI[[#This Row],[Model Run]],ECMData_EndUse[[#All],[Model Run]],0),MATCH(_xlfn.CONCAT(AB$29," - Total"),ECMData_EndUse[#Headers],0))/MasterRoomList_SpaceTypeSummary[[#Totals],[Area (sqft)]]</f>
        <v>#DIV/0!</v>
      </c>
      <c r="AC31" s="506" t="e">
        <f>INDEX(ECMData_EndUse[#All],MATCH(ECMData_EUI[[#This Row],[Model Run]],ECMData_EndUse[[#All],[Model Run]],0),MATCH(_xlfn.CONCAT(AC$29," - Total"),ECMData_EndUse[#Headers],0))/MasterRoomList_SpaceTypeSummary[[#Totals],[Area (sqft)]]</f>
        <v>#DIV/0!</v>
      </c>
      <c r="AD31" s="506" t="e">
        <f>INDEX(ECMData_EndUse[#All],MATCH(ECMData_EUI[[#This Row],[Model Run]],ECMData_EndUse[[#All],[Model Run]],0),MATCH(_xlfn.CONCAT(AD$29," - Total"),ECMData_EndUse[#Headers],0))/MasterRoomList_SpaceTypeSummary[[#Totals],[Area (sqft)]]</f>
        <v>#DIV/0!</v>
      </c>
      <c r="AE31" s="506" t="e">
        <f>INDEX(ECMData_EndUse[#All],MATCH(ECMData_EUI[[#This Row],[Model Run]],ECMData_EndUse[[#All],[Model Run]],0),MATCH(_xlfn.CONCAT(AE$29," - Total"),ECMData_EndUse[#Headers],0))/MasterRoomList_SpaceTypeSummary[[#Totals],[Area (sqft)]]</f>
        <v>#DIV/0!</v>
      </c>
      <c r="AF31" s="506" t="e">
        <f>INDEX(ECMData_EndUse[#All],MATCH(ECMData_EUI[[#This Row],[Model Run]],ECMData_EndUse[[#All],[Model Run]],0),MATCH(_xlfn.CONCAT(AF$29," - Total"),ECMData_EndUse[#Headers],0))/MasterRoomList_SpaceTypeSummary[[#Totals],[Area (sqft)]]</f>
        <v>#DIV/0!</v>
      </c>
      <c r="AG31" s="506" t="e">
        <f>INDEX(ECMData_EndUse[#All],MATCH(ECMData_EUI[[#This Row],[Model Run]],ECMData_EndUse[[#All],[Model Run]],0),MATCH(_xlfn.CONCAT(AG$29," - Total"),ECMData_EndUse[#Headers],0))/MasterRoomList_SpaceTypeSummary[[#Totals],[Area (sqft)]]</f>
        <v>#DIV/0!</v>
      </c>
      <c r="AH31" s="553" t="e">
        <f>SUM(ECMData_EUI[[#This Row],[Internal Lighting]:[Other Processes]])</f>
        <v>#DIV/0!</v>
      </c>
      <c r="AI31" s="506"/>
      <c r="AJ31" s="506"/>
      <c r="AK31" s="506"/>
      <c r="AL31" s="506"/>
      <c r="AM31" s="506"/>
      <c r="AN31" s="506"/>
      <c r="AO31" s="506"/>
      <c r="AP31" s="506"/>
      <c r="AQ31" s="506"/>
      <c r="AR31" s="506"/>
      <c r="AS31" s="506"/>
      <c r="AT31" s="506"/>
      <c r="AU31" s="506"/>
      <c r="AV31" s="506"/>
      <c r="AW31" s="506"/>
      <c r="AX31" s="506"/>
      <c r="AY31" s="506"/>
      <c r="AZ31" s="506"/>
      <c r="BA31" s="506"/>
      <c r="BB31" s="506"/>
      <c r="BC31" s="506"/>
      <c r="BD31" s="506"/>
      <c r="BE31" s="506"/>
      <c r="BF31" s="506"/>
      <c r="BG31" s="506"/>
      <c r="BH31" s="506"/>
      <c r="BI31" s="506"/>
      <c r="BJ31" s="506"/>
      <c r="BK31" s="506"/>
      <c r="BL31" s="506"/>
      <c r="BM31" s="506"/>
      <c r="BN31" s="506"/>
      <c r="BO31" s="506"/>
      <c r="BP31" s="506"/>
      <c r="BQ31" s="506"/>
      <c r="BR31" s="506"/>
      <c r="BS31" s="506"/>
      <c r="BT31" s="506"/>
      <c r="BU31" s="506"/>
      <c r="BV31" s="506"/>
      <c r="BW31" s="506"/>
      <c r="BX31" s="506"/>
      <c r="BY31" s="506"/>
      <c r="BZ31" s="506"/>
      <c r="CA31" s="506"/>
      <c r="CB31" s="506"/>
      <c r="CC31" s="506"/>
      <c r="CD31" s="506"/>
      <c r="CE31" s="506"/>
      <c r="CF31" s="506"/>
      <c r="CG31" s="506"/>
      <c r="CH31" s="506"/>
      <c r="CI31" s="506"/>
      <c r="CJ31" s="506"/>
      <c r="CK31" s="506"/>
      <c r="CL31" s="506"/>
      <c r="CM31" s="506"/>
      <c r="CN31" s="506"/>
      <c r="CO31" s="506"/>
      <c r="CP31" s="506"/>
      <c r="CQ31" s="506"/>
      <c r="CR31" s="506"/>
      <c r="CS31" s="506"/>
      <c r="CT31" s="506"/>
      <c r="CU31" s="506"/>
      <c r="CV31" s="506"/>
      <c r="CW31" s="506"/>
      <c r="CX31" s="506"/>
      <c r="CY31" s="506"/>
      <c r="CZ31" s="506"/>
      <c r="DA31" s="506"/>
      <c r="DB31" s="506"/>
      <c r="DC31" s="506"/>
      <c r="DD31" s="506"/>
      <c r="DE31" s="506"/>
      <c r="DF31" s="506"/>
      <c r="DG31" s="506"/>
      <c r="DH31" s="506"/>
      <c r="DI31" s="506"/>
      <c r="DJ31" s="506"/>
      <c r="DK31" s="506"/>
      <c r="DL31" s="506"/>
      <c r="DM31" s="506"/>
      <c r="DN31" s="506"/>
      <c r="DO31" s="506"/>
      <c r="DP31" s="506"/>
      <c r="DQ31" s="506"/>
      <c r="DR31" s="506"/>
      <c r="DS31" s="506"/>
      <c r="DT31" s="506"/>
      <c r="DU31" s="506"/>
      <c r="DV31" s="506"/>
      <c r="DW31" s="506"/>
    </row>
    <row r="32" spans="13:127" x14ac:dyDescent="0.25">
      <c r="M32" s="18" t="str">
        <f t="shared" si="5"/>
        <v>ECM-2</v>
      </c>
      <c r="N32" s="590">
        <f t="shared" ca="1" si="6"/>
        <v>0</v>
      </c>
      <c r="O32" s="506" t="e">
        <f>INDEX(ECMData_EndUse[#All],MATCH(ECMData_EUI[[#This Row],[Model Run]],ECMData_EndUse[[#All],[Model Run]],0),MATCH(_xlfn.CONCAT(O$29," - Total"),ECMData_EndUse[#Headers],0))/MasterRoomList_SpaceTypeSummary[[#Totals],[Area (sqft)]]</f>
        <v>#DIV/0!</v>
      </c>
      <c r="P32" s="506" t="e">
        <f>INDEX(ECMData_EndUse[#All],MATCH(ECMData_EUI[[#This Row],[Model Run]],ECMData_EndUse[[#All],[Model Run]],0),MATCH(_xlfn.CONCAT(P$29," - Total"),ECMData_EndUse[#Headers],0))/MasterRoomList_SpaceTypeSummary[[#Totals],[Area (sqft)]]</f>
        <v>#DIV/0!</v>
      </c>
      <c r="Q32" s="506" t="e">
        <f>INDEX(ECMData_EndUse[#All],MATCH(ECMData_EUI[[#This Row],[Model Run]],ECMData_EndUse[[#All],[Model Run]],0),MATCH(_xlfn.CONCAT(Q$29," - Total"),ECMData_EndUse[#Headers],0))/MasterRoomList_SpaceTypeSummary[[#Totals],[Area (sqft)]]</f>
        <v>#DIV/0!</v>
      </c>
      <c r="R32" s="506" t="e">
        <f>INDEX(ECMData_EndUse[#All],MATCH(ECMData_EUI[[#This Row],[Model Run]],ECMData_EndUse[[#All],[Model Run]],0),MATCH(_xlfn.CONCAT(R$29," - Total"),ECMData_EndUse[#Headers],0))/MasterRoomList_SpaceTypeSummary[[#Totals],[Area (sqft)]]</f>
        <v>#DIV/0!</v>
      </c>
      <c r="S32" s="506" t="e">
        <f>INDEX(ECMData_EndUse[#All],MATCH(ECMData_EUI[[#This Row],[Model Run]],ECMData_EndUse[[#All],[Model Run]],0),MATCH(_xlfn.CONCAT(S$29," - Total"),ECMData_EndUse[#Headers],0))/MasterRoomList_SpaceTypeSummary[[#Totals],[Area (sqft)]]</f>
        <v>#DIV/0!</v>
      </c>
      <c r="T32" s="506" t="e">
        <f>INDEX(ECMData_EndUse[#All],MATCH(ECMData_EUI[[#This Row],[Model Run]],ECMData_EndUse[[#All],[Model Run]],0),MATCH(_xlfn.CONCAT(T$29," - Total"),ECMData_EndUse[#Headers],0))/MasterRoomList_SpaceTypeSummary[[#Totals],[Area (sqft)]]</f>
        <v>#DIV/0!</v>
      </c>
      <c r="U32" s="506" t="e">
        <f>INDEX(ECMData_EndUse[#All],MATCH(ECMData_EUI[[#This Row],[Model Run]],ECMData_EndUse[[#All],[Model Run]],0),MATCH(_xlfn.CONCAT(U$29," - Total"),ECMData_EndUse[#Headers],0))/MasterRoomList_SpaceTypeSummary[[#Totals],[Area (sqft)]]</f>
        <v>#DIV/0!</v>
      </c>
      <c r="V32" s="554" t="e">
        <f>INDEX(ECMData_EndUse[#All],MATCH(ECMData_EUI[[#This Row],[Model Run]],ECMData_EndUse[[#All],[Model Run]],0),MATCH(_xlfn.CONCAT(V$29," - Total"),ECMData_EndUse[#Headers],0))/MasterRoomList_SpaceTypeSummary[[#Totals],[Area (sqft)]]</f>
        <v>#DIV/0!</v>
      </c>
      <c r="W32" s="554" t="e">
        <f>INDEX(ECMData_EndUse[#All],MATCH(ECMData_EUI[[#This Row],[Model Run]],ECMData_EndUse[[#All],[Model Run]],0),MATCH(_xlfn.CONCAT(W$29," - Total"),ECMData_EndUse[#Headers],0))/MasterRoomList_SpaceTypeSummary[[#Totals],[Area (sqft)]]</f>
        <v>#DIV/0!</v>
      </c>
      <c r="X32" s="506" t="e">
        <f>INDEX(ECMData_EndUse[#All],MATCH(ECMData_EUI[[#This Row],[Model Run]],ECMData_EndUse[[#All],[Model Run]],0),MATCH(_xlfn.CONCAT(X$29," - Total"),ECMData_EndUse[#Headers],0))/MasterRoomList_SpaceTypeSummary[[#Totals],[Area (sqft)]]</f>
        <v>#DIV/0!</v>
      </c>
      <c r="Y32" s="506" t="e">
        <f>INDEX(ECMData_EndUse[#All],MATCH(ECMData_EUI[[#This Row],[Model Run]],ECMData_EndUse[[#All],[Model Run]],0),MATCH(_xlfn.CONCAT(Y$29," - Total"),ECMData_EndUse[#Headers],0))/MasterRoomList_SpaceTypeSummary[[#Totals],[Area (sqft)]]</f>
        <v>#DIV/0!</v>
      </c>
      <c r="Z32" s="506" t="e">
        <f>INDEX(ECMData_EndUse[#All],MATCH(ECMData_EUI[[#This Row],[Model Run]],ECMData_EndUse[[#All],[Model Run]],0),MATCH(_xlfn.CONCAT(Z$29," - Total"),ECMData_EndUse[#Headers],0))/MasterRoomList_SpaceTypeSummary[[#Totals],[Area (sqft)]]</f>
        <v>#DIV/0!</v>
      </c>
      <c r="AA32" s="506" t="e">
        <f>INDEX(ECMData_EndUse[#All],MATCH(ECMData_EUI[[#This Row],[Model Run]],ECMData_EndUse[[#All],[Model Run]],0),MATCH(_xlfn.CONCAT(AA$29," - Total"),ECMData_EndUse[#Headers],0))/MasterRoomList_SpaceTypeSummary[[#Totals],[Area (sqft)]]</f>
        <v>#DIV/0!</v>
      </c>
      <c r="AB32" s="506" t="e">
        <f>INDEX(ECMData_EndUse[#All],MATCH(ECMData_EUI[[#This Row],[Model Run]],ECMData_EndUse[[#All],[Model Run]],0),MATCH(_xlfn.CONCAT(AB$29," - Total"),ECMData_EndUse[#Headers],0))/MasterRoomList_SpaceTypeSummary[[#Totals],[Area (sqft)]]</f>
        <v>#DIV/0!</v>
      </c>
      <c r="AC32" s="506" t="e">
        <f>INDEX(ECMData_EndUse[#All],MATCH(ECMData_EUI[[#This Row],[Model Run]],ECMData_EndUse[[#All],[Model Run]],0),MATCH(_xlfn.CONCAT(AC$29," - Total"),ECMData_EndUse[#Headers],0))/MasterRoomList_SpaceTypeSummary[[#Totals],[Area (sqft)]]</f>
        <v>#DIV/0!</v>
      </c>
      <c r="AD32" s="506" t="e">
        <f>INDEX(ECMData_EndUse[#All],MATCH(ECMData_EUI[[#This Row],[Model Run]],ECMData_EndUse[[#All],[Model Run]],0),MATCH(_xlfn.CONCAT(AD$29," - Total"),ECMData_EndUse[#Headers],0))/MasterRoomList_SpaceTypeSummary[[#Totals],[Area (sqft)]]</f>
        <v>#DIV/0!</v>
      </c>
      <c r="AE32" s="506" t="e">
        <f>INDEX(ECMData_EndUse[#All],MATCH(ECMData_EUI[[#This Row],[Model Run]],ECMData_EndUse[[#All],[Model Run]],0),MATCH(_xlfn.CONCAT(AE$29," - Total"),ECMData_EndUse[#Headers],0))/MasterRoomList_SpaceTypeSummary[[#Totals],[Area (sqft)]]</f>
        <v>#DIV/0!</v>
      </c>
      <c r="AF32" s="506" t="e">
        <f>INDEX(ECMData_EndUse[#All],MATCH(ECMData_EUI[[#This Row],[Model Run]],ECMData_EndUse[[#All],[Model Run]],0),MATCH(_xlfn.CONCAT(AF$29," - Total"),ECMData_EndUse[#Headers],0))/MasterRoomList_SpaceTypeSummary[[#Totals],[Area (sqft)]]</f>
        <v>#DIV/0!</v>
      </c>
      <c r="AG32" s="506" t="e">
        <f>INDEX(ECMData_EndUse[#All],MATCH(ECMData_EUI[[#This Row],[Model Run]],ECMData_EndUse[[#All],[Model Run]],0),MATCH(_xlfn.CONCAT(AG$29," - Total"),ECMData_EndUse[#Headers],0))/MasterRoomList_SpaceTypeSummary[[#Totals],[Area (sqft)]]</f>
        <v>#DIV/0!</v>
      </c>
      <c r="AH32" s="553" t="e">
        <f>SUM(ECMData_EUI[[#This Row],[Internal Lighting]:[Other Processes]])</f>
        <v>#DIV/0!</v>
      </c>
      <c r="AI32" s="506"/>
      <c r="AJ32" s="506"/>
      <c r="AK32" s="506"/>
      <c r="AL32" s="506"/>
      <c r="AM32" s="506"/>
      <c r="AN32" s="506"/>
      <c r="AO32" s="506"/>
      <c r="AP32" s="506"/>
      <c r="AQ32" s="506"/>
      <c r="AR32" s="506"/>
      <c r="AS32" s="506"/>
      <c r="AT32" s="506"/>
      <c r="AU32" s="506"/>
      <c r="AV32" s="506"/>
      <c r="AW32" s="506"/>
      <c r="AX32" s="506"/>
      <c r="AY32" s="506"/>
      <c r="AZ32" s="506"/>
      <c r="BA32" s="506"/>
      <c r="BB32" s="506"/>
      <c r="BC32" s="506"/>
      <c r="BD32" s="506"/>
      <c r="BE32" s="506"/>
      <c r="BF32" s="506"/>
      <c r="BG32" s="506"/>
      <c r="BH32" s="506"/>
      <c r="BI32" s="506"/>
      <c r="BJ32" s="506"/>
      <c r="BK32" s="506"/>
      <c r="BL32" s="506"/>
      <c r="BM32" s="506"/>
      <c r="BN32" s="506"/>
      <c r="BO32" s="506"/>
      <c r="BP32" s="506"/>
      <c r="BQ32" s="506"/>
      <c r="BR32" s="506"/>
      <c r="BS32" s="506"/>
      <c r="BT32" s="506"/>
      <c r="BU32" s="506"/>
      <c r="BV32" s="506"/>
      <c r="BW32" s="506"/>
      <c r="BX32" s="506"/>
      <c r="BY32" s="506"/>
      <c r="BZ32" s="506"/>
      <c r="CA32" s="506"/>
      <c r="CB32" s="506"/>
      <c r="CC32" s="506"/>
      <c r="CD32" s="506"/>
      <c r="CE32" s="506"/>
      <c r="CF32" s="506"/>
      <c r="CG32" s="506"/>
      <c r="CH32" s="506"/>
      <c r="CI32" s="506"/>
      <c r="CJ32" s="506"/>
      <c r="CK32" s="506"/>
      <c r="CL32" s="506"/>
      <c r="CM32" s="506"/>
      <c r="CN32" s="506"/>
      <c r="CO32" s="506"/>
      <c r="CP32" s="506"/>
      <c r="CQ32" s="506"/>
      <c r="CR32" s="506"/>
      <c r="CS32" s="506"/>
      <c r="CT32" s="506"/>
      <c r="CU32" s="506"/>
      <c r="CV32" s="506"/>
      <c r="CW32" s="506"/>
      <c r="CX32" s="506"/>
      <c r="CY32" s="506"/>
      <c r="CZ32" s="506"/>
      <c r="DA32" s="506"/>
      <c r="DB32" s="506"/>
      <c r="DC32" s="506"/>
      <c r="DD32" s="506"/>
      <c r="DE32" s="506"/>
      <c r="DF32" s="506"/>
      <c r="DG32" s="506"/>
      <c r="DH32" s="506"/>
      <c r="DI32" s="506"/>
      <c r="DJ32" s="506"/>
      <c r="DK32" s="506"/>
      <c r="DL32" s="506"/>
      <c r="DM32" s="506"/>
      <c r="DN32" s="506"/>
      <c r="DO32" s="506"/>
      <c r="DP32" s="506"/>
      <c r="DQ32" s="506"/>
      <c r="DR32" s="506"/>
      <c r="DS32" s="506"/>
      <c r="DT32" s="506"/>
      <c r="DU32" s="506"/>
      <c r="DV32" s="506"/>
      <c r="DW32" s="506"/>
    </row>
    <row r="33" spans="13:127" x14ac:dyDescent="0.25">
      <c r="M33" s="18" t="str">
        <f t="shared" si="5"/>
        <v>ECM-3</v>
      </c>
      <c r="N33" s="590">
        <f t="shared" ca="1" si="6"/>
        <v>0</v>
      </c>
      <c r="O33" s="506" t="e">
        <f>INDEX(ECMData_EndUse[#All],MATCH(ECMData_EUI[[#This Row],[Model Run]],ECMData_EndUse[[#All],[Model Run]],0),MATCH(_xlfn.CONCAT(O$29," - Total"),ECMData_EndUse[#Headers],0))/MasterRoomList_SpaceTypeSummary[[#Totals],[Area (sqft)]]</f>
        <v>#DIV/0!</v>
      </c>
      <c r="P33" s="506" t="e">
        <f>INDEX(ECMData_EndUse[#All],MATCH(ECMData_EUI[[#This Row],[Model Run]],ECMData_EndUse[[#All],[Model Run]],0),MATCH(_xlfn.CONCAT(P$29," - Total"),ECMData_EndUse[#Headers],0))/MasterRoomList_SpaceTypeSummary[[#Totals],[Area (sqft)]]</f>
        <v>#DIV/0!</v>
      </c>
      <c r="Q33" s="506" t="e">
        <f>INDEX(ECMData_EndUse[#All],MATCH(ECMData_EUI[[#This Row],[Model Run]],ECMData_EndUse[[#All],[Model Run]],0),MATCH(_xlfn.CONCAT(Q$29," - Total"),ECMData_EndUse[#Headers],0))/MasterRoomList_SpaceTypeSummary[[#Totals],[Area (sqft)]]</f>
        <v>#DIV/0!</v>
      </c>
      <c r="R33" s="506" t="e">
        <f>INDEX(ECMData_EndUse[#All],MATCH(ECMData_EUI[[#This Row],[Model Run]],ECMData_EndUse[[#All],[Model Run]],0),MATCH(_xlfn.CONCAT(R$29," - Total"),ECMData_EndUse[#Headers],0))/MasterRoomList_SpaceTypeSummary[[#Totals],[Area (sqft)]]</f>
        <v>#DIV/0!</v>
      </c>
      <c r="S33" s="506" t="e">
        <f>INDEX(ECMData_EndUse[#All],MATCH(ECMData_EUI[[#This Row],[Model Run]],ECMData_EndUse[[#All],[Model Run]],0),MATCH(_xlfn.CONCAT(S$29," - Total"),ECMData_EndUse[#Headers],0))/MasterRoomList_SpaceTypeSummary[[#Totals],[Area (sqft)]]</f>
        <v>#DIV/0!</v>
      </c>
      <c r="T33" s="506" t="e">
        <f>INDEX(ECMData_EndUse[#All],MATCH(ECMData_EUI[[#This Row],[Model Run]],ECMData_EndUse[[#All],[Model Run]],0),MATCH(_xlfn.CONCAT(T$29," - Total"),ECMData_EndUse[#Headers],0))/MasterRoomList_SpaceTypeSummary[[#Totals],[Area (sqft)]]</f>
        <v>#DIV/0!</v>
      </c>
      <c r="U33" s="506" t="e">
        <f>INDEX(ECMData_EndUse[#All],MATCH(ECMData_EUI[[#This Row],[Model Run]],ECMData_EndUse[[#All],[Model Run]],0),MATCH(_xlfn.CONCAT(U$29," - Total"),ECMData_EndUse[#Headers],0))/MasterRoomList_SpaceTypeSummary[[#Totals],[Area (sqft)]]</f>
        <v>#DIV/0!</v>
      </c>
      <c r="V33" s="554" t="e">
        <f>INDEX(ECMData_EndUse[#All],MATCH(ECMData_EUI[[#This Row],[Model Run]],ECMData_EndUse[[#All],[Model Run]],0),MATCH(_xlfn.CONCAT(V$29," - Total"),ECMData_EndUse[#Headers],0))/MasterRoomList_SpaceTypeSummary[[#Totals],[Area (sqft)]]</f>
        <v>#DIV/0!</v>
      </c>
      <c r="W33" s="554" t="e">
        <f>INDEX(ECMData_EndUse[#All],MATCH(ECMData_EUI[[#This Row],[Model Run]],ECMData_EndUse[[#All],[Model Run]],0),MATCH(_xlfn.CONCAT(W$29," - Total"),ECMData_EndUse[#Headers],0))/MasterRoomList_SpaceTypeSummary[[#Totals],[Area (sqft)]]</f>
        <v>#DIV/0!</v>
      </c>
      <c r="X33" s="506" t="e">
        <f>INDEX(ECMData_EndUse[#All],MATCH(ECMData_EUI[[#This Row],[Model Run]],ECMData_EndUse[[#All],[Model Run]],0),MATCH(_xlfn.CONCAT(X$29," - Total"),ECMData_EndUse[#Headers],0))/MasterRoomList_SpaceTypeSummary[[#Totals],[Area (sqft)]]</f>
        <v>#DIV/0!</v>
      </c>
      <c r="Y33" s="506" t="e">
        <f>INDEX(ECMData_EndUse[#All],MATCH(ECMData_EUI[[#This Row],[Model Run]],ECMData_EndUse[[#All],[Model Run]],0),MATCH(_xlfn.CONCAT(Y$29," - Total"),ECMData_EndUse[#Headers],0))/MasterRoomList_SpaceTypeSummary[[#Totals],[Area (sqft)]]</f>
        <v>#DIV/0!</v>
      </c>
      <c r="Z33" s="506" t="e">
        <f>INDEX(ECMData_EndUse[#All],MATCH(ECMData_EUI[[#This Row],[Model Run]],ECMData_EndUse[[#All],[Model Run]],0),MATCH(_xlfn.CONCAT(Z$29," - Total"),ECMData_EndUse[#Headers],0))/MasterRoomList_SpaceTypeSummary[[#Totals],[Area (sqft)]]</f>
        <v>#DIV/0!</v>
      </c>
      <c r="AA33" s="506" t="e">
        <f>INDEX(ECMData_EndUse[#All],MATCH(ECMData_EUI[[#This Row],[Model Run]],ECMData_EndUse[[#All],[Model Run]],0),MATCH(_xlfn.CONCAT(AA$29," - Total"),ECMData_EndUse[#Headers],0))/MasterRoomList_SpaceTypeSummary[[#Totals],[Area (sqft)]]</f>
        <v>#DIV/0!</v>
      </c>
      <c r="AB33" s="506" t="e">
        <f>INDEX(ECMData_EndUse[#All],MATCH(ECMData_EUI[[#This Row],[Model Run]],ECMData_EndUse[[#All],[Model Run]],0),MATCH(_xlfn.CONCAT(AB$29," - Total"),ECMData_EndUse[#Headers],0))/MasterRoomList_SpaceTypeSummary[[#Totals],[Area (sqft)]]</f>
        <v>#DIV/0!</v>
      </c>
      <c r="AC33" s="506" t="e">
        <f>INDEX(ECMData_EndUse[#All],MATCH(ECMData_EUI[[#This Row],[Model Run]],ECMData_EndUse[[#All],[Model Run]],0),MATCH(_xlfn.CONCAT(AC$29," - Total"),ECMData_EndUse[#Headers],0))/MasterRoomList_SpaceTypeSummary[[#Totals],[Area (sqft)]]</f>
        <v>#DIV/0!</v>
      </c>
      <c r="AD33" s="506" t="e">
        <f>INDEX(ECMData_EndUse[#All],MATCH(ECMData_EUI[[#This Row],[Model Run]],ECMData_EndUse[[#All],[Model Run]],0),MATCH(_xlfn.CONCAT(AD$29," - Total"),ECMData_EndUse[#Headers],0))/MasterRoomList_SpaceTypeSummary[[#Totals],[Area (sqft)]]</f>
        <v>#DIV/0!</v>
      </c>
      <c r="AE33" s="506" t="e">
        <f>INDEX(ECMData_EndUse[#All],MATCH(ECMData_EUI[[#This Row],[Model Run]],ECMData_EndUse[[#All],[Model Run]],0),MATCH(_xlfn.CONCAT(AE$29," - Total"),ECMData_EndUse[#Headers],0))/MasterRoomList_SpaceTypeSummary[[#Totals],[Area (sqft)]]</f>
        <v>#DIV/0!</v>
      </c>
      <c r="AF33" s="506" t="e">
        <f>INDEX(ECMData_EndUse[#All],MATCH(ECMData_EUI[[#This Row],[Model Run]],ECMData_EndUse[[#All],[Model Run]],0),MATCH(_xlfn.CONCAT(AF$29," - Total"),ECMData_EndUse[#Headers],0))/MasterRoomList_SpaceTypeSummary[[#Totals],[Area (sqft)]]</f>
        <v>#DIV/0!</v>
      </c>
      <c r="AG33" s="506" t="e">
        <f>INDEX(ECMData_EndUse[#All],MATCH(ECMData_EUI[[#This Row],[Model Run]],ECMData_EndUse[[#All],[Model Run]],0),MATCH(_xlfn.CONCAT(AG$29," - Total"),ECMData_EndUse[#Headers],0))/MasterRoomList_SpaceTypeSummary[[#Totals],[Area (sqft)]]</f>
        <v>#DIV/0!</v>
      </c>
      <c r="AH33" s="553" t="e">
        <f>SUM(ECMData_EUI[[#This Row],[Internal Lighting]:[Other Processes]])</f>
        <v>#DIV/0!</v>
      </c>
      <c r="AI33" s="506"/>
      <c r="AJ33" s="506"/>
      <c r="AK33" s="506"/>
      <c r="AL33" s="506"/>
      <c r="AM33" s="506"/>
      <c r="AN33" s="506"/>
      <c r="AO33" s="506"/>
      <c r="AP33" s="506"/>
      <c r="AQ33" s="506"/>
      <c r="AR33" s="506"/>
      <c r="AS33" s="506"/>
      <c r="AT33" s="506"/>
      <c r="AU33" s="506"/>
      <c r="AV33" s="506"/>
      <c r="AW33" s="506"/>
      <c r="AX33" s="506"/>
      <c r="AY33" s="506"/>
      <c r="AZ33" s="506"/>
      <c r="BA33" s="506"/>
      <c r="BB33" s="506"/>
      <c r="BC33" s="506"/>
      <c r="BD33" s="506"/>
      <c r="BE33" s="506"/>
      <c r="BF33" s="506"/>
      <c r="BG33" s="506"/>
      <c r="BH33" s="506"/>
      <c r="BI33" s="506"/>
      <c r="BJ33" s="506"/>
      <c r="BK33" s="506"/>
      <c r="BL33" s="506"/>
      <c r="BM33" s="506"/>
      <c r="BN33" s="506"/>
      <c r="BO33" s="506"/>
      <c r="BP33" s="506"/>
      <c r="BQ33" s="506"/>
      <c r="BR33" s="506"/>
      <c r="BS33" s="506"/>
      <c r="BT33" s="506"/>
      <c r="BU33" s="506"/>
      <c r="BV33" s="506"/>
      <c r="BW33" s="506"/>
      <c r="BX33" s="506"/>
      <c r="BY33" s="506"/>
      <c r="BZ33" s="506"/>
      <c r="CA33" s="506"/>
      <c r="CB33" s="506"/>
      <c r="CC33" s="506"/>
      <c r="CD33" s="506"/>
      <c r="CE33" s="506"/>
      <c r="CF33" s="506"/>
      <c r="CG33" s="506"/>
      <c r="CH33" s="506"/>
      <c r="CI33" s="506"/>
      <c r="CJ33" s="506"/>
      <c r="CK33" s="506"/>
      <c r="CL33" s="506"/>
      <c r="CM33" s="506"/>
      <c r="CN33" s="506"/>
      <c r="CO33" s="506"/>
      <c r="CP33" s="506"/>
      <c r="CQ33" s="506"/>
      <c r="CR33" s="506"/>
      <c r="CS33" s="506"/>
      <c r="CT33" s="506"/>
      <c r="CU33" s="506"/>
      <c r="CV33" s="506"/>
      <c r="CW33" s="506"/>
      <c r="CX33" s="506"/>
      <c r="CY33" s="506"/>
      <c r="CZ33" s="506"/>
      <c r="DA33" s="506"/>
      <c r="DB33" s="506"/>
      <c r="DC33" s="506"/>
      <c r="DD33" s="506"/>
      <c r="DE33" s="506"/>
      <c r="DF33" s="506"/>
      <c r="DG33" s="506"/>
      <c r="DH33" s="506"/>
      <c r="DI33" s="506"/>
      <c r="DJ33" s="506"/>
      <c r="DK33" s="506"/>
      <c r="DL33" s="506"/>
      <c r="DM33" s="506"/>
      <c r="DN33" s="506"/>
      <c r="DO33" s="506"/>
      <c r="DP33" s="506"/>
      <c r="DQ33" s="506"/>
      <c r="DR33" s="506"/>
      <c r="DS33" s="506"/>
      <c r="DT33" s="506"/>
      <c r="DU33" s="506"/>
      <c r="DV33" s="506"/>
      <c r="DW33" s="506"/>
    </row>
    <row r="34" spans="13:127" x14ac:dyDescent="0.25">
      <c r="M34" s="18" t="str">
        <f t="shared" si="5"/>
        <v>ECM-4</v>
      </c>
      <c r="N34" s="590">
        <f t="shared" ca="1" si="6"/>
        <v>0</v>
      </c>
      <c r="O34" s="506" t="e">
        <f>INDEX(ECMData_EndUse[#All],MATCH(ECMData_EUI[[#This Row],[Model Run]],ECMData_EndUse[[#All],[Model Run]],0),MATCH(_xlfn.CONCAT(O$29," - Total"),ECMData_EndUse[#Headers],0))/MasterRoomList_SpaceTypeSummary[[#Totals],[Area (sqft)]]</f>
        <v>#DIV/0!</v>
      </c>
      <c r="P34" s="506" t="e">
        <f>INDEX(ECMData_EndUse[#All],MATCH(ECMData_EUI[[#This Row],[Model Run]],ECMData_EndUse[[#All],[Model Run]],0),MATCH(_xlfn.CONCAT(P$29," - Total"),ECMData_EndUse[#Headers],0))/MasterRoomList_SpaceTypeSummary[[#Totals],[Area (sqft)]]</f>
        <v>#DIV/0!</v>
      </c>
      <c r="Q34" s="506" t="e">
        <f>INDEX(ECMData_EndUse[#All],MATCH(ECMData_EUI[[#This Row],[Model Run]],ECMData_EndUse[[#All],[Model Run]],0),MATCH(_xlfn.CONCAT(Q$29," - Total"),ECMData_EndUse[#Headers],0))/MasterRoomList_SpaceTypeSummary[[#Totals],[Area (sqft)]]</f>
        <v>#DIV/0!</v>
      </c>
      <c r="R34" s="506" t="e">
        <f>INDEX(ECMData_EndUse[#All],MATCH(ECMData_EUI[[#This Row],[Model Run]],ECMData_EndUse[[#All],[Model Run]],0),MATCH(_xlfn.CONCAT(R$29," - Total"),ECMData_EndUse[#Headers],0))/MasterRoomList_SpaceTypeSummary[[#Totals],[Area (sqft)]]</f>
        <v>#DIV/0!</v>
      </c>
      <c r="S34" s="506" t="e">
        <f>INDEX(ECMData_EndUse[#All],MATCH(ECMData_EUI[[#This Row],[Model Run]],ECMData_EndUse[[#All],[Model Run]],0),MATCH(_xlfn.CONCAT(S$29," - Total"),ECMData_EndUse[#Headers],0))/MasterRoomList_SpaceTypeSummary[[#Totals],[Area (sqft)]]</f>
        <v>#DIV/0!</v>
      </c>
      <c r="T34" s="506" t="e">
        <f>INDEX(ECMData_EndUse[#All],MATCH(ECMData_EUI[[#This Row],[Model Run]],ECMData_EndUse[[#All],[Model Run]],0),MATCH(_xlfn.CONCAT(T$29," - Total"),ECMData_EndUse[#Headers],0))/MasterRoomList_SpaceTypeSummary[[#Totals],[Area (sqft)]]</f>
        <v>#DIV/0!</v>
      </c>
      <c r="U34" s="506" t="e">
        <f>INDEX(ECMData_EndUse[#All],MATCH(ECMData_EUI[[#This Row],[Model Run]],ECMData_EndUse[[#All],[Model Run]],0),MATCH(_xlfn.CONCAT(U$29," - Total"),ECMData_EndUse[#Headers],0))/MasterRoomList_SpaceTypeSummary[[#Totals],[Area (sqft)]]</f>
        <v>#DIV/0!</v>
      </c>
      <c r="V34" s="554" t="e">
        <f>INDEX(ECMData_EndUse[#All],MATCH(ECMData_EUI[[#This Row],[Model Run]],ECMData_EndUse[[#All],[Model Run]],0),MATCH(_xlfn.CONCAT(V$29," - Total"),ECMData_EndUse[#Headers],0))/MasterRoomList_SpaceTypeSummary[[#Totals],[Area (sqft)]]</f>
        <v>#DIV/0!</v>
      </c>
      <c r="W34" s="554" t="e">
        <f>INDEX(ECMData_EndUse[#All],MATCH(ECMData_EUI[[#This Row],[Model Run]],ECMData_EndUse[[#All],[Model Run]],0),MATCH(_xlfn.CONCAT(W$29," - Total"),ECMData_EndUse[#Headers],0))/MasterRoomList_SpaceTypeSummary[[#Totals],[Area (sqft)]]</f>
        <v>#DIV/0!</v>
      </c>
      <c r="X34" s="506" t="e">
        <f>INDEX(ECMData_EndUse[#All],MATCH(ECMData_EUI[[#This Row],[Model Run]],ECMData_EndUse[[#All],[Model Run]],0),MATCH(_xlfn.CONCAT(X$29," - Total"),ECMData_EndUse[#Headers],0))/MasterRoomList_SpaceTypeSummary[[#Totals],[Area (sqft)]]</f>
        <v>#DIV/0!</v>
      </c>
      <c r="Y34" s="506" t="e">
        <f>INDEX(ECMData_EndUse[#All],MATCH(ECMData_EUI[[#This Row],[Model Run]],ECMData_EndUse[[#All],[Model Run]],0),MATCH(_xlfn.CONCAT(Y$29," - Total"),ECMData_EndUse[#Headers],0))/MasterRoomList_SpaceTypeSummary[[#Totals],[Area (sqft)]]</f>
        <v>#DIV/0!</v>
      </c>
      <c r="Z34" s="506" t="e">
        <f>INDEX(ECMData_EndUse[#All],MATCH(ECMData_EUI[[#This Row],[Model Run]],ECMData_EndUse[[#All],[Model Run]],0),MATCH(_xlfn.CONCAT(Z$29," - Total"),ECMData_EndUse[#Headers],0))/MasterRoomList_SpaceTypeSummary[[#Totals],[Area (sqft)]]</f>
        <v>#DIV/0!</v>
      </c>
      <c r="AA34" s="506" t="e">
        <f>INDEX(ECMData_EndUse[#All],MATCH(ECMData_EUI[[#This Row],[Model Run]],ECMData_EndUse[[#All],[Model Run]],0),MATCH(_xlfn.CONCAT(AA$29," - Total"),ECMData_EndUse[#Headers],0))/MasterRoomList_SpaceTypeSummary[[#Totals],[Area (sqft)]]</f>
        <v>#DIV/0!</v>
      </c>
      <c r="AB34" s="506" t="e">
        <f>INDEX(ECMData_EndUse[#All],MATCH(ECMData_EUI[[#This Row],[Model Run]],ECMData_EndUse[[#All],[Model Run]],0),MATCH(_xlfn.CONCAT(AB$29," - Total"),ECMData_EndUse[#Headers],0))/MasterRoomList_SpaceTypeSummary[[#Totals],[Area (sqft)]]</f>
        <v>#DIV/0!</v>
      </c>
      <c r="AC34" s="506" t="e">
        <f>INDEX(ECMData_EndUse[#All],MATCH(ECMData_EUI[[#This Row],[Model Run]],ECMData_EndUse[[#All],[Model Run]],0),MATCH(_xlfn.CONCAT(AC$29," - Total"),ECMData_EndUse[#Headers],0))/MasterRoomList_SpaceTypeSummary[[#Totals],[Area (sqft)]]</f>
        <v>#DIV/0!</v>
      </c>
      <c r="AD34" s="506" t="e">
        <f>INDEX(ECMData_EndUse[#All],MATCH(ECMData_EUI[[#This Row],[Model Run]],ECMData_EndUse[[#All],[Model Run]],0),MATCH(_xlfn.CONCAT(AD$29," - Total"),ECMData_EndUse[#Headers],0))/MasterRoomList_SpaceTypeSummary[[#Totals],[Area (sqft)]]</f>
        <v>#DIV/0!</v>
      </c>
      <c r="AE34" s="506" t="e">
        <f>INDEX(ECMData_EndUse[#All],MATCH(ECMData_EUI[[#This Row],[Model Run]],ECMData_EndUse[[#All],[Model Run]],0),MATCH(_xlfn.CONCAT(AE$29," - Total"),ECMData_EndUse[#Headers],0))/MasterRoomList_SpaceTypeSummary[[#Totals],[Area (sqft)]]</f>
        <v>#DIV/0!</v>
      </c>
      <c r="AF34" s="506" t="e">
        <f>INDEX(ECMData_EndUse[#All],MATCH(ECMData_EUI[[#This Row],[Model Run]],ECMData_EndUse[[#All],[Model Run]],0),MATCH(_xlfn.CONCAT(AF$29," - Total"),ECMData_EndUse[#Headers],0))/MasterRoomList_SpaceTypeSummary[[#Totals],[Area (sqft)]]</f>
        <v>#DIV/0!</v>
      </c>
      <c r="AG34" s="506" t="e">
        <f>INDEX(ECMData_EndUse[#All],MATCH(ECMData_EUI[[#This Row],[Model Run]],ECMData_EndUse[[#All],[Model Run]],0),MATCH(_xlfn.CONCAT(AG$29," - Total"),ECMData_EndUse[#Headers],0))/MasterRoomList_SpaceTypeSummary[[#Totals],[Area (sqft)]]</f>
        <v>#DIV/0!</v>
      </c>
      <c r="AH34" s="553" t="e">
        <f>SUM(ECMData_EUI[[#This Row],[Internal Lighting]:[Other Processes]])</f>
        <v>#DIV/0!</v>
      </c>
      <c r="AI34" s="506"/>
      <c r="AJ34" s="506"/>
      <c r="AK34" s="506"/>
      <c r="AL34" s="506"/>
      <c r="AM34" s="506"/>
      <c r="AN34" s="506"/>
      <c r="AO34" s="506"/>
      <c r="AP34" s="506"/>
      <c r="AQ34" s="506"/>
      <c r="AR34" s="506"/>
      <c r="AS34" s="506"/>
      <c r="AT34" s="506"/>
      <c r="AU34" s="506"/>
      <c r="AV34" s="506"/>
      <c r="AW34" s="506"/>
      <c r="AX34" s="506"/>
      <c r="AY34" s="506"/>
      <c r="AZ34" s="506"/>
      <c r="BA34" s="506"/>
      <c r="BB34" s="506"/>
      <c r="BC34" s="506"/>
      <c r="BD34" s="506"/>
      <c r="BE34" s="506"/>
      <c r="BF34" s="506"/>
      <c r="BG34" s="506"/>
      <c r="BH34" s="506"/>
      <c r="BI34" s="506"/>
      <c r="BJ34" s="506"/>
      <c r="BK34" s="506"/>
      <c r="BL34" s="506"/>
      <c r="BM34" s="506"/>
      <c r="BN34" s="506"/>
      <c r="BO34" s="506"/>
      <c r="BP34" s="506"/>
      <c r="BQ34" s="506"/>
      <c r="BR34" s="506"/>
      <c r="BS34" s="506"/>
      <c r="BT34" s="506"/>
      <c r="BU34" s="506"/>
      <c r="BV34" s="506"/>
      <c r="BW34" s="506"/>
      <c r="BX34" s="506"/>
      <c r="BY34" s="506"/>
      <c r="BZ34" s="506"/>
      <c r="CA34" s="506"/>
      <c r="CB34" s="506"/>
      <c r="CC34" s="506"/>
      <c r="CD34" s="506"/>
      <c r="CE34" s="506"/>
      <c r="CF34" s="506"/>
      <c r="CG34" s="506"/>
      <c r="CH34" s="506"/>
      <c r="CI34" s="506"/>
      <c r="CJ34" s="506"/>
      <c r="CK34" s="506"/>
      <c r="CL34" s="506"/>
      <c r="CM34" s="506"/>
      <c r="CN34" s="506"/>
      <c r="CO34" s="506"/>
      <c r="CP34" s="506"/>
      <c r="CQ34" s="506"/>
      <c r="CR34" s="506"/>
      <c r="CS34" s="506"/>
      <c r="CT34" s="506"/>
      <c r="CU34" s="506"/>
      <c r="CV34" s="506"/>
      <c r="CW34" s="506"/>
      <c r="CX34" s="506"/>
      <c r="CY34" s="506"/>
      <c r="CZ34" s="506"/>
      <c r="DA34" s="506"/>
      <c r="DB34" s="506"/>
      <c r="DC34" s="506"/>
      <c r="DD34" s="506"/>
      <c r="DE34" s="506"/>
      <c r="DF34" s="506"/>
      <c r="DG34" s="506"/>
      <c r="DH34" s="506"/>
      <c r="DI34" s="506"/>
      <c r="DJ34" s="506"/>
      <c r="DK34" s="506"/>
      <c r="DL34" s="506"/>
      <c r="DM34" s="506"/>
      <c r="DN34" s="506"/>
      <c r="DO34" s="506"/>
      <c r="DP34" s="506"/>
      <c r="DQ34" s="506"/>
      <c r="DR34" s="506"/>
      <c r="DS34" s="506"/>
      <c r="DT34" s="506"/>
      <c r="DU34" s="506"/>
      <c r="DV34" s="506"/>
      <c r="DW34" s="506"/>
    </row>
    <row r="35" spans="13:127" x14ac:dyDescent="0.25">
      <c r="M35" s="18" t="str">
        <f t="shared" si="5"/>
        <v>ECM-5</v>
      </c>
      <c r="N35" s="590">
        <f t="shared" ca="1" si="6"/>
        <v>0</v>
      </c>
      <c r="O35" s="506" t="e">
        <f>INDEX(ECMData_EndUse[#All],MATCH(ECMData_EUI[[#This Row],[Model Run]],ECMData_EndUse[[#All],[Model Run]],0),MATCH(_xlfn.CONCAT(O$29," - Total"),ECMData_EndUse[#Headers],0))/MasterRoomList_SpaceTypeSummary[[#Totals],[Area (sqft)]]</f>
        <v>#DIV/0!</v>
      </c>
      <c r="P35" s="506" t="e">
        <f>INDEX(ECMData_EndUse[#All],MATCH(ECMData_EUI[[#This Row],[Model Run]],ECMData_EndUse[[#All],[Model Run]],0),MATCH(_xlfn.CONCAT(P$29," - Total"),ECMData_EndUse[#Headers],0))/MasterRoomList_SpaceTypeSummary[[#Totals],[Area (sqft)]]</f>
        <v>#DIV/0!</v>
      </c>
      <c r="Q35" s="506" t="e">
        <f>INDEX(ECMData_EndUse[#All],MATCH(ECMData_EUI[[#This Row],[Model Run]],ECMData_EndUse[[#All],[Model Run]],0),MATCH(_xlfn.CONCAT(Q$29," - Total"),ECMData_EndUse[#Headers],0))/MasterRoomList_SpaceTypeSummary[[#Totals],[Area (sqft)]]</f>
        <v>#DIV/0!</v>
      </c>
      <c r="R35" s="506" t="e">
        <f>INDEX(ECMData_EndUse[#All],MATCH(ECMData_EUI[[#This Row],[Model Run]],ECMData_EndUse[[#All],[Model Run]],0),MATCH(_xlfn.CONCAT(R$29," - Total"),ECMData_EndUse[#Headers],0))/MasterRoomList_SpaceTypeSummary[[#Totals],[Area (sqft)]]</f>
        <v>#DIV/0!</v>
      </c>
      <c r="S35" s="506" t="e">
        <f>INDEX(ECMData_EndUse[#All],MATCH(ECMData_EUI[[#This Row],[Model Run]],ECMData_EndUse[[#All],[Model Run]],0),MATCH(_xlfn.CONCAT(S$29," - Total"),ECMData_EndUse[#Headers],0))/MasterRoomList_SpaceTypeSummary[[#Totals],[Area (sqft)]]</f>
        <v>#DIV/0!</v>
      </c>
      <c r="T35" s="506" t="e">
        <f>INDEX(ECMData_EndUse[#All],MATCH(ECMData_EUI[[#This Row],[Model Run]],ECMData_EndUse[[#All],[Model Run]],0),MATCH(_xlfn.CONCAT(T$29," - Total"),ECMData_EndUse[#Headers],0))/MasterRoomList_SpaceTypeSummary[[#Totals],[Area (sqft)]]</f>
        <v>#DIV/0!</v>
      </c>
      <c r="U35" s="506" t="e">
        <f>INDEX(ECMData_EndUse[#All],MATCH(ECMData_EUI[[#This Row],[Model Run]],ECMData_EndUse[[#All],[Model Run]],0),MATCH(_xlfn.CONCAT(U$29," - Total"),ECMData_EndUse[#Headers],0))/MasterRoomList_SpaceTypeSummary[[#Totals],[Area (sqft)]]</f>
        <v>#DIV/0!</v>
      </c>
      <c r="V35" s="554" t="e">
        <f>INDEX(ECMData_EndUse[#All],MATCH(ECMData_EUI[[#This Row],[Model Run]],ECMData_EndUse[[#All],[Model Run]],0),MATCH(_xlfn.CONCAT(V$29," - Total"),ECMData_EndUse[#Headers],0))/MasterRoomList_SpaceTypeSummary[[#Totals],[Area (sqft)]]</f>
        <v>#DIV/0!</v>
      </c>
      <c r="W35" s="554" t="e">
        <f>INDEX(ECMData_EndUse[#All],MATCH(ECMData_EUI[[#This Row],[Model Run]],ECMData_EndUse[[#All],[Model Run]],0),MATCH(_xlfn.CONCAT(W$29," - Total"),ECMData_EndUse[#Headers],0))/MasterRoomList_SpaceTypeSummary[[#Totals],[Area (sqft)]]</f>
        <v>#DIV/0!</v>
      </c>
      <c r="X35" s="506" t="e">
        <f>INDEX(ECMData_EndUse[#All],MATCH(ECMData_EUI[[#This Row],[Model Run]],ECMData_EndUse[[#All],[Model Run]],0),MATCH(_xlfn.CONCAT(X$29," - Total"),ECMData_EndUse[#Headers],0))/MasterRoomList_SpaceTypeSummary[[#Totals],[Area (sqft)]]</f>
        <v>#DIV/0!</v>
      </c>
      <c r="Y35" s="506" t="e">
        <f>INDEX(ECMData_EndUse[#All],MATCH(ECMData_EUI[[#This Row],[Model Run]],ECMData_EndUse[[#All],[Model Run]],0),MATCH(_xlfn.CONCAT(Y$29," - Total"),ECMData_EndUse[#Headers],0))/MasterRoomList_SpaceTypeSummary[[#Totals],[Area (sqft)]]</f>
        <v>#DIV/0!</v>
      </c>
      <c r="Z35" s="506" t="e">
        <f>INDEX(ECMData_EndUse[#All],MATCH(ECMData_EUI[[#This Row],[Model Run]],ECMData_EndUse[[#All],[Model Run]],0),MATCH(_xlfn.CONCAT(Z$29," - Total"),ECMData_EndUse[#Headers],0))/MasterRoomList_SpaceTypeSummary[[#Totals],[Area (sqft)]]</f>
        <v>#DIV/0!</v>
      </c>
      <c r="AA35" s="506" t="e">
        <f>INDEX(ECMData_EndUse[#All],MATCH(ECMData_EUI[[#This Row],[Model Run]],ECMData_EndUse[[#All],[Model Run]],0),MATCH(_xlfn.CONCAT(AA$29," - Total"),ECMData_EndUse[#Headers],0))/MasterRoomList_SpaceTypeSummary[[#Totals],[Area (sqft)]]</f>
        <v>#DIV/0!</v>
      </c>
      <c r="AB35" s="506" t="e">
        <f>INDEX(ECMData_EndUse[#All],MATCH(ECMData_EUI[[#This Row],[Model Run]],ECMData_EndUse[[#All],[Model Run]],0),MATCH(_xlfn.CONCAT(AB$29," - Total"),ECMData_EndUse[#Headers],0))/MasterRoomList_SpaceTypeSummary[[#Totals],[Area (sqft)]]</f>
        <v>#DIV/0!</v>
      </c>
      <c r="AC35" s="506" t="e">
        <f>INDEX(ECMData_EndUse[#All],MATCH(ECMData_EUI[[#This Row],[Model Run]],ECMData_EndUse[[#All],[Model Run]],0),MATCH(_xlfn.CONCAT(AC$29," - Total"),ECMData_EndUse[#Headers],0))/MasterRoomList_SpaceTypeSummary[[#Totals],[Area (sqft)]]</f>
        <v>#DIV/0!</v>
      </c>
      <c r="AD35" s="506" t="e">
        <f>INDEX(ECMData_EndUse[#All],MATCH(ECMData_EUI[[#This Row],[Model Run]],ECMData_EndUse[[#All],[Model Run]],0),MATCH(_xlfn.CONCAT(AD$29," - Total"),ECMData_EndUse[#Headers],0))/MasterRoomList_SpaceTypeSummary[[#Totals],[Area (sqft)]]</f>
        <v>#DIV/0!</v>
      </c>
      <c r="AE35" s="506" t="e">
        <f>INDEX(ECMData_EndUse[#All],MATCH(ECMData_EUI[[#This Row],[Model Run]],ECMData_EndUse[[#All],[Model Run]],0),MATCH(_xlfn.CONCAT(AE$29," - Total"),ECMData_EndUse[#Headers],0))/MasterRoomList_SpaceTypeSummary[[#Totals],[Area (sqft)]]</f>
        <v>#DIV/0!</v>
      </c>
      <c r="AF35" s="506" t="e">
        <f>INDEX(ECMData_EndUse[#All],MATCH(ECMData_EUI[[#This Row],[Model Run]],ECMData_EndUse[[#All],[Model Run]],0),MATCH(_xlfn.CONCAT(AF$29," - Total"),ECMData_EndUse[#Headers],0))/MasterRoomList_SpaceTypeSummary[[#Totals],[Area (sqft)]]</f>
        <v>#DIV/0!</v>
      </c>
      <c r="AG35" s="506" t="e">
        <f>INDEX(ECMData_EndUse[#All],MATCH(ECMData_EUI[[#This Row],[Model Run]],ECMData_EndUse[[#All],[Model Run]],0),MATCH(_xlfn.CONCAT(AG$29," - Total"),ECMData_EndUse[#Headers],0))/MasterRoomList_SpaceTypeSummary[[#Totals],[Area (sqft)]]</f>
        <v>#DIV/0!</v>
      </c>
      <c r="AH35" s="553" t="e">
        <f>SUM(ECMData_EUI[[#This Row],[Internal Lighting]:[Other Processes]])</f>
        <v>#DIV/0!</v>
      </c>
      <c r="AI35" s="506"/>
      <c r="AJ35" s="506"/>
      <c r="AK35" s="506"/>
      <c r="AL35" s="506"/>
      <c r="AM35" s="506"/>
      <c r="AN35" s="506"/>
      <c r="AO35" s="506"/>
      <c r="AP35" s="506"/>
      <c r="AQ35" s="506"/>
      <c r="AR35" s="506"/>
      <c r="AS35" s="506"/>
      <c r="AT35" s="506"/>
      <c r="AU35" s="506"/>
      <c r="AV35" s="506"/>
      <c r="AW35" s="506"/>
      <c r="AX35" s="506"/>
      <c r="AY35" s="506"/>
      <c r="AZ35" s="506"/>
      <c r="BA35" s="506"/>
      <c r="BB35" s="506"/>
      <c r="BC35" s="506"/>
      <c r="BD35" s="506"/>
      <c r="BE35" s="506"/>
      <c r="BF35" s="506"/>
      <c r="BG35" s="506"/>
      <c r="BH35" s="506"/>
      <c r="BI35" s="506"/>
      <c r="BJ35" s="506"/>
      <c r="BK35" s="506"/>
      <c r="BL35" s="506"/>
      <c r="BM35" s="506"/>
      <c r="BN35" s="506"/>
      <c r="BO35" s="506"/>
      <c r="BP35" s="506"/>
      <c r="BQ35" s="506"/>
      <c r="BR35" s="506"/>
      <c r="BS35" s="506"/>
      <c r="BT35" s="506"/>
      <c r="BU35" s="506"/>
      <c r="BV35" s="506"/>
      <c r="BW35" s="506"/>
      <c r="BX35" s="506"/>
      <c r="BY35" s="506"/>
      <c r="BZ35" s="506"/>
      <c r="CA35" s="506"/>
      <c r="CB35" s="506"/>
      <c r="CC35" s="506"/>
      <c r="CD35" s="506"/>
      <c r="CE35" s="506"/>
      <c r="CF35" s="506"/>
      <c r="CG35" s="506"/>
      <c r="CH35" s="506"/>
      <c r="CI35" s="506"/>
      <c r="CJ35" s="506"/>
      <c r="CK35" s="506"/>
      <c r="CL35" s="506"/>
      <c r="CM35" s="506"/>
      <c r="CN35" s="506"/>
      <c r="CO35" s="506"/>
      <c r="CP35" s="506"/>
      <c r="CQ35" s="506"/>
      <c r="CR35" s="506"/>
      <c r="CS35" s="506"/>
      <c r="CT35" s="506"/>
      <c r="CU35" s="506"/>
      <c r="CV35" s="506"/>
      <c r="CW35" s="506"/>
      <c r="CX35" s="506"/>
      <c r="CY35" s="506"/>
      <c r="CZ35" s="506"/>
      <c r="DA35" s="506"/>
      <c r="DB35" s="506"/>
      <c r="DC35" s="506"/>
      <c r="DD35" s="506"/>
      <c r="DE35" s="506"/>
      <c r="DF35" s="506"/>
      <c r="DG35" s="506"/>
      <c r="DH35" s="506"/>
      <c r="DI35" s="506"/>
      <c r="DJ35" s="506"/>
      <c r="DK35" s="506"/>
      <c r="DL35" s="506"/>
      <c r="DM35" s="506"/>
      <c r="DN35" s="506"/>
      <c r="DO35" s="506"/>
      <c r="DP35" s="506"/>
      <c r="DQ35" s="506"/>
      <c r="DR35" s="506"/>
      <c r="DS35" s="506"/>
      <c r="DT35" s="506"/>
      <c r="DU35" s="506"/>
      <c r="DV35" s="506"/>
      <c r="DW35" s="506"/>
    </row>
    <row r="36" spans="13:127" x14ac:dyDescent="0.25">
      <c r="M36" s="18" t="str">
        <f t="shared" si="5"/>
        <v>ECM-6</v>
      </c>
      <c r="N36" s="590">
        <f t="shared" ca="1" si="6"/>
        <v>0</v>
      </c>
      <c r="O36" s="506" t="e">
        <f>INDEX(ECMData_EndUse[#All],MATCH(ECMData_EUI[[#This Row],[Model Run]],ECMData_EndUse[[#All],[Model Run]],0),MATCH(_xlfn.CONCAT(O$29," - Total"),ECMData_EndUse[#Headers],0))/MasterRoomList_SpaceTypeSummary[[#Totals],[Area (sqft)]]</f>
        <v>#DIV/0!</v>
      </c>
      <c r="P36" s="506" t="e">
        <f>INDEX(ECMData_EndUse[#All],MATCH(ECMData_EUI[[#This Row],[Model Run]],ECMData_EndUse[[#All],[Model Run]],0),MATCH(_xlfn.CONCAT(P$29," - Total"),ECMData_EndUse[#Headers],0))/MasterRoomList_SpaceTypeSummary[[#Totals],[Area (sqft)]]</f>
        <v>#DIV/0!</v>
      </c>
      <c r="Q36" s="506" t="e">
        <f>INDEX(ECMData_EndUse[#All],MATCH(ECMData_EUI[[#This Row],[Model Run]],ECMData_EndUse[[#All],[Model Run]],0),MATCH(_xlfn.CONCAT(Q$29," - Total"),ECMData_EndUse[#Headers],0))/MasterRoomList_SpaceTypeSummary[[#Totals],[Area (sqft)]]</f>
        <v>#DIV/0!</v>
      </c>
      <c r="R36" s="506" t="e">
        <f>INDEX(ECMData_EndUse[#All],MATCH(ECMData_EUI[[#This Row],[Model Run]],ECMData_EndUse[[#All],[Model Run]],0),MATCH(_xlfn.CONCAT(R$29," - Total"),ECMData_EndUse[#Headers],0))/MasterRoomList_SpaceTypeSummary[[#Totals],[Area (sqft)]]</f>
        <v>#DIV/0!</v>
      </c>
      <c r="S36" s="506" t="e">
        <f>INDEX(ECMData_EndUse[#All],MATCH(ECMData_EUI[[#This Row],[Model Run]],ECMData_EndUse[[#All],[Model Run]],0),MATCH(_xlfn.CONCAT(S$29," - Total"),ECMData_EndUse[#Headers],0))/MasterRoomList_SpaceTypeSummary[[#Totals],[Area (sqft)]]</f>
        <v>#DIV/0!</v>
      </c>
      <c r="T36" s="506" t="e">
        <f>INDEX(ECMData_EndUse[#All],MATCH(ECMData_EUI[[#This Row],[Model Run]],ECMData_EndUse[[#All],[Model Run]],0),MATCH(_xlfn.CONCAT(T$29," - Total"),ECMData_EndUse[#Headers],0))/MasterRoomList_SpaceTypeSummary[[#Totals],[Area (sqft)]]</f>
        <v>#DIV/0!</v>
      </c>
      <c r="U36" s="506" t="e">
        <f>INDEX(ECMData_EndUse[#All],MATCH(ECMData_EUI[[#This Row],[Model Run]],ECMData_EndUse[[#All],[Model Run]],0),MATCH(_xlfn.CONCAT(U$29," - Total"),ECMData_EndUse[#Headers],0))/MasterRoomList_SpaceTypeSummary[[#Totals],[Area (sqft)]]</f>
        <v>#DIV/0!</v>
      </c>
      <c r="V36" s="554" t="e">
        <f>INDEX(ECMData_EndUse[#All],MATCH(ECMData_EUI[[#This Row],[Model Run]],ECMData_EndUse[[#All],[Model Run]],0),MATCH(_xlfn.CONCAT(V$29," - Total"),ECMData_EndUse[#Headers],0))/MasterRoomList_SpaceTypeSummary[[#Totals],[Area (sqft)]]</f>
        <v>#DIV/0!</v>
      </c>
      <c r="W36" s="554" t="e">
        <f>INDEX(ECMData_EndUse[#All],MATCH(ECMData_EUI[[#This Row],[Model Run]],ECMData_EndUse[[#All],[Model Run]],0),MATCH(_xlfn.CONCAT(W$29," - Total"),ECMData_EndUse[#Headers],0))/MasterRoomList_SpaceTypeSummary[[#Totals],[Area (sqft)]]</f>
        <v>#DIV/0!</v>
      </c>
      <c r="X36" s="506" t="e">
        <f>INDEX(ECMData_EndUse[#All],MATCH(ECMData_EUI[[#This Row],[Model Run]],ECMData_EndUse[[#All],[Model Run]],0),MATCH(_xlfn.CONCAT(X$29," - Total"),ECMData_EndUse[#Headers],0))/MasterRoomList_SpaceTypeSummary[[#Totals],[Area (sqft)]]</f>
        <v>#DIV/0!</v>
      </c>
      <c r="Y36" s="506" t="e">
        <f>INDEX(ECMData_EndUse[#All],MATCH(ECMData_EUI[[#This Row],[Model Run]],ECMData_EndUse[[#All],[Model Run]],0),MATCH(_xlfn.CONCAT(Y$29," - Total"),ECMData_EndUse[#Headers],0))/MasterRoomList_SpaceTypeSummary[[#Totals],[Area (sqft)]]</f>
        <v>#DIV/0!</v>
      </c>
      <c r="Z36" s="506" t="e">
        <f>INDEX(ECMData_EndUse[#All],MATCH(ECMData_EUI[[#This Row],[Model Run]],ECMData_EndUse[[#All],[Model Run]],0),MATCH(_xlfn.CONCAT(Z$29," - Total"),ECMData_EndUse[#Headers],0))/MasterRoomList_SpaceTypeSummary[[#Totals],[Area (sqft)]]</f>
        <v>#DIV/0!</v>
      </c>
      <c r="AA36" s="506" t="e">
        <f>INDEX(ECMData_EndUse[#All],MATCH(ECMData_EUI[[#This Row],[Model Run]],ECMData_EndUse[[#All],[Model Run]],0),MATCH(_xlfn.CONCAT(AA$29," - Total"),ECMData_EndUse[#Headers],0))/MasterRoomList_SpaceTypeSummary[[#Totals],[Area (sqft)]]</f>
        <v>#DIV/0!</v>
      </c>
      <c r="AB36" s="506" t="e">
        <f>INDEX(ECMData_EndUse[#All],MATCH(ECMData_EUI[[#This Row],[Model Run]],ECMData_EndUse[[#All],[Model Run]],0),MATCH(_xlfn.CONCAT(AB$29," - Total"),ECMData_EndUse[#Headers],0))/MasterRoomList_SpaceTypeSummary[[#Totals],[Area (sqft)]]</f>
        <v>#DIV/0!</v>
      </c>
      <c r="AC36" s="506" t="e">
        <f>INDEX(ECMData_EndUse[#All],MATCH(ECMData_EUI[[#This Row],[Model Run]],ECMData_EndUse[[#All],[Model Run]],0),MATCH(_xlfn.CONCAT(AC$29," - Total"),ECMData_EndUse[#Headers],0))/MasterRoomList_SpaceTypeSummary[[#Totals],[Area (sqft)]]</f>
        <v>#DIV/0!</v>
      </c>
      <c r="AD36" s="506" t="e">
        <f>INDEX(ECMData_EndUse[#All],MATCH(ECMData_EUI[[#This Row],[Model Run]],ECMData_EndUse[[#All],[Model Run]],0),MATCH(_xlfn.CONCAT(AD$29," - Total"),ECMData_EndUse[#Headers],0))/MasterRoomList_SpaceTypeSummary[[#Totals],[Area (sqft)]]</f>
        <v>#DIV/0!</v>
      </c>
      <c r="AE36" s="506" t="e">
        <f>INDEX(ECMData_EndUse[#All],MATCH(ECMData_EUI[[#This Row],[Model Run]],ECMData_EndUse[[#All],[Model Run]],0),MATCH(_xlfn.CONCAT(AE$29," - Total"),ECMData_EndUse[#Headers],0))/MasterRoomList_SpaceTypeSummary[[#Totals],[Area (sqft)]]</f>
        <v>#DIV/0!</v>
      </c>
      <c r="AF36" s="506" t="e">
        <f>INDEX(ECMData_EndUse[#All],MATCH(ECMData_EUI[[#This Row],[Model Run]],ECMData_EndUse[[#All],[Model Run]],0),MATCH(_xlfn.CONCAT(AF$29," - Total"),ECMData_EndUse[#Headers],0))/MasterRoomList_SpaceTypeSummary[[#Totals],[Area (sqft)]]</f>
        <v>#DIV/0!</v>
      </c>
      <c r="AG36" s="506" t="e">
        <f>INDEX(ECMData_EndUse[#All],MATCH(ECMData_EUI[[#This Row],[Model Run]],ECMData_EndUse[[#All],[Model Run]],0),MATCH(_xlfn.CONCAT(AG$29," - Total"),ECMData_EndUse[#Headers],0))/MasterRoomList_SpaceTypeSummary[[#Totals],[Area (sqft)]]</f>
        <v>#DIV/0!</v>
      </c>
      <c r="AH36" s="553" t="e">
        <f>SUM(ECMData_EUI[[#This Row],[Internal Lighting]:[Other Processes]])</f>
        <v>#DIV/0!</v>
      </c>
      <c r="AI36" s="506"/>
      <c r="AJ36" s="506"/>
      <c r="AK36" s="506"/>
      <c r="AL36" s="506"/>
      <c r="AM36" s="506"/>
      <c r="AN36" s="506"/>
      <c r="AO36" s="506"/>
      <c r="AP36" s="506"/>
      <c r="AQ36" s="506"/>
      <c r="AR36" s="506"/>
      <c r="AS36" s="506"/>
      <c r="AT36" s="506"/>
      <c r="AU36" s="506"/>
      <c r="AV36" s="506"/>
      <c r="AW36" s="506"/>
      <c r="AX36" s="506"/>
      <c r="AY36" s="506"/>
      <c r="AZ36" s="506"/>
      <c r="BA36" s="506"/>
      <c r="BB36" s="506"/>
      <c r="BC36" s="506"/>
      <c r="BD36" s="506"/>
      <c r="BE36" s="506"/>
      <c r="BF36" s="506"/>
      <c r="BG36" s="506"/>
      <c r="BH36" s="506"/>
      <c r="BI36" s="506"/>
      <c r="BJ36" s="506"/>
      <c r="BK36" s="506"/>
      <c r="BL36" s="506"/>
      <c r="BM36" s="506"/>
      <c r="BN36" s="506"/>
      <c r="BO36" s="506"/>
      <c r="BP36" s="506"/>
      <c r="BQ36" s="506"/>
      <c r="BR36" s="506"/>
      <c r="BS36" s="506"/>
      <c r="BT36" s="506"/>
      <c r="BU36" s="506"/>
      <c r="BV36" s="506"/>
      <c r="BW36" s="506"/>
      <c r="BX36" s="506"/>
      <c r="BY36" s="506"/>
      <c r="BZ36" s="506"/>
      <c r="CA36" s="506"/>
      <c r="CB36" s="506"/>
      <c r="CC36" s="506"/>
      <c r="CD36" s="506"/>
      <c r="CE36" s="506"/>
      <c r="CF36" s="506"/>
      <c r="CG36" s="506"/>
      <c r="CH36" s="506"/>
      <c r="CI36" s="506"/>
      <c r="CJ36" s="506"/>
      <c r="CK36" s="506"/>
      <c r="CL36" s="506"/>
      <c r="CM36" s="506"/>
      <c r="CN36" s="506"/>
      <c r="CO36" s="506"/>
      <c r="CP36" s="506"/>
      <c r="CQ36" s="506"/>
      <c r="CR36" s="506"/>
      <c r="CS36" s="506"/>
      <c r="CT36" s="506"/>
      <c r="CU36" s="506"/>
      <c r="CV36" s="506"/>
      <c r="CW36" s="506"/>
      <c r="CX36" s="506"/>
      <c r="CY36" s="506"/>
      <c r="CZ36" s="506"/>
      <c r="DA36" s="506"/>
      <c r="DB36" s="506"/>
      <c r="DC36" s="506"/>
      <c r="DD36" s="506"/>
      <c r="DE36" s="506"/>
      <c r="DF36" s="506"/>
      <c r="DG36" s="506"/>
      <c r="DH36" s="506"/>
      <c r="DI36" s="506"/>
      <c r="DJ36" s="506"/>
      <c r="DK36" s="506"/>
      <c r="DL36" s="506"/>
      <c r="DM36" s="506"/>
      <c r="DN36" s="506"/>
      <c r="DO36" s="506"/>
      <c r="DP36" s="506"/>
      <c r="DQ36" s="506"/>
      <c r="DR36" s="506"/>
      <c r="DS36" s="506"/>
      <c r="DT36" s="506"/>
      <c r="DU36" s="506"/>
      <c r="DV36" s="506"/>
      <c r="DW36" s="506"/>
    </row>
    <row r="37" spans="13:127" x14ac:dyDescent="0.25">
      <c r="M37" s="18" t="str">
        <f t="shared" si="5"/>
        <v>ECM-7</v>
      </c>
      <c r="N37" s="590">
        <f t="shared" ca="1" si="6"/>
        <v>0</v>
      </c>
      <c r="O37" s="506" t="e">
        <f>INDEX(ECMData_EndUse[#All],MATCH(ECMData_EUI[[#This Row],[Model Run]],ECMData_EndUse[[#All],[Model Run]],0),MATCH(_xlfn.CONCAT(O$29," - Total"),ECMData_EndUse[#Headers],0))/MasterRoomList_SpaceTypeSummary[[#Totals],[Area (sqft)]]</f>
        <v>#DIV/0!</v>
      </c>
      <c r="P37" s="506" t="e">
        <f>INDEX(ECMData_EndUse[#All],MATCH(ECMData_EUI[[#This Row],[Model Run]],ECMData_EndUse[[#All],[Model Run]],0),MATCH(_xlfn.CONCAT(P$29," - Total"),ECMData_EndUse[#Headers],0))/MasterRoomList_SpaceTypeSummary[[#Totals],[Area (sqft)]]</f>
        <v>#DIV/0!</v>
      </c>
      <c r="Q37" s="506" t="e">
        <f>INDEX(ECMData_EndUse[#All],MATCH(ECMData_EUI[[#This Row],[Model Run]],ECMData_EndUse[[#All],[Model Run]],0),MATCH(_xlfn.CONCAT(Q$29," - Total"),ECMData_EndUse[#Headers],0))/MasterRoomList_SpaceTypeSummary[[#Totals],[Area (sqft)]]</f>
        <v>#DIV/0!</v>
      </c>
      <c r="R37" s="506" t="e">
        <f>INDEX(ECMData_EndUse[#All],MATCH(ECMData_EUI[[#This Row],[Model Run]],ECMData_EndUse[[#All],[Model Run]],0),MATCH(_xlfn.CONCAT(R$29," - Total"),ECMData_EndUse[#Headers],0))/MasterRoomList_SpaceTypeSummary[[#Totals],[Area (sqft)]]</f>
        <v>#DIV/0!</v>
      </c>
      <c r="S37" s="506" t="e">
        <f>INDEX(ECMData_EndUse[#All],MATCH(ECMData_EUI[[#This Row],[Model Run]],ECMData_EndUse[[#All],[Model Run]],0),MATCH(_xlfn.CONCAT(S$29," - Total"),ECMData_EndUse[#Headers],0))/MasterRoomList_SpaceTypeSummary[[#Totals],[Area (sqft)]]</f>
        <v>#DIV/0!</v>
      </c>
      <c r="T37" s="506" t="e">
        <f>INDEX(ECMData_EndUse[#All],MATCH(ECMData_EUI[[#This Row],[Model Run]],ECMData_EndUse[[#All],[Model Run]],0),MATCH(_xlfn.CONCAT(T$29," - Total"),ECMData_EndUse[#Headers],0))/MasterRoomList_SpaceTypeSummary[[#Totals],[Area (sqft)]]</f>
        <v>#DIV/0!</v>
      </c>
      <c r="U37" s="506" t="e">
        <f>INDEX(ECMData_EndUse[#All],MATCH(ECMData_EUI[[#This Row],[Model Run]],ECMData_EndUse[[#All],[Model Run]],0),MATCH(_xlfn.CONCAT(U$29," - Total"),ECMData_EndUse[#Headers],0))/MasterRoomList_SpaceTypeSummary[[#Totals],[Area (sqft)]]</f>
        <v>#DIV/0!</v>
      </c>
      <c r="V37" s="554" t="e">
        <f>INDEX(ECMData_EndUse[#All],MATCH(ECMData_EUI[[#This Row],[Model Run]],ECMData_EndUse[[#All],[Model Run]],0),MATCH(_xlfn.CONCAT(V$29," - Total"),ECMData_EndUse[#Headers],0))/MasterRoomList_SpaceTypeSummary[[#Totals],[Area (sqft)]]</f>
        <v>#DIV/0!</v>
      </c>
      <c r="W37" s="554" t="e">
        <f>INDEX(ECMData_EndUse[#All],MATCH(ECMData_EUI[[#This Row],[Model Run]],ECMData_EndUse[[#All],[Model Run]],0),MATCH(_xlfn.CONCAT(W$29," - Total"),ECMData_EndUse[#Headers],0))/MasterRoomList_SpaceTypeSummary[[#Totals],[Area (sqft)]]</f>
        <v>#DIV/0!</v>
      </c>
      <c r="X37" s="506" t="e">
        <f>INDEX(ECMData_EndUse[#All],MATCH(ECMData_EUI[[#This Row],[Model Run]],ECMData_EndUse[[#All],[Model Run]],0),MATCH(_xlfn.CONCAT(X$29," - Total"),ECMData_EndUse[#Headers],0))/MasterRoomList_SpaceTypeSummary[[#Totals],[Area (sqft)]]</f>
        <v>#DIV/0!</v>
      </c>
      <c r="Y37" s="506" t="e">
        <f>INDEX(ECMData_EndUse[#All],MATCH(ECMData_EUI[[#This Row],[Model Run]],ECMData_EndUse[[#All],[Model Run]],0),MATCH(_xlfn.CONCAT(Y$29," - Total"),ECMData_EndUse[#Headers],0))/MasterRoomList_SpaceTypeSummary[[#Totals],[Area (sqft)]]</f>
        <v>#DIV/0!</v>
      </c>
      <c r="Z37" s="506" t="e">
        <f>INDEX(ECMData_EndUse[#All],MATCH(ECMData_EUI[[#This Row],[Model Run]],ECMData_EndUse[[#All],[Model Run]],0),MATCH(_xlfn.CONCAT(Z$29," - Total"),ECMData_EndUse[#Headers],0))/MasterRoomList_SpaceTypeSummary[[#Totals],[Area (sqft)]]</f>
        <v>#DIV/0!</v>
      </c>
      <c r="AA37" s="506" t="e">
        <f>INDEX(ECMData_EndUse[#All],MATCH(ECMData_EUI[[#This Row],[Model Run]],ECMData_EndUse[[#All],[Model Run]],0),MATCH(_xlfn.CONCAT(AA$29," - Total"),ECMData_EndUse[#Headers],0))/MasterRoomList_SpaceTypeSummary[[#Totals],[Area (sqft)]]</f>
        <v>#DIV/0!</v>
      </c>
      <c r="AB37" s="506" t="e">
        <f>INDEX(ECMData_EndUse[#All],MATCH(ECMData_EUI[[#This Row],[Model Run]],ECMData_EndUse[[#All],[Model Run]],0),MATCH(_xlfn.CONCAT(AB$29," - Total"),ECMData_EndUse[#Headers],0))/MasterRoomList_SpaceTypeSummary[[#Totals],[Area (sqft)]]</f>
        <v>#DIV/0!</v>
      </c>
      <c r="AC37" s="506" t="e">
        <f>INDEX(ECMData_EndUse[#All],MATCH(ECMData_EUI[[#This Row],[Model Run]],ECMData_EndUse[[#All],[Model Run]],0),MATCH(_xlfn.CONCAT(AC$29," - Total"),ECMData_EndUse[#Headers],0))/MasterRoomList_SpaceTypeSummary[[#Totals],[Area (sqft)]]</f>
        <v>#DIV/0!</v>
      </c>
      <c r="AD37" s="506" t="e">
        <f>INDEX(ECMData_EndUse[#All],MATCH(ECMData_EUI[[#This Row],[Model Run]],ECMData_EndUse[[#All],[Model Run]],0),MATCH(_xlfn.CONCAT(AD$29," - Total"),ECMData_EndUse[#Headers],0))/MasterRoomList_SpaceTypeSummary[[#Totals],[Area (sqft)]]</f>
        <v>#DIV/0!</v>
      </c>
      <c r="AE37" s="506" t="e">
        <f>INDEX(ECMData_EndUse[#All],MATCH(ECMData_EUI[[#This Row],[Model Run]],ECMData_EndUse[[#All],[Model Run]],0),MATCH(_xlfn.CONCAT(AE$29," - Total"),ECMData_EndUse[#Headers],0))/MasterRoomList_SpaceTypeSummary[[#Totals],[Area (sqft)]]</f>
        <v>#DIV/0!</v>
      </c>
      <c r="AF37" s="506" t="e">
        <f>INDEX(ECMData_EndUse[#All],MATCH(ECMData_EUI[[#This Row],[Model Run]],ECMData_EndUse[[#All],[Model Run]],0),MATCH(_xlfn.CONCAT(AF$29," - Total"),ECMData_EndUse[#Headers],0))/MasterRoomList_SpaceTypeSummary[[#Totals],[Area (sqft)]]</f>
        <v>#DIV/0!</v>
      </c>
      <c r="AG37" s="506" t="e">
        <f>INDEX(ECMData_EndUse[#All],MATCH(ECMData_EUI[[#This Row],[Model Run]],ECMData_EndUse[[#All],[Model Run]],0),MATCH(_xlfn.CONCAT(AG$29," - Total"),ECMData_EndUse[#Headers],0))/MasterRoomList_SpaceTypeSummary[[#Totals],[Area (sqft)]]</f>
        <v>#DIV/0!</v>
      </c>
      <c r="AH37" s="553" t="e">
        <f>SUM(ECMData_EUI[[#This Row],[Internal Lighting]:[Other Processes]])</f>
        <v>#DIV/0!</v>
      </c>
      <c r="AI37" s="506"/>
    </row>
    <row r="38" spans="13:127" ht="15.75" thickBot="1" x14ac:dyDescent="0.3">
      <c r="M38" s="18" t="str">
        <f t="shared" si="5"/>
        <v>Proposed</v>
      </c>
      <c r="N38" s="590" t="str">
        <f t="shared" ca="1" si="6"/>
        <v>Proposed Design</v>
      </c>
      <c r="O38" s="507" t="e">
        <f>INDEX(ECMData_EndUse[#All],MATCH(ECMData_EUI[[#This Row],[Model Run]],ECMData_EndUse[[#All],[Model Run]],0),MATCH(_xlfn.CONCAT(O$29," - Total"),ECMData_EndUse[#Headers],0))/MasterRoomList_SpaceTypeSummary[[#Totals],[Area (sqft)]]</f>
        <v>#DIV/0!</v>
      </c>
      <c r="P38" s="507" t="e">
        <f>INDEX(ECMData_EndUse[#All],MATCH(ECMData_EUI[[#This Row],[Model Run]],ECMData_EndUse[[#All],[Model Run]],0),MATCH(_xlfn.CONCAT(P$29," - Total"),ECMData_EndUse[#Headers],0))/MasterRoomList_SpaceTypeSummary[[#Totals],[Area (sqft)]]</f>
        <v>#DIV/0!</v>
      </c>
      <c r="Q38" s="507" t="e">
        <f>INDEX(ECMData_EndUse[#All],MATCH(ECMData_EUI[[#This Row],[Model Run]],ECMData_EndUse[[#All],[Model Run]],0),MATCH(_xlfn.CONCAT(Q$29," - Total"),ECMData_EndUse[#Headers],0))/MasterRoomList_SpaceTypeSummary[[#Totals],[Area (sqft)]]</f>
        <v>#DIV/0!</v>
      </c>
      <c r="R38" s="507" t="e">
        <f>INDEX(ECMData_EndUse[#All],MATCH(ECMData_EUI[[#This Row],[Model Run]],ECMData_EndUse[[#All],[Model Run]],0),MATCH(_xlfn.CONCAT(R$29," - Total"),ECMData_EndUse[#Headers],0))/MasterRoomList_SpaceTypeSummary[[#Totals],[Area (sqft)]]</f>
        <v>#DIV/0!</v>
      </c>
      <c r="S38" s="507" t="e">
        <f>INDEX(ECMData_EndUse[#All],MATCH(ECMData_EUI[[#This Row],[Model Run]],ECMData_EndUse[[#All],[Model Run]],0),MATCH(_xlfn.CONCAT(S$29," - Total"),ECMData_EndUse[#Headers],0))/MasterRoomList_SpaceTypeSummary[[#Totals],[Area (sqft)]]</f>
        <v>#DIV/0!</v>
      </c>
      <c r="T38" s="507" t="e">
        <f>INDEX(ECMData_EndUse[#All],MATCH(ECMData_EUI[[#This Row],[Model Run]],ECMData_EndUse[[#All],[Model Run]],0),MATCH(_xlfn.CONCAT(T$29," - Total"),ECMData_EndUse[#Headers],0))/MasterRoomList_SpaceTypeSummary[[#Totals],[Area (sqft)]]</f>
        <v>#DIV/0!</v>
      </c>
      <c r="U38" s="507" t="e">
        <f>INDEX(ECMData_EndUse[#All],MATCH(ECMData_EUI[[#This Row],[Model Run]],ECMData_EndUse[[#All],[Model Run]],0),MATCH(_xlfn.CONCAT(U$29," - Total"),ECMData_EndUse[#Headers],0))/MasterRoomList_SpaceTypeSummary[[#Totals],[Area (sqft)]]</f>
        <v>#DIV/0!</v>
      </c>
      <c r="V38" s="555" t="e">
        <f>INDEX(ECMData_EndUse[#All],MATCH(ECMData_EUI[[#This Row],[Model Run]],ECMData_EndUse[[#All],[Model Run]],0),MATCH(_xlfn.CONCAT(V$29," - Total"),ECMData_EndUse[#Headers],0))/MasterRoomList_SpaceTypeSummary[[#Totals],[Area (sqft)]]</f>
        <v>#DIV/0!</v>
      </c>
      <c r="W38" s="555" t="e">
        <f>INDEX(ECMData_EndUse[#All],MATCH(ECMData_EUI[[#This Row],[Model Run]],ECMData_EndUse[[#All],[Model Run]],0),MATCH(_xlfn.CONCAT(W$29," - Total"),ECMData_EndUse[#Headers],0))/MasterRoomList_SpaceTypeSummary[[#Totals],[Area (sqft)]]</f>
        <v>#DIV/0!</v>
      </c>
      <c r="X38" s="507" t="e">
        <f>INDEX(ECMData_EndUse[#All],MATCH(ECMData_EUI[[#This Row],[Model Run]],ECMData_EndUse[[#All],[Model Run]],0),MATCH(_xlfn.CONCAT(X$29," - Total"),ECMData_EndUse[#Headers],0))/MasterRoomList_SpaceTypeSummary[[#Totals],[Area (sqft)]]</f>
        <v>#DIV/0!</v>
      </c>
      <c r="Y38" s="507" t="e">
        <f>INDEX(ECMData_EndUse[#All],MATCH(ECMData_EUI[[#This Row],[Model Run]],ECMData_EndUse[[#All],[Model Run]],0),MATCH(_xlfn.CONCAT(Y$29," - Total"),ECMData_EndUse[#Headers],0))/MasterRoomList_SpaceTypeSummary[[#Totals],[Area (sqft)]]</f>
        <v>#DIV/0!</v>
      </c>
      <c r="Z38" s="507" t="e">
        <f>INDEX(ECMData_EndUse[#All],MATCH(ECMData_EUI[[#This Row],[Model Run]],ECMData_EndUse[[#All],[Model Run]],0),MATCH(_xlfn.CONCAT(Z$29," - Total"),ECMData_EndUse[#Headers],0))/MasterRoomList_SpaceTypeSummary[[#Totals],[Area (sqft)]]</f>
        <v>#DIV/0!</v>
      </c>
      <c r="AA38" s="507" t="e">
        <f>INDEX(ECMData_EndUse[#All],MATCH(ECMData_EUI[[#This Row],[Model Run]],ECMData_EndUse[[#All],[Model Run]],0),MATCH(_xlfn.CONCAT(AA$29," - Total"),ECMData_EndUse[#Headers],0))/MasterRoomList_SpaceTypeSummary[[#Totals],[Area (sqft)]]</f>
        <v>#DIV/0!</v>
      </c>
      <c r="AB38" s="507" t="e">
        <f>INDEX(ECMData_EndUse[#All],MATCH(ECMData_EUI[[#This Row],[Model Run]],ECMData_EndUse[[#All],[Model Run]],0),MATCH(_xlfn.CONCAT(AB$29," - Total"),ECMData_EndUse[#Headers],0))/MasterRoomList_SpaceTypeSummary[[#Totals],[Area (sqft)]]</f>
        <v>#DIV/0!</v>
      </c>
      <c r="AC38" s="507" t="e">
        <f>INDEX(ECMData_EndUse[#All],MATCH(ECMData_EUI[[#This Row],[Model Run]],ECMData_EndUse[[#All],[Model Run]],0),MATCH(_xlfn.CONCAT(AC$29," - Total"),ECMData_EndUse[#Headers],0))/MasterRoomList_SpaceTypeSummary[[#Totals],[Area (sqft)]]</f>
        <v>#DIV/0!</v>
      </c>
      <c r="AD38" s="507" t="e">
        <f>INDEX(ECMData_EndUse[#All],MATCH(ECMData_EUI[[#This Row],[Model Run]],ECMData_EndUse[[#All],[Model Run]],0),MATCH(_xlfn.CONCAT(AD$29," - Total"),ECMData_EndUse[#Headers],0))/MasterRoomList_SpaceTypeSummary[[#Totals],[Area (sqft)]]</f>
        <v>#DIV/0!</v>
      </c>
      <c r="AE38" s="507" t="e">
        <f>INDEX(ECMData_EndUse[#All],MATCH(ECMData_EUI[[#This Row],[Model Run]],ECMData_EndUse[[#All],[Model Run]],0),MATCH(_xlfn.CONCAT(AE$29," - Total"),ECMData_EndUse[#Headers],0))/MasterRoomList_SpaceTypeSummary[[#Totals],[Area (sqft)]]</f>
        <v>#DIV/0!</v>
      </c>
      <c r="AF38" s="507" t="e">
        <f>INDEX(ECMData_EndUse[#All],MATCH(ECMData_EUI[[#This Row],[Model Run]],ECMData_EndUse[[#All],[Model Run]],0),MATCH(_xlfn.CONCAT(AF$29," - Total"),ECMData_EndUse[#Headers],0))/MasterRoomList_SpaceTypeSummary[[#Totals],[Area (sqft)]]</f>
        <v>#DIV/0!</v>
      </c>
      <c r="AG38" s="507" t="e">
        <f>INDEX(ECMData_EndUse[#All],MATCH(ECMData_EUI[[#This Row],[Model Run]],ECMData_EndUse[[#All],[Model Run]],0),MATCH(_xlfn.CONCAT(AG$29," - Total"),ECMData_EndUse[#Headers],0))/MasterRoomList_SpaceTypeSummary[[#Totals],[Area (sqft)]]</f>
        <v>#DIV/0!</v>
      </c>
      <c r="AH38" s="556" t="e">
        <f>SUM(ECMData_EUI[[#This Row],[Internal Lighting]:[Other Processes]])</f>
        <v>#DIV/0!</v>
      </c>
    </row>
    <row r="58" ht="15" customHeight="1" x14ac:dyDescent="0.25"/>
    <row r="59" ht="15" customHeight="1" x14ac:dyDescent="0.25"/>
    <row r="60" ht="15" customHeight="1" x14ac:dyDescent="0.25"/>
    <row r="61" ht="15" customHeight="1" x14ac:dyDescent="0.25"/>
  </sheetData>
  <mergeCells count="6">
    <mergeCell ref="M28:N28"/>
    <mergeCell ref="EB4:EC4"/>
    <mergeCell ref="G4:I4"/>
    <mergeCell ref="J4:K4"/>
    <mergeCell ref="C4:F4"/>
    <mergeCell ref="M16:N16"/>
  </mergeCells>
  <phoneticPr fontId="49" type="noConversion"/>
  <dataValidations disablePrompts="1" count="1">
    <dataValidation type="list" allowBlank="1" showInputMessage="1" showErrorMessage="1" sqref="ED3:EV3 O4:BS4" xr:uid="{09745218-F390-4C60-8669-C0C19A7A6B58}">
      <formula1>"Yes, No"</formula1>
    </dataValidation>
  </dataValidations>
  <pageMargins left="0.7" right="0.7" top="0.75" bottom="0.75" header="0.3" footer="0.3"/>
  <pageSetup orientation="portrait" r:id="rId1"/>
  <drawing r:id="rId2"/>
  <tableParts count="5">
    <tablePart r:id="rId3"/>
    <tablePart r:id="rId4"/>
    <tablePart r:id="rId5"/>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A447D-765E-492C-9285-10775B5E3EBB}">
  <sheetPr codeName="Sheet18">
    <tabColor theme="5" tint="0.79998168889431442"/>
  </sheetPr>
  <dimension ref="A3:T101"/>
  <sheetViews>
    <sheetView zoomScale="80" zoomScaleNormal="80" workbookViewId="0">
      <selection activeCell="E13" sqref="E13"/>
    </sheetView>
  </sheetViews>
  <sheetFormatPr defaultRowHeight="15" x14ac:dyDescent="0.25"/>
  <cols>
    <col min="1" max="1" width="32.85546875" bestFit="1" customWidth="1"/>
    <col min="2" max="2" width="21.42578125" style="19" bestFit="1" customWidth="1"/>
    <col min="3" max="3" width="22" style="19" bestFit="1" customWidth="1"/>
    <col min="4" max="4" width="19.5703125" style="19" bestFit="1" customWidth="1"/>
    <col min="5" max="5" width="19.140625" style="19" bestFit="1" customWidth="1"/>
    <col min="6" max="6" width="12.85546875" style="19" bestFit="1" customWidth="1"/>
    <col min="7" max="7" width="18.140625" style="19" bestFit="1" customWidth="1"/>
    <col min="8" max="8" width="18" style="19" bestFit="1" customWidth="1"/>
    <col min="9" max="9" width="25.5703125" style="19" bestFit="1" customWidth="1"/>
    <col min="10" max="10" width="27.28515625" style="19" bestFit="1" customWidth="1"/>
    <col min="11" max="11" width="27" style="19" bestFit="1" customWidth="1"/>
    <col min="12" max="12" width="28.42578125" style="19" bestFit="1" customWidth="1"/>
    <col min="13" max="13" width="18.5703125" style="19" bestFit="1" customWidth="1"/>
    <col min="14" max="14" width="27.85546875" style="19" bestFit="1" customWidth="1"/>
    <col min="15" max="15" width="13.85546875" style="19" bestFit="1" customWidth="1"/>
    <col min="16" max="16" width="25.85546875" style="19" bestFit="1" customWidth="1"/>
    <col min="17" max="17" width="20.140625" style="19" bestFit="1" customWidth="1"/>
    <col min="18" max="18" width="30.85546875" style="19" bestFit="1" customWidth="1"/>
    <col min="19" max="19" width="20.140625" style="19" bestFit="1" customWidth="1"/>
    <col min="20" max="20" width="21.28515625" style="19" bestFit="1" customWidth="1"/>
  </cols>
  <sheetData>
    <row r="3" spans="1:20" ht="15.75" thickBot="1" x14ac:dyDescent="0.3"/>
    <row r="4" spans="1:20" x14ac:dyDescent="0.25">
      <c r="A4" s="502" t="s">
        <v>749</v>
      </c>
      <c r="B4" s="759"/>
      <c r="C4" s="759"/>
      <c r="D4" s="759"/>
      <c r="E4" s="759"/>
      <c r="F4" s="759"/>
      <c r="G4" s="759"/>
      <c r="H4" s="759"/>
      <c r="I4" s="759"/>
      <c r="J4" s="759"/>
      <c r="K4" s="759"/>
      <c r="L4" s="759"/>
      <c r="M4" s="759"/>
      <c r="N4" s="759"/>
      <c r="O4" s="759"/>
      <c r="P4" s="759"/>
      <c r="Q4" s="759"/>
      <c r="R4" s="759"/>
      <c r="S4" s="759"/>
      <c r="T4" s="760"/>
    </row>
    <row r="5" spans="1:20" x14ac:dyDescent="0.25">
      <c r="A5" s="503"/>
      <c r="B5" s="757" t="s">
        <v>886</v>
      </c>
      <c r="C5" s="757"/>
      <c r="D5" s="757"/>
      <c r="E5" s="757"/>
      <c r="F5" s="757"/>
      <c r="G5" s="757"/>
      <c r="H5" s="757"/>
      <c r="I5" s="757"/>
      <c r="J5" s="757"/>
      <c r="K5" s="757"/>
      <c r="L5" s="757"/>
      <c r="M5" s="757"/>
      <c r="N5" s="757"/>
      <c r="O5" s="757"/>
      <c r="P5" s="757"/>
      <c r="Q5" s="757"/>
      <c r="R5" s="757"/>
      <c r="S5" s="757"/>
      <c r="T5" s="758"/>
    </row>
    <row r="6" spans="1:20" x14ac:dyDescent="0.25">
      <c r="A6" s="655" t="s">
        <v>2087</v>
      </c>
      <c r="B6" s="656" t="s">
        <v>887</v>
      </c>
      <c r="C6" s="656" t="s">
        <v>888</v>
      </c>
      <c r="D6" s="656" t="s">
        <v>889</v>
      </c>
      <c r="E6" s="656" t="s">
        <v>890</v>
      </c>
      <c r="F6" s="656" t="s">
        <v>891</v>
      </c>
      <c r="G6" s="656" t="s">
        <v>892</v>
      </c>
      <c r="H6" s="656" t="s">
        <v>893</v>
      </c>
      <c r="I6" s="656" t="s">
        <v>894</v>
      </c>
      <c r="J6" s="656" t="s">
        <v>895</v>
      </c>
      <c r="K6" s="656" t="s">
        <v>896</v>
      </c>
      <c r="L6" s="656" t="s">
        <v>897</v>
      </c>
      <c r="M6" s="656" t="s">
        <v>898</v>
      </c>
      <c r="N6" s="656" t="s">
        <v>899</v>
      </c>
      <c r="O6" s="656" t="s">
        <v>900</v>
      </c>
      <c r="P6" s="656" t="s">
        <v>901</v>
      </c>
      <c r="Q6" s="656" t="s">
        <v>902</v>
      </c>
      <c r="R6" s="656" t="s">
        <v>903</v>
      </c>
      <c r="S6" s="656" t="s">
        <v>904</v>
      </c>
      <c r="T6" s="657" t="s">
        <v>866</v>
      </c>
    </row>
    <row r="7" spans="1:20" x14ac:dyDescent="0.25">
      <c r="A7" s="648" t="s">
        <v>2083</v>
      </c>
      <c r="B7" s="499"/>
      <c r="C7" s="499"/>
      <c r="D7" s="499"/>
      <c r="E7" s="499"/>
      <c r="F7" s="499"/>
      <c r="G7" s="499"/>
      <c r="H7" s="499"/>
      <c r="I7" s="499"/>
      <c r="J7" s="499"/>
      <c r="K7" s="499"/>
      <c r="L7" s="499"/>
      <c r="M7" s="499"/>
      <c r="N7" s="499"/>
      <c r="O7" s="499"/>
      <c r="P7" s="499"/>
      <c r="Q7" s="499"/>
      <c r="R7" s="499"/>
      <c r="S7" s="499"/>
      <c r="T7" s="650"/>
    </row>
    <row r="8" spans="1:20" x14ac:dyDescent="0.25">
      <c r="A8" s="649" t="s">
        <v>2079</v>
      </c>
      <c r="B8" s="647"/>
      <c r="C8" s="647"/>
      <c r="D8" s="647"/>
      <c r="E8" s="647"/>
      <c r="F8" s="647"/>
      <c r="G8" s="647"/>
      <c r="H8" s="647"/>
      <c r="I8" s="647"/>
      <c r="J8" s="647"/>
      <c r="K8" s="647"/>
      <c r="L8" s="647"/>
      <c r="M8" s="647"/>
      <c r="N8" s="647"/>
      <c r="O8" s="647"/>
      <c r="P8" s="647"/>
      <c r="Q8" s="647"/>
      <c r="R8" s="647"/>
      <c r="S8" s="647"/>
      <c r="T8" s="651"/>
    </row>
    <row r="9" spans="1:20" x14ac:dyDescent="0.25">
      <c r="A9" s="649" t="s">
        <v>2084</v>
      </c>
      <c r="B9" s="646"/>
      <c r="C9" s="646"/>
      <c r="D9" s="646"/>
      <c r="E9" s="646"/>
      <c r="F9" s="646"/>
      <c r="G9" s="646"/>
      <c r="H9" s="646"/>
      <c r="I9" s="646"/>
      <c r="J9" s="646"/>
      <c r="K9" s="646"/>
      <c r="L9" s="646"/>
      <c r="M9" s="646"/>
      <c r="N9" s="646"/>
      <c r="O9" s="646"/>
      <c r="P9" s="646"/>
      <c r="Q9" s="646"/>
      <c r="R9" s="646"/>
      <c r="S9" s="646"/>
      <c r="T9" s="652"/>
    </row>
    <row r="10" spans="1:20" ht="15.75" thickBot="1" x14ac:dyDescent="0.3">
      <c r="A10" s="649" t="s">
        <v>2080</v>
      </c>
      <c r="B10" s="653"/>
      <c r="C10" s="653"/>
      <c r="D10" s="653"/>
      <c r="E10" s="653"/>
      <c r="F10" s="653"/>
      <c r="G10" s="653"/>
      <c r="H10" s="653"/>
      <c r="I10" s="653"/>
      <c r="J10" s="653"/>
      <c r="K10" s="653"/>
      <c r="L10" s="653"/>
      <c r="M10" s="653"/>
      <c r="N10" s="653"/>
      <c r="O10" s="653"/>
      <c r="P10" s="653"/>
      <c r="Q10" s="653"/>
      <c r="R10" s="653"/>
      <c r="S10" s="653"/>
      <c r="T10" s="654"/>
    </row>
    <row r="11" spans="1:20" ht="15.75" thickBot="1" x14ac:dyDescent="0.3">
      <c r="A11" s="500" t="s">
        <v>2085</v>
      </c>
      <c r="B11" s="501">
        <f>SUM(B7:T7)</f>
        <v>0</v>
      </c>
      <c r="C11" s="500" t="s">
        <v>905</v>
      </c>
      <c r="D11" s="504">
        <f>IFERROR($B11*INDEX(Utility_Rates[#All],MATCH("Electrical",Utility_Rates[[#All],[Power Type]],0),MATCH("Cost ($/kBTU) Conversion",Utility_Rates[#Headers],0)),"")</f>
        <v>0</v>
      </c>
      <c r="E11" s="153"/>
      <c r="F11" s="588"/>
      <c r="G11" s="153"/>
      <c r="H11" s="153"/>
      <c r="I11" s="153"/>
      <c r="J11" s="153"/>
      <c r="K11" s="153"/>
      <c r="L11" s="153"/>
      <c r="M11" s="153"/>
      <c r="N11" s="153"/>
      <c r="O11" s="153"/>
      <c r="P11" s="153"/>
      <c r="Q11" s="153"/>
      <c r="R11" s="153"/>
      <c r="S11" s="153"/>
      <c r="T11" s="153"/>
    </row>
    <row r="12" spans="1:20" ht="15.75" thickBot="1" x14ac:dyDescent="0.3">
      <c r="A12" s="500" t="s">
        <v>2086</v>
      </c>
      <c r="B12" s="501">
        <f>SUM(B9:T9)</f>
        <v>0</v>
      </c>
      <c r="C12" s="500" t="s">
        <v>906</v>
      </c>
      <c r="D12" s="504">
        <f>IFERROR($B12*INDEX(Utility_Rates[#All],MATCH("Natural Gas",Utility_Rates[[#All],[Power Type]],0),MATCH("Cost ($/kBTU) Conversion",Utility_Rates[#Headers],0)),"")</f>
        <v>0</v>
      </c>
      <c r="E12" s="153"/>
      <c r="F12" s="588"/>
      <c r="G12" s="153"/>
      <c r="H12" s="153"/>
      <c r="I12" s="153"/>
      <c r="J12" s="153"/>
      <c r="K12" s="153"/>
      <c r="L12" s="153"/>
      <c r="M12" s="153"/>
      <c r="N12" s="153"/>
      <c r="O12" s="153"/>
      <c r="P12" s="153"/>
      <c r="Q12" s="153"/>
      <c r="R12" s="153"/>
      <c r="S12" s="153"/>
      <c r="T12" s="153"/>
    </row>
    <row r="13" spans="1:20" ht="15.75" thickBot="1" x14ac:dyDescent="0.3">
      <c r="A13" s="500" t="s">
        <v>907</v>
      </c>
      <c r="B13" s="501">
        <f>SUM(B11:B12)</f>
        <v>0</v>
      </c>
      <c r="C13" s="500" t="s">
        <v>908</v>
      </c>
      <c r="D13" s="504">
        <f>SUM(D11:D12)</f>
        <v>0</v>
      </c>
    </row>
    <row r="14" spans="1:20" ht="15.75" thickBot="1" x14ac:dyDescent="0.3"/>
    <row r="15" spans="1:20" x14ac:dyDescent="0.25">
      <c r="A15" s="502" t="s">
        <v>884</v>
      </c>
      <c r="B15" s="759" t="s">
        <v>750</v>
      </c>
      <c r="C15" s="759"/>
      <c r="D15" s="759"/>
      <c r="E15" s="759"/>
      <c r="F15" s="759"/>
      <c r="G15" s="759"/>
      <c r="H15" s="759"/>
      <c r="I15" s="759"/>
      <c r="J15" s="759"/>
      <c r="K15" s="759"/>
      <c r="L15" s="759"/>
      <c r="M15" s="759"/>
      <c r="N15" s="759"/>
      <c r="O15" s="759"/>
      <c r="P15" s="759"/>
      <c r="Q15" s="759"/>
      <c r="R15" s="759"/>
      <c r="S15" s="759"/>
      <c r="T15" s="760"/>
    </row>
    <row r="16" spans="1:20" x14ac:dyDescent="0.25">
      <c r="A16" s="503"/>
      <c r="B16" s="757" t="s">
        <v>886</v>
      </c>
      <c r="C16" s="757"/>
      <c r="D16" s="757"/>
      <c r="E16" s="757"/>
      <c r="F16" s="757"/>
      <c r="G16" s="757"/>
      <c r="H16" s="757"/>
      <c r="I16" s="757"/>
      <c r="J16" s="757"/>
      <c r="K16" s="757"/>
      <c r="L16" s="757"/>
      <c r="M16" s="757"/>
      <c r="N16" s="757"/>
      <c r="O16" s="757"/>
      <c r="P16" s="757"/>
      <c r="Q16" s="757"/>
      <c r="R16" s="757"/>
      <c r="S16" s="757"/>
      <c r="T16" s="758"/>
    </row>
    <row r="17" spans="1:20" x14ac:dyDescent="0.25">
      <c r="A17" s="655" t="s">
        <v>2087</v>
      </c>
      <c r="B17" s="656" t="s">
        <v>887</v>
      </c>
      <c r="C17" s="656" t="s">
        <v>888</v>
      </c>
      <c r="D17" s="656" t="s">
        <v>889</v>
      </c>
      <c r="E17" s="656" t="s">
        <v>890</v>
      </c>
      <c r="F17" s="656" t="s">
        <v>891</v>
      </c>
      <c r="G17" s="656" t="s">
        <v>892</v>
      </c>
      <c r="H17" s="656" t="s">
        <v>893</v>
      </c>
      <c r="I17" s="656" t="s">
        <v>894</v>
      </c>
      <c r="J17" s="656" t="s">
        <v>895</v>
      </c>
      <c r="K17" s="656" t="s">
        <v>896</v>
      </c>
      <c r="L17" s="656" t="s">
        <v>897</v>
      </c>
      <c r="M17" s="656" t="s">
        <v>898</v>
      </c>
      <c r="N17" s="656" t="s">
        <v>899</v>
      </c>
      <c r="O17" s="656" t="s">
        <v>900</v>
      </c>
      <c r="P17" s="656" t="s">
        <v>901</v>
      </c>
      <c r="Q17" s="656" t="s">
        <v>902</v>
      </c>
      <c r="R17" s="656" t="s">
        <v>903</v>
      </c>
      <c r="S17" s="656" t="s">
        <v>904</v>
      </c>
      <c r="T17" s="657" t="s">
        <v>866</v>
      </c>
    </row>
    <row r="18" spans="1:20" x14ac:dyDescent="0.25">
      <c r="A18" s="648" t="s">
        <v>2083</v>
      </c>
      <c r="B18" s="499"/>
      <c r="C18" s="499"/>
      <c r="D18" s="499"/>
      <c r="E18" s="499"/>
      <c r="F18" s="499"/>
      <c r="G18" s="499"/>
      <c r="H18" s="499"/>
      <c r="I18" s="499"/>
      <c r="J18" s="499"/>
      <c r="K18" s="499"/>
      <c r="L18" s="499"/>
      <c r="M18" s="499"/>
      <c r="N18" s="499"/>
      <c r="O18" s="499"/>
      <c r="P18" s="499"/>
      <c r="Q18" s="499"/>
      <c r="R18" s="499"/>
      <c r="S18" s="499"/>
      <c r="T18" s="650"/>
    </row>
    <row r="19" spans="1:20" x14ac:dyDescent="0.25">
      <c r="A19" s="649" t="s">
        <v>2079</v>
      </c>
      <c r="B19" s="647"/>
      <c r="C19" s="647"/>
      <c r="D19" s="647"/>
      <c r="E19" s="647"/>
      <c r="F19" s="647"/>
      <c r="G19" s="647"/>
      <c r="H19" s="647"/>
      <c r="I19" s="647"/>
      <c r="J19" s="647"/>
      <c r="K19" s="647"/>
      <c r="L19" s="647"/>
      <c r="M19" s="647"/>
      <c r="N19" s="647"/>
      <c r="O19" s="647"/>
      <c r="P19" s="647"/>
      <c r="Q19" s="647"/>
      <c r="R19" s="647"/>
      <c r="S19" s="647"/>
      <c r="T19" s="651"/>
    </row>
    <row r="20" spans="1:20" x14ac:dyDescent="0.25">
      <c r="A20" s="649" t="s">
        <v>2084</v>
      </c>
      <c r="B20" s="646"/>
      <c r="C20" s="646"/>
      <c r="D20" s="646"/>
      <c r="E20" s="646"/>
      <c r="F20" s="646"/>
      <c r="G20" s="646"/>
      <c r="H20" s="646"/>
      <c r="I20" s="646"/>
      <c r="J20" s="646"/>
      <c r="K20" s="646"/>
      <c r="L20" s="646"/>
      <c r="M20" s="646"/>
      <c r="N20" s="646"/>
      <c r="O20" s="646"/>
      <c r="P20" s="646"/>
      <c r="Q20" s="646"/>
      <c r="R20" s="646"/>
      <c r="S20" s="646"/>
      <c r="T20" s="652"/>
    </row>
    <row r="21" spans="1:20" ht="15.75" thickBot="1" x14ac:dyDescent="0.3">
      <c r="A21" s="649" t="s">
        <v>2080</v>
      </c>
      <c r="B21" s="653"/>
      <c r="C21" s="653"/>
      <c r="D21" s="653"/>
      <c r="E21" s="653"/>
      <c r="F21" s="653"/>
      <c r="G21" s="653"/>
      <c r="H21" s="653"/>
      <c r="I21" s="653"/>
      <c r="J21" s="653"/>
      <c r="K21" s="653"/>
      <c r="L21" s="653"/>
      <c r="M21" s="653"/>
      <c r="N21" s="653"/>
      <c r="O21" s="653"/>
      <c r="P21" s="653"/>
      <c r="Q21" s="653"/>
      <c r="R21" s="653"/>
      <c r="S21" s="653"/>
      <c r="T21" s="654"/>
    </row>
    <row r="22" spans="1:20" ht="15.75" thickBot="1" x14ac:dyDescent="0.3">
      <c r="A22" s="500" t="s">
        <v>2081</v>
      </c>
      <c r="B22" s="501">
        <f>SUM(B18:T18)</f>
        <v>0</v>
      </c>
      <c r="C22" s="500" t="s">
        <v>905</v>
      </c>
      <c r="D22" s="504">
        <f>IFERROR($B22*INDEX(Utility_Rates[#All],MATCH("Electrical",Utility_Rates[[#All],[Power Type]],0),MATCH("Cost ($/kBTU) Conversion",Utility_Rates[#Headers],0)),"")</f>
        <v>0</v>
      </c>
      <c r="E22" s="153"/>
      <c r="F22" s="588"/>
      <c r="G22" s="153"/>
      <c r="H22" s="153"/>
      <c r="I22" s="153"/>
      <c r="J22" s="153"/>
      <c r="K22" s="153"/>
      <c r="L22" s="153"/>
      <c r="M22" s="153"/>
      <c r="N22" s="153"/>
      <c r="O22" s="153"/>
      <c r="P22" s="153"/>
      <c r="Q22" s="153"/>
      <c r="R22" s="153"/>
      <c r="S22" s="153"/>
      <c r="T22" s="153"/>
    </row>
    <row r="23" spans="1:20" ht="15.75" thickBot="1" x14ac:dyDescent="0.3">
      <c r="A23" s="500" t="s">
        <v>2082</v>
      </c>
      <c r="B23" s="501">
        <f>SUM(B20:T20)</f>
        <v>0</v>
      </c>
      <c r="C23" s="500" t="s">
        <v>906</v>
      </c>
      <c r="D23" s="504">
        <f>IFERROR($B23*INDEX(Utility_Rates[#All],MATCH("Natural Gas",Utility_Rates[[#All],[Power Type]],0),MATCH("Cost ($/kBTU) Conversion",Utility_Rates[#Headers],0)),"")</f>
        <v>0</v>
      </c>
      <c r="E23" s="153"/>
      <c r="F23" s="588"/>
      <c r="G23" s="153"/>
      <c r="H23" s="153"/>
      <c r="I23" s="153"/>
      <c r="J23" s="153"/>
      <c r="K23" s="153"/>
      <c r="L23" s="153"/>
      <c r="M23" s="153"/>
      <c r="N23" s="153"/>
      <c r="O23" s="153"/>
      <c r="P23" s="153"/>
      <c r="Q23" s="153"/>
      <c r="R23" s="153"/>
      <c r="S23" s="153"/>
      <c r="T23" s="153"/>
    </row>
    <row r="24" spans="1:20" ht="15.75" thickBot="1" x14ac:dyDescent="0.3">
      <c r="A24" s="500" t="s">
        <v>907</v>
      </c>
      <c r="B24" s="501">
        <f>SUM(B22:B23)</f>
        <v>0</v>
      </c>
      <c r="C24" s="500" t="s">
        <v>908</v>
      </c>
      <c r="D24" s="504">
        <f>SUM(D22:D23)</f>
        <v>0</v>
      </c>
    </row>
    <row r="25" spans="1:20" ht="15.75" thickBot="1" x14ac:dyDescent="0.3"/>
    <row r="26" spans="1:20" x14ac:dyDescent="0.25">
      <c r="A26" s="502" t="s">
        <v>877</v>
      </c>
      <c r="B26" s="759">
        <f>VLOOKUP(A26,'ECM Description'!$A$2:$C$15,2,FALSE)</f>
        <v>0</v>
      </c>
      <c r="C26" s="759"/>
      <c r="D26" s="759"/>
      <c r="E26" s="759"/>
      <c r="F26" s="759"/>
      <c r="G26" s="759"/>
      <c r="H26" s="759"/>
      <c r="I26" s="759"/>
      <c r="J26" s="759"/>
      <c r="K26" s="759"/>
      <c r="L26" s="759"/>
      <c r="M26" s="759"/>
      <c r="N26" s="759"/>
      <c r="O26" s="759"/>
      <c r="P26" s="759"/>
      <c r="Q26" s="759"/>
      <c r="R26" s="759"/>
      <c r="S26" s="759"/>
      <c r="T26" s="760"/>
    </row>
    <row r="27" spans="1:20" x14ac:dyDescent="0.25">
      <c r="A27" s="503"/>
      <c r="B27" s="757" t="s">
        <v>886</v>
      </c>
      <c r="C27" s="757"/>
      <c r="D27" s="757"/>
      <c r="E27" s="757"/>
      <c r="F27" s="757"/>
      <c r="G27" s="757"/>
      <c r="H27" s="757"/>
      <c r="I27" s="757"/>
      <c r="J27" s="757"/>
      <c r="K27" s="757"/>
      <c r="L27" s="757"/>
      <c r="M27" s="757"/>
      <c r="N27" s="757"/>
      <c r="O27" s="757"/>
      <c r="P27" s="757"/>
      <c r="Q27" s="757"/>
      <c r="R27" s="757"/>
      <c r="S27" s="757"/>
      <c r="T27" s="758"/>
    </row>
    <row r="28" spans="1:20" x14ac:dyDescent="0.25">
      <c r="A28" s="655" t="s">
        <v>2087</v>
      </c>
      <c r="B28" s="656" t="s">
        <v>887</v>
      </c>
      <c r="C28" s="656" t="s">
        <v>888</v>
      </c>
      <c r="D28" s="656" t="s">
        <v>889</v>
      </c>
      <c r="E28" s="656" t="s">
        <v>890</v>
      </c>
      <c r="F28" s="656" t="s">
        <v>891</v>
      </c>
      <c r="G28" s="656" t="s">
        <v>892</v>
      </c>
      <c r="H28" s="656" t="s">
        <v>893</v>
      </c>
      <c r="I28" s="656" t="s">
        <v>894</v>
      </c>
      <c r="J28" s="656" t="s">
        <v>895</v>
      </c>
      <c r="K28" s="656" t="s">
        <v>896</v>
      </c>
      <c r="L28" s="656" t="s">
        <v>897</v>
      </c>
      <c r="M28" s="656" t="s">
        <v>898</v>
      </c>
      <c r="N28" s="656" t="s">
        <v>899</v>
      </c>
      <c r="O28" s="656" t="s">
        <v>900</v>
      </c>
      <c r="P28" s="656" t="s">
        <v>901</v>
      </c>
      <c r="Q28" s="656" t="s">
        <v>902</v>
      </c>
      <c r="R28" s="656" t="s">
        <v>903</v>
      </c>
      <c r="S28" s="656" t="s">
        <v>904</v>
      </c>
      <c r="T28" s="657" t="s">
        <v>866</v>
      </c>
    </row>
    <row r="29" spans="1:20" x14ac:dyDescent="0.25">
      <c r="A29" s="648" t="s">
        <v>2083</v>
      </c>
      <c r="B29" s="499"/>
      <c r="C29" s="499"/>
      <c r="D29" s="499"/>
      <c r="E29" s="499"/>
      <c r="F29" s="499"/>
      <c r="G29" s="499"/>
      <c r="H29" s="499"/>
      <c r="I29" s="499"/>
      <c r="J29" s="499"/>
      <c r="K29" s="499"/>
      <c r="L29" s="499"/>
      <c r="M29" s="499"/>
      <c r="N29" s="499"/>
      <c r="O29" s="499"/>
      <c r="P29" s="499"/>
      <c r="Q29" s="499"/>
      <c r="R29" s="499"/>
      <c r="S29" s="499"/>
      <c r="T29" s="650"/>
    </row>
    <row r="30" spans="1:20" x14ac:dyDescent="0.25">
      <c r="A30" s="649" t="s">
        <v>2079</v>
      </c>
      <c r="B30" s="647"/>
      <c r="C30" s="647"/>
      <c r="D30" s="647"/>
      <c r="E30" s="647"/>
      <c r="F30" s="647"/>
      <c r="G30" s="647"/>
      <c r="H30" s="647"/>
      <c r="I30" s="647"/>
      <c r="J30" s="647"/>
      <c r="K30" s="647"/>
      <c r="L30" s="647"/>
      <c r="M30" s="647"/>
      <c r="N30" s="647"/>
      <c r="O30" s="647"/>
      <c r="P30" s="647"/>
      <c r="Q30" s="647"/>
      <c r="R30" s="647"/>
      <c r="S30" s="647"/>
      <c r="T30" s="651"/>
    </row>
    <row r="31" spans="1:20" x14ac:dyDescent="0.25">
      <c r="A31" s="649" t="s">
        <v>2084</v>
      </c>
      <c r="B31" s="646"/>
      <c r="C31" s="646"/>
      <c r="D31" s="646"/>
      <c r="E31" s="646"/>
      <c r="F31" s="646"/>
      <c r="G31" s="646"/>
      <c r="H31" s="646"/>
      <c r="I31" s="646"/>
      <c r="J31" s="646"/>
      <c r="K31" s="646"/>
      <c r="L31" s="646"/>
      <c r="M31" s="646"/>
      <c r="N31" s="646"/>
      <c r="O31" s="646"/>
      <c r="P31" s="646"/>
      <c r="Q31" s="646"/>
      <c r="R31" s="646"/>
      <c r="S31" s="646"/>
      <c r="T31" s="652"/>
    </row>
    <row r="32" spans="1:20" ht="15.75" thickBot="1" x14ac:dyDescent="0.3">
      <c r="A32" s="649" t="s">
        <v>2080</v>
      </c>
      <c r="B32" s="653"/>
      <c r="C32" s="653"/>
      <c r="D32" s="653"/>
      <c r="E32" s="653"/>
      <c r="F32" s="653"/>
      <c r="G32" s="653"/>
      <c r="H32" s="653"/>
      <c r="I32" s="653"/>
      <c r="J32" s="653"/>
      <c r="K32" s="653"/>
      <c r="L32" s="653"/>
      <c r="M32" s="653"/>
      <c r="N32" s="653"/>
      <c r="O32" s="653"/>
      <c r="P32" s="653"/>
      <c r="Q32" s="653"/>
      <c r="R32" s="653"/>
      <c r="S32" s="653"/>
      <c r="T32" s="654"/>
    </row>
    <row r="33" spans="1:20" ht="15.75" thickBot="1" x14ac:dyDescent="0.3">
      <c r="A33" s="500" t="s">
        <v>2081</v>
      </c>
      <c r="B33" s="501">
        <f>SUM(B29:T29)</f>
        <v>0</v>
      </c>
      <c r="C33" s="500" t="s">
        <v>905</v>
      </c>
      <c r="D33" s="504">
        <f>IFERROR($B33*INDEX(Utility_Rates[#All],MATCH("Electrical",Utility_Rates[[#All],[Power Type]],0),MATCH("Cost ($/kBTU) Conversion",Utility_Rates[#Headers],0)),"")</f>
        <v>0</v>
      </c>
      <c r="E33" s="153"/>
      <c r="F33" s="588"/>
      <c r="G33" s="153"/>
      <c r="H33" s="153"/>
      <c r="I33" s="153"/>
      <c r="J33" s="153"/>
      <c r="K33" s="153"/>
      <c r="L33" s="153"/>
      <c r="M33" s="153"/>
      <c r="N33" s="153"/>
      <c r="O33" s="153"/>
      <c r="P33" s="153"/>
      <c r="Q33" s="153"/>
      <c r="R33" s="153"/>
      <c r="S33" s="153"/>
      <c r="T33" s="153"/>
    </row>
    <row r="34" spans="1:20" ht="15.75" thickBot="1" x14ac:dyDescent="0.3">
      <c r="A34" s="500" t="s">
        <v>2082</v>
      </c>
      <c r="B34" s="501">
        <f>SUM(B31:T31)</f>
        <v>0</v>
      </c>
      <c r="C34" s="500" t="s">
        <v>906</v>
      </c>
      <c r="D34" s="504">
        <f>IFERROR($B34*INDEX(Utility_Rates[#All],MATCH("Natural Gas",Utility_Rates[[#All],[Power Type]],0),MATCH("Cost ($/kBTU) Conversion",Utility_Rates[#Headers],0)),"")</f>
        <v>0</v>
      </c>
      <c r="E34" s="153"/>
      <c r="F34" s="588"/>
      <c r="G34" s="153"/>
      <c r="H34" s="153"/>
      <c r="I34" s="153"/>
      <c r="J34" s="153"/>
      <c r="K34" s="153"/>
      <c r="L34" s="153"/>
      <c r="M34" s="153"/>
      <c r="N34" s="153"/>
      <c r="O34" s="153"/>
      <c r="P34" s="153"/>
      <c r="Q34" s="153"/>
      <c r="R34" s="153"/>
      <c r="S34" s="153"/>
      <c r="T34" s="153"/>
    </row>
    <row r="35" spans="1:20" ht="15.75" thickBot="1" x14ac:dyDescent="0.3">
      <c r="A35" s="500" t="s">
        <v>907</v>
      </c>
      <c r="B35" s="501">
        <f>SUM(B33:B34)</f>
        <v>0</v>
      </c>
      <c r="C35" s="500" t="s">
        <v>908</v>
      </c>
      <c r="D35" s="504">
        <f>SUM(D33:D34)</f>
        <v>0</v>
      </c>
    </row>
    <row r="36" spans="1:20" ht="15.75" thickBot="1" x14ac:dyDescent="0.3"/>
    <row r="37" spans="1:20" x14ac:dyDescent="0.25">
      <c r="A37" s="502" t="s">
        <v>878</v>
      </c>
      <c r="B37" s="759">
        <f>VLOOKUP(A37,'ECM Description'!$A$2:$C$15,2,FALSE)</f>
        <v>0</v>
      </c>
      <c r="C37" s="759"/>
      <c r="D37" s="759"/>
      <c r="E37" s="759"/>
      <c r="F37" s="759"/>
      <c r="G37" s="759"/>
      <c r="H37" s="759"/>
      <c r="I37" s="759"/>
      <c r="J37" s="759"/>
      <c r="K37" s="759"/>
      <c r="L37" s="759"/>
      <c r="M37" s="759"/>
      <c r="N37" s="759"/>
      <c r="O37" s="759"/>
      <c r="P37" s="759"/>
      <c r="Q37" s="759"/>
      <c r="R37" s="759"/>
      <c r="S37" s="759"/>
      <c r="T37" s="760"/>
    </row>
    <row r="38" spans="1:20" x14ac:dyDescent="0.25">
      <c r="A38" s="503"/>
      <c r="B38" s="757" t="s">
        <v>886</v>
      </c>
      <c r="C38" s="757"/>
      <c r="D38" s="757"/>
      <c r="E38" s="757"/>
      <c r="F38" s="757"/>
      <c r="G38" s="757"/>
      <c r="H38" s="757"/>
      <c r="I38" s="757"/>
      <c r="J38" s="757"/>
      <c r="K38" s="757"/>
      <c r="L38" s="757"/>
      <c r="M38" s="757"/>
      <c r="N38" s="757"/>
      <c r="O38" s="757"/>
      <c r="P38" s="757"/>
      <c r="Q38" s="757"/>
      <c r="R38" s="757"/>
      <c r="S38" s="757"/>
      <c r="T38" s="758"/>
    </row>
    <row r="39" spans="1:20" x14ac:dyDescent="0.25">
      <c r="A39" s="655" t="s">
        <v>2087</v>
      </c>
      <c r="B39" s="656" t="s">
        <v>887</v>
      </c>
      <c r="C39" s="656" t="s">
        <v>888</v>
      </c>
      <c r="D39" s="656" t="s">
        <v>889</v>
      </c>
      <c r="E39" s="656" t="s">
        <v>890</v>
      </c>
      <c r="F39" s="656" t="s">
        <v>891</v>
      </c>
      <c r="G39" s="656" t="s">
        <v>892</v>
      </c>
      <c r="H39" s="656" t="s">
        <v>893</v>
      </c>
      <c r="I39" s="656" t="s">
        <v>894</v>
      </c>
      <c r="J39" s="656" t="s">
        <v>895</v>
      </c>
      <c r="K39" s="656" t="s">
        <v>896</v>
      </c>
      <c r="L39" s="656" t="s">
        <v>897</v>
      </c>
      <c r="M39" s="656" t="s">
        <v>898</v>
      </c>
      <c r="N39" s="656" t="s">
        <v>899</v>
      </c>
      <c r="O39" s="656" t="s">
        <v>900</v>
      </c>
      <c r="P39" s="656" t="s">
        <v>901</v>
      </c>
      <c r="Q39" s="656" t="s">
        <v>902</v>
      </c>
      <c r="R39" s="656" t="s">
        <v>903</v>
      </c>
      <c r="S39" s="656" t="s">
        <v>904</v>
      </c>
      <c r="T39" s="657" t="s">
        <v>866</v>
      </c>
    </row>
    <row r="40" spans="1:20" x14ac:dyDescent="0.25">
      <c r="A40" s="648" t="s">
        <v>2083</v>
      </c>
      <c r="B40" s="499"/>
      <c r="C40" s="499"/>
      <c r="D40" s="499"/>
      <c r="E40" s="499"/>
      <c r="F40" s="499"/>
      <c r="G40" s="499"/>
      <c r="H40" s="499"/>
      <c r="I40" s="499"/>
      <c r="J40" s="499"/>
      <c r="K40" s="499"/>
      <c r="L40" s="499"/>
      <c r="M40" s="499"/>
      <c r="N40" s="499"/>
      <c r="O40" s="499"/>
      <c r="P40" s="499"/>
      <c r="Q40" s="499"/>
      <c r="R40" s="499"/>
      <c r="S40" s="499"/>
      <c r="T40" s="650"/>
    </row>
    <row r="41" spans="1:20" x14ac:dyDescent="0.25">
      <c r="A41" s="649" t="s">
        <v>2079</v>
      </c>
      <c r="B41" s="647"/>
      <c r="C41" s="647"/>
      <c r="D41" s="647"/>
      <c r="E41" s="647"/>
      <c r="F41" s="647"/>
      <c r="G41" s="647"/>
      <c r="H41" s="647"/>
      <c r="I41" s="647"/>
      <c r="J41" s="647"/>
      <c r="K41" s="647"/>
      <c r="L41" s="647"/>
      <c r="M41" s="647"/>
      <c r="N41" s="647"/>
      <c r="O41" s="647"/>
      <c r="P41" s="647"/>
      <c r="Q41" s="647"/>
      <c r="R41" s="647"/>
      <c r="S41" s="647"/>
      <c r="T41" s="651"/>
    </row>
    <row r="42" spans="1:20" x14ac:dyDescent="0.25">
      <c r="A42" s="649" t="s">
        <v>2084</v>
      </c>
      <c r="B42" s="646"/>
      <c r="C42" s="646"/>
      <c r="D42" s="646"/>
      <c r="E42" s="646"/>
      <c r="F42" s="646"/>
      <c r="G42" s="646"/>
      <c r="H42" s="646"/>
      <c r="I42" s="646"/>
      <c r="J42" s="646"/>
      <c r="K42" s="646"/>
      <c r="L42" s="646"/>
      <c r="M42" s="646"/>
      <c r="N42" s="646"/>
      <c r="O42" s="646"/>
      <c r="P42" s="646"/>
      <c r="Q42" s="646"/>
      <c r="R42" s="646"/>
      <c r="S42" s="646"/>
      <c r="T42" s="652"/>
    </row>
    <row r="43" spans="1:20" ht="15.75" thickBot="1" x14ac:dyDescent="0.3">
      <c r="A43" s="649" t="s">
        <v>2080</v>
      </c>
      <c r="B43" s="653"/>
      <c r="C43" s="653"/>
      <c r="D43" s="653"/>
      <c r="E43" s="653"/>
      <c r="F43" s="653"/>
      <c r="G43" s="653"/>
      <c r="H43" s="653"/>
      <c r="I43" s="653"/>
      <c r="J43" s="653"/>
      <c r="K43" s="653"/>
      <c r="L43" s="653"/>
      <c r="M43" s="653"/>
      <c r="N43" s="653"/>
      <c r="O43" s="653"/>
      <c r="P43" s="653"/>
      <c r="Q43" s="653"/>
      <c r="R43" s="653"/>
      <c r="S43" s="653"/>
      <c r="T43" s="654"/>
    </row>
    <row r="44" spans="1:20" ht="15.75" thickBot="1" x14ac:dyDescent="0.3">
      <c r="A44" s="500" t="s">
        <v>2081</v>
      </c>
      <c r="B44" s="501">
        <f>SUM(B40:T40)</f>
        <v>0</v>
      </c>
      <c r="C44" s="500" t="s">
        <v>905</v>
      </c>
      <c r="D44" s="504">
        <f>IFERROR($B44*INDEX(Utility_Rates[#All],MATCH("Electrical",Utility_Rates[[#All],[Power Type]],0),MATCH("Cost ($/kBTU) Conversion",Utility_Rates[#Headers],0)),"")</f>
        <v>0</v>
      </c>
      <c r="E44" s="153"/>
      <c r="F44" s="588"/>
      <c r="G44" s="153"/>
      <c r="H44" s="153"/>
      <c r="I44" s="153"/>
      <c r="J44" s="153"/>
      <c r="K44" s="153"/>
      <c r="L44" s="153"/>
      <c r="M44" s="153"/>
      <c r="N44" s="153"/>
      <c r="O44" s="153"/>
      <c r="P44" s="153"/>
      <c r="Q44" s="153"/>
      <c r="R44" s="153"/>
      <c r="S44" s="153"/>
      <c r="T44" s="153"/>
    </row>
    <row r="45" spans="1:20" ht="15.75" thickBot="1" x14ac:dyDescent="0.3">
      <c r="A45" s="500" t="s">
        <v>2082</v>
      </c>
      <c r="B45" s="501">
        <f>SUM(B42:T42)</f>
        <v>0</v>
      </c>
      <c r="C45" s="500" t="s">
        <v>906</v>
      </c>
      <c r="D45" s="504">
        <f>IFERROR($B45*INDEX(Utility_Rates[#All],MATCH("Natural Gas",Utility_Rates[[#All],[Power Type]],0),MATCH("Cost ($/kBTU) Conversion",Utility_Rates[#Headers],0)),"")</f>
        <v>0</v>
      </c>
      <c r="E45" s="153"/>
      <c r="F45" s="588"/>
      <c r="G45" s="153"/>
      <c r="H45" s="153"/>
      <c r="I45" s="153"/>
      <c r="J45" s="153"/>
      <c r="K45" s="153"/>
      <c r="L45" s="153"/>
      <c r="M45" s="153"/>
      <c r="N45" s="153"/>
      <c r="O45" s="153"/>
      <c r="P45" s="153"/>
      <c r="Q45" s="153"/>
      <c r="R45" s="153"/>
      <c r="S45" s="153"/>
      <c r="T45" s="153"/>
    </row>
    <row r="46" spans="1:20" ht="15.75" thickBot="1" x14ac:dyDescent="0.3">
      <c r="A46" s="500" t="s">
        <v>907</v>
      </c>
      <c r="B46" s="501">
        <f>SUM(B44:B45)</f>
        <v>0</v>
      </c>
      <c r="C46" s="500" t="s">
        <v>908</v>
      </c>
      <c r="D46" s="504">
        <f>SUM(D44:D45)</f>
        <v>0</v>
      </c>
    </row>
    <row r="47" spans="1:20" ht="15.75" thickBot="1" x14ac:dyDescent="0.3"/>
    <row r="48" spans="1:20" x14ac:dyDescent="0.25">
      <c r="A48" s="502" t="s">
        <v>879</v>
      </c>
      <c r="B48" s="759">
        <f>VLOOKUP(A48,'ECM Description'!$A$2:$C$15,2,FALSE)</f>
        <v>0</v>
      </c>
      <c r="C48" s="759"/>
      <c r="D48" s="759"/>
      <c r="E48" s="759"/>
      <c r="F48" s="759"/>
      <c r="G48" s="759"/>
      <c r="H48" s="759"/>
      <c r="I48" s="759"/>
      <c r="J48" s="759"/>
      <c r="K48" s="759"/>
      <c r="L48" s="759"/>
      <c r="M48" s="759"/>
      <c r="N48" s="759"/>
      <c r="O48" s="759"/>
      <c r="P48" s="759"/>
      <c r="Q48" s="759"/>
      <c r="R48" s="759"/>
      <c r="S48" s="759"/>
      <c r="T48" s="760"/>
    </row>
    <row r="49" spans="1:20" x14ac:dyDescent="0.25">
      <c r="A49" s="503"/>
      <c r="B49" s="757" t="s">
        <v>886</v>
      </c>
      <c r="C49" s="757"/>
      <c r="D49" s="757"/>
      <c r="E49" s="757"/>
      <c r="F49" s="757"/>
      <c r="G49" s="757"/>
      <c r="H49" s="757"/>
      <c r="I49" s="757"/>
      <c r="J49" s="757"/>
      <c r="K49" s="757"/>
      <c r="L49" s="757"/>
      <c r="M49" s="757"/>
      <c r="N49" s="757"/>
      <c r="O49" s="757"/>
      <c r="P49" s="757"/>
      <c r="Q49" s="757"/>
      <c r="R49" s="757"/>
      <c r="S49" s="757"/>
      <c r="T49" s="758"/>
    </row>
    <row r="50" spans="1:20" x14ac:dyDescent="0.25">
      <c r="A50" s="655" t="s">
        <v>2087</v>
      </c>
      <c r="B50" s="656" t="s">
        <v>887</v>
      </c>
      <c r="C50" s="656" t="s">
        <v>888</v>
      </c>
      <c r="D50" s="656" t="s">
        <v>889</v>
      </c>
      <c r="E50" s="656" t="s">
        <v>890</v>
      </c>
      <c r="F50" s="656" t="s">
        <v>891</v>
      </c>
      <c r="G50" s="656" t="s">
        <v>892</v>
      </c>
      <c r="H50" s="656" t="s">
        <v>893</v>
      </c>
      <c r="I50" s="656" t="s">
        <v>894</v>
      </c>
      <c r="J50" s="656" t="s">
        <v>895</v>
      </c>
      <c r="K50" s="656" t="s">
        <v>896</v>
      </c>
      <c r="L50" s="656" t="s">
        <v>897</v>
      </c>
      <c r="M50" s="656" t="s">
        <v>898</v>
      </c>
      <c r="N50" s="656" t="s">
        <v>899</v>
      </c>
      <c r="O50" s="656" t="s">
        <v>900</v>
      </c>
      <c r="P50" s="656" t="s">
        <v>901</v>
      </c>
      <c r="Q50" s="656" t="s">
        <v>902</v>
      </c>
      <c r="R50" s="656" t="s">
        <v>903</v>
      </c>
      <c r="S50" s="656" t="s">
        <v>904</v>
      </c>
      <c r="T50" s="657" t="s">
        <v>866</v>
      </c>
    </row>
    <row r="51" spans="1:20" x14ac:dyDescent="0.25">
      <c r="A51" s="648" t="s">
        <v>2083</v>
      </c>
      <c r="B51" s="499"/>
      <c r="C51" s="499"/>
      <c r="D51" s="499"/>
      <c r="E51" s="499"/>
      <c r="F51" s="499"/>
      <c r="G51" s="499"/>
      <c r="H51" s="499"/>
      <c r="I51" s="499"/>
      <c r="J51" s="499"/>
      <c r="K51" s="499"/>
      <c r="L51" s="499"/>
      <c r="M51" s="499"/>
      <c r="N51" s="499"/>
      <c r="O51" s="499"/>
      <c r="P51" s="499"/>
      <c r="Q51" s="499"/>
      <c r="R51" s="499"/>
      <c r="S51" s="499"/>
      <c r="T51" s="650"/>
    </row>
    <row r="52" spans="1:20" x14ac:dyDescent="0.25">
      <c r="A52" s="649" t="s">
        <v>2079</v>
      </c>
      <c r="B52" s="647"/>
      <c r="C52" s="647"/>
      <c r="D52" s="647"/>
      <c r="E52" s="647"/>
      <c r="F52" s="647"/>
      <c r="G52" s="647"/>
      <c r="H52" s="647"/>
      <c r="I52" s="647"/>
      <c r="J52" s="647"/>
      <c r="K52" s="647"/>
      <c r="L52" s="647"/>
      <c r="M52" s="647"/>
      <c r="N52" s="647"/>
      <c r="O52" s="647"/>
      <c r="P52" s="647"/>
      <c r="Q52" s="647"/>
      <c r="R52" s="647"/>
      <c r="S52" s="647"/>
      <c r="T52" s="651"/>
    </row>
    <row r="53" spans="1:20" x14ac:dyDescent="0.25">
      <c r="A53" s="649" t="s">
        <v>2084</v>
      </c>
      <c r="B53" s="646"/>
      <c r="C53" s="646"/>
      <c r="D53" s="646"/>
      <c r="E53" s="646"/>
      <c r="F53" s="646"/>
      <c r="G53" s="646"/>
      <c r="H53" s="646"/>
      <c r="I53" s="646"/>
      <c r="J53" s="646"/>
      <c r="K53" s="646"/>
      <c r="L53" s="646"/>
      <c r="M53" s="646"/>
      <c r="N53" s="646"/>
      <c r="O53" s="646"/>
      <c r="P53" s="646"/>
      <c r="Q53" s="646"/>
      <c r="R53" s="646"/>
      <c r="S53" s="646"/>
      <c r="T53" s="652"/>
    </row>
    <row r="54" spans="1:20" ht="15.75" thickBot="1" x14ac:dyDescent="0.3">
      <c r="A54" s="649" t="s">
        <v>2080</v>
      </c>
      <c r="B54" s="653"/>
      <c r="C54" s="653"/>
      <c r="D54" s="653"/>
      <c r="E54" s="653"/>
      <c r="F54" s="653"/>
      <c r="G54" s="653"/>
      <c r="H54" s="653"/>
      <c r="I54" s="653"/>
      <c r="J54" s="653"/>
      <c r="K54" s="653"/>
      <c r="L54" s="653"/>
      <c r="M54" s="653"/>
      <c r="N54" s="653"/>
      <c r="O54" s="653"/>
      <c r="P54" s="653"/>
      <c r="Q54" s="653"/>
      <c r="R54" s="653"/>
      <c r="S54" s="653"/>
      <c r="T54" s="654"/>
    </row>
    <row r="55" spans="1:20" ht="15.75" thickBot="1" x14ac:dyDescent="0.3">
      <c r="A55" s="500" t="s">
        <v>2081</v>
      </c>
      <c r="B55" s="501">
        <f>SUM(B51:T51)</f>
        <v>0</v>
      </c>
      <c r="C55" s="500" t="s">
        <v>905</v>
      </c>
      <c r="D55" s="504">
        <f>IFERROR($B55*INDEX(Utility_Rates[#All],MATCH("Electrical",Utility_Rates[[#All],[Power Type]],0),MATCH("Cost ($/kBTU) Conversion",Utility_Rates[#Headers],0)),"")</f>
        <v>0</v>
      </c>
      <c r="E55" s="153"/>
      <c r="F55" s="588"/>
      <c r="G55" s="153"/>
      <c r="H55" s="153"/>
      <c r="I55" s="153"/>
      <c r="J55" s="153"/>
      <c r="K55" s="153"/>
      <c r="L55" s="153"/>
      <c r="M55" s="153"/>
      <c r="N55" s="153"/>
      <c r="O55" s="153"/>
      <c r="P55" s="153"/>
      <c r="Q55" s="153"/>
      <c r="R55" s="153"/>
      <c r="S55" s="153"/>
      <c r="T55" s="153"/>
    </row>
    <row r="56" spans="1:20" ht="15.75" thickBot="1" x14ac:dyDescent="0.3">
      <c r="A56" s="500" t="s">
        <v>2082</v>
      </c>
      <c r="B56" s="501">
        <f>SUM(B53:T53)</f>
        <v>0</v>
      </c>
      <c r="C56" s="500" t="s">
        <v>906</v>
      </c>
      <c r="D56" s="504">
        <f>IFERROR($B56*INDEX(Utility_Rates[#All],MATCH("Natural Gas",Utility_Rates[[#All],[Power Type]],0),MATCH("Cost ($/kBTU) Conversion",Utility_Rates[#Headers],0)),"")</f>
        <v>0</v>
      </c>
      <c r="E56" s="153"/>
      <c r="F56" s="588"/>
      <c r="G56" s="153"/>
      <c r="H56" s="153"/>
      <c r="I56" s="153"/>
      <c r="J56" s="153"/>
      <c r="K56" s="153"/>
      <c r="L56" s="153"/>
      <c r="M56" s="153"/>
      <c r="N56" s="153"/>
      <c r="O56" s="153"/>
      <c r="P56" s="153"/>
      <c r="Q56" s="153"/>
      <c r="R56" s="153"/>
      <c r="S56" s="153"/>
      <c r="T56" s="153"/>
    </row>
    <row r="57" spans="1:20" ht="15.75" thickBot="1" x14ac:dyDescent="0.3">
      <c r="A57" s="500" t="s">
        <v>907</v>
      </c>
      <c r="B57" s="501">
        <f>SUM(B55:B56)</f>
        <v>0</v>
      </c>
      <c r="C57" s="500" t="s">
        <v>908</v>
      </c>
      <c r="D57" s="504">
        <f>SUM(D55:D56)</f>
        <v>0</v>
      </c>
    </row>
    <row r="58" spans="1:20" ht="15.75" thickBot="1" x14ac:dyDescent="0.3"/>
    <row r="59" spans="1:20" x14ac:dyDescent="0.25">
      <c r="A59" s="502" t="s">
        <v>880</v>
      </c>
      <c r="B59" s="759">
        <f>VLOOKUP(A59,'ECM Description'!$A$2:$C$15,2,FALSE)</f>
        <v>0</v>
      </c>
      <c r="C59" s="759"/>
      <c r="D59" s="759"/>
      <c r="E59" s="759"/>
      <c r="F59" s="759"/>
      <c r="G59" s="759"/>
      <c r="H59" s="759"/>
      <c r="I59" s="759"/>
      <c r="J59" s="759"/>
      <c r="K59" s="759"/>
      <c r="L59" s="759"/>
      <c r="M59" s="759"/>
      <c r="N59" s="759"/>
      <c r="O59" s="759"/>
      <c r="P59" s="759"/>
      <c r="Q59" s="759"/>
      <c r="R59" s="759"/>
      <c r="S59" s="759"/>
      <c r="T59" s="760"/>
    </row>
    <row r="60" spans="1:20" x14ac:dyDescent="0.25">
      <c r="A60" s="503"/>
      <c r="B60" s="757" t="s">
        <v>886</v>
      </c>
      <c r="C60" s="757"/>
      <c r="D60" s="757"/>
      <c r="E60" s="757"/>
      <c r="F60" s="757"/>
      <c r="G60" s="757"/>
      <c r="H60" s="757"/>
      <c r="I60" s="757"/>
      <c r="J60" s="757"/>
      <c r="K60" s="757"/>
      <c r="L60" s="757"/>
      <c r="M60" s="757"/>
      <c r="N60" s="757"/>
      <c r="O60" s="757"/>
      <c r="P60" s="757"/>
      <c r="Q60" s="757"/>
      <c r="R60" s="757"/>
      <c r="S60" s="757"/>
      <c r="T60" s="758"/>
    </row>
    <row r="61" spans="1:20" x14ac:dyDescent="0.25">
      <c r="A61" s="655" t="s">
        <v>2087</v>
      </c>
      <c r="B61" s="656" t="s">
        <v>887</v>
      </c>
      <c r="C61" s="656" t="s">
        <v>888</v>
      </c>
      <c r="D61" s="656" t="s">
        <v>889</v>
      </c>
      <c r="E61" s="656" t="s">
        <v>890</v>
      </c>
      <c r="F61" s="656" t="s">
        <v>891</v>
      </c>
      <c r="G61" s="656" t="s">
        <v>892</v>
      </c>
      <c r="H61" s="656" t="s">
        <v>893</v>
      </c>
      <c r="I61" s="656" t="s">
        <v>894</v>
      </c>
      <c r="J61" s="656" t="s">
        <v>895</v>
      </c>
      <c r="K61" s="656" t="s">
        <v>896</v>
      </c>
      <c r="L61" s="656" t="s">
        <v>897</v>
      </c>
      <c r="M61" s="656" t="s">
        <v>898</v>
      </c>
      <c r="N61" s="656" t="s">
        <v>899</v>
      </c>
      <c r="O61" s="656" t="s">
        <v>900</v>
      </c>
      <c r="P61" s="656" t="s">
        <v>901</v>
      </c>
      <c r="Q61" s="656" t="s">
        <v>902</v>
      </c>
      <c r="R61" s="656" t="s">
        <v>903</v>
      </c>
      <c r="S61" s="656" t="s">
        <v>904</v>
      </c>
      <c r="T61" s="657" t="s">
        <v>866</v>
      </c>
    </row>
    <row r="62" spans="1:20" x14ac:dyDescent="0.25">
      <c r="A62" s="648" t="s">
        <v>2083</v>
      </c>
      <c r="B62" s="499"/>
      <c r="C62" s="499"/>
      <c r="D62" s="499"/>
      <c r="E62" s="499"/>
      <c r="F62" s="499"/>
      <c r="G62" s="499"/>
      <c r="H62" s="499"/>
      <c r="I62" s="499"/>
      <c r="J62" s="499"/>
      <c r="K62" s="499"/>
      <c r="L62" s="499"/>
      <c r="M62" s="499"/>
      <c r="N62" s="499"/>
      <c r="O62" s="499"/>
      <c r="P62" s="499"/>
      <c r="Q62" s="499"/>
      <c r="R62" s="499"/>
      <c r="S62" s="499"/>
      <c r="T62" s="650"/>
    </row>
    <row r="63" spans="1:20" x14ac:dyDescent="0.25">
      <c r="A63" s="649" t="s">
        <v>2079</v>
      </c>
      <c r="B63" s="647"/>
      <c r="C63" s="647"/>
      <c r="D63" s="647"/>
      <c r="E63" s="647"/>
      <c r="F63" s="647"/>
      <c r="G63" s="647"/>
      <c r="H63" s="647"/>
      <c r="I63" s="647"/>
      <c r="J63" s="647"/>
      <c r="K63" s="647"/>
      <c r="L63" s="647"/>
      <c r="M63" s="647"/>
      <c r="N63" s="647"/>
      <c r="O63" s="647"/>
      <c r="P63" s="647"/>
      <c r="Q63" s="647"/>
      <c r="R63" s="647"/>
      <c r="S63" s="647"/>
      <c r="T63" s="651"/>
    </row>
    <row r="64" spans="1:20" x14ac:dyDescent="0.25">
      <c r="A64" s="649" t="s">
        <v>2084</v>
      </c>
      <c r="B64" s="646"/>
      <c r="C64" s="646"/>
      <c r="D64" s="646"/>
      <c r="E64" s="646"/>
      <c r="F64" s="646"/>
      <c r="G64" s="646"/>
      <c r="H64" s="646"/>
      <c r="I64" s="646"/>
      <c r="J64" s="646"/>
      <c r="K64" s="646"/>
      <c r="L64" s="646"/>
      <c r="M64" s="646"/>
      <c r="N64" s="646"/>
      <c r="O64" s="646"/>
      <c r="P64" s="646"/>
      <c r="Q64" s="646"/>
      <c r="R64" s="646"/>
      <c r="S64" s="646"/>
      <c r="T64" s="652"/>
    </row>
    <row r="65" spans="1:20" ht="15.75" thickBot="1" x14ac:dyDescent="0.3">
      <c r="A65" s="649" t="s">
        <v>2080</v>
      </c>
      <c r="B65" s="653"/>
      <c r="C65" s="653"/>
      <c r="D65" s="653"/>
      <c r="E65" s="653"/>
      <c r="F65" s="653"/>
      <c r="G65" s="653"/>
      <c r="H65" s="653"/>
      <c r="I65" s="653"/>
      <c r="J65" s="653"/>
      <c r="K65" s="653"/>
      <c r="L65" s="653"/>
      <c r="M65" s="653"/>
      <c r="N65" s="653"/>
      <c r="O65" s="653"/>
      <c r="P65" s="653"/>
      <c r="Q65" s="653"/>
      <c r="R65" s="653"/>
      <c r="S65" s="653"/>
      <c r="T65" s="654"/>
    </row>
    <row r="66" spans="1:20" ht="15.75" thickBot="1" x14ac:dyDescent="0.3">
      <c r="A66" s="500" t="s">
        <v>2081</v>
      </c>
      <c r="B66" s="501">
        <f>SUM(B62:T62)</f>
        <v>0</v>
      </c>
      <c r="C66" s="500" t="s">
        <v>905</v>
      </c>
      <c r="D66" s="504">
        <f>IFERROR($B66*INDEX(Utility_Rates[#All],MATCH("Electrical",Utility_Rates[[#All],[Power Type]],0),MATCH("Cost ($/kBTU) Conversion",Utility_Rates[#Headers],0)),"")</f>
        <v>0</v>
      </c>
      <c r="E66" s="153"/>
      <c r="F66" s="588"/>
      <c r="G66" s="153"/>
      <c r="H66" s="153"/>
      <c r="I66" s="153"/>
      <c r="J66" s="153"/>
      <c r="K66" s="153"/>
      <c r="L66" s="153"/>
      <c r="M66" s="153"/>
      <c r="N66" s="153"/>
      <c r="O66" s="153"/>
      <c r="P66" s="153"/>
      <c r="Q66" s="153"/>
      <c r="R66" s="153"/>
      <c r="S66" s="153"/>
      <c r="T66" s="153"/>
    </row>
    <row r="67" spans="1:20" ht="15.75" thickBot="1" x14ac:dyDescent="0.3">
      <c r="A67" s="500" t="s">
        <v>2082</v>
      </c>
      <c r="B67" s="501">
        <f>SUM(B64:T64)</f>
        <v>0</v>
      </c>
      <c r="C67" s="500" t="s">
        <v>906</v>
      </c>
      <c r="D67" s="504">
        <f>IFERROR($B67*INDEX(Utility_Rates[#All],MATCH("Natural Gas",Utility_Rates[[#All],[Power Type]],0),MATCH("Cost ($/kBTU) Conversion",Utility_Rates[#Headers],0)),"")</f>
        <v>0</v>
      </c>
      <c r="E67" s="153"/>
      <c r="F67" s="588"/>
      <c r="G67" s="153"/>
      <c r="H67" s="153"/>
      <c r="I67" s="153"/>
      <c r="J67" s="153"/>
      <c r="K67" s="153"/>
      <c r="L67" s="153"/>
      <c r="M67" s="153"/>
      <c r="N67" s="153"/>
      <c r="O67" s="153"/>
      <c r="P67" s="153"/>
      <c r="Q67" s="153"/>
      <c r="R67" s="153"/>
      <c r="S67" s="153"/>
      <c r="T67" s="153"/>
    </row>
    <row r="68" spans="1:20" ht="15.75" thickBot="1" x14ac:dyDescent="0.3">
      <c r="A68" s="500" t="s">
        <v>907</v>
      </c>
      <c r="B68" s="501">
        <f>SUM(B66:B67)</f>
        <v>0</v>
      </c>
      <c r="C68" s="500" t="s">
        <v>908</v>
      </c>
      <c r="D68" s="504">
        <f>SUM(D66:D67)</f>
        <v>0</v>
      </c>
    </row>
    <row r="69" spans="1:20" ht="15.75" thickBot="1" x14ac:dyDescent="0.3"/>
    <row r="70" spans="1:20" x14ac:dyDescent="0.25">
      <c r="A70" s="502" t="s">
        <v>881</v>
      </c>
      <c r="B70" s="759">
        <f>VLOOKUP(A70,'ECM Description'!$A$2:$C$15,2,FALSE)</f>
        <v>0</v>
      </c>
      <c r="C70" s="759"/>
      <c r="D70" s="759"/>
      <c r="E70" s="759"/>
      <c r="F70" s="759"/>
      <c r="G70" s="759"/>
      <c r="H70" s="759"/>
      <c r="I70" s="759"/>
      <c r="J70" s="759"/>
      <c r="K70" s="759"/>
      <c r="L70" s="759"/>
      <c r="M70" s="759"/>
      <c r="N70" s="759"/>
      <c r="O70" s="759"/>
      <c r="P70" s="759"/>
      <c r="Q70" s="759"/>
      <c r="R70" s="759"/>
      <c r="S70" s="759"/>
      <c r="T70" s="760"/>
    </row>
    <row r="71" spans="1:20" x14ac:dyDescent="0.25">
      <c r="A71" s="503"/>
      <c r="B71" s="757" t="s">
        <v>886</v>
      </c>
      <c r="C71" s="757"/>
      <c r="D71" s="757"/>
      <c r="E71" s="757"/>
      <c r="F71" s="757"/>
      <c r="G71" s="757"/>
      <c r="H71" s="757"/>
      <c r="I71" s="757"/>
      <c r="J71" s="757"/>
      <c r="K71" s="757"/>
      <c r="L71" s="757"/>
      <c r="M71" s="757"/>
      <c r="N71" s="757"/>
      <c r="O71" s="757"/>
      <c r="P71" s="757"/>
      <c r="Q71" s="757"/>
      <c r="R71" s="757"/>
      <c r="S71" s="757"/>
      <c r="T71" s="758"/>
    </row>
    <row r="72" spans="1:20" x14ac:dyDescent="0.25">
      <c r="A72" s="655" t="s">
        <v>2087</v>
      </c>
      <c r="B72" s="656" t="s">
        <v>887</v>
      </c>
      <c r="C72" s="656" t="s">
        <v>888</v>
      </c>
      <c r="D72" s="656" t="s">
        <v>889</v>
      </c>
      <c r="E72" s="656" t="s">
        <v>890</v>
      </c>
      <c r="F72" s="656" t="s">
        <v>891</v>
      </c>
      <c r="G72" s="656" t="s">
        <v>892</v>
      </c>
      <c r="H72" s="656" t="s">
        <v>893</v>
      </c>
      <c r="I72" s="656" t="s">
        <v>894</v>
      </c>
      <c r="J72" s="656" t="s">
        <v>895</v>
      </c>
      <c r="K72" s="656" t="s">
        <v>896</v>
      </c>
      <c r="L72" s="656" t="s">
        <v>897</v>
      </c>
      <c r="M72" s="656" t="s">
        <v>898</v>
      </c>
      <c r="N72" s="656" t="s">
        <v>899</v>
      </c>
      <c r="O72" s="656" t="s">
        <v>900</v>
      </c>
      <c r="P72" s="656" t="s">
        <v>901</v>
      </c>
      <c r="Q72" s="656" t="s">
        <v>902</v>
      </c>
      <c r="R72" s="656" t="s">
        <v>903</v>
      </c>
      <c r="S72" s="656" t="s">
        <v>904</v>
      </c>
      <c r="T72" s="657" t="s">
        <v>866</v>
      </c>
    </row>
    <row r="73" spans="1:20" x14ac:dyDescent="0.25">
      <c r="A73" s="648" t="s">
        <v>2083</v>
      </c>
      <c r="B73" s="499"/>
      <c r="C73" s="499"/>
      <c r="D73" s="499"/>
      <c r="E73" s="499"/>
      <c r="F73" s="499"/>
      <c r="G73" s="499"/>
      <c r="H73" s="499"/>
      <c r="I73" s="499"/>
      <c r="J73" s="499"/>
      <c r="K73" s="499"/>
      <c r="L73" s="499"/>
      <c r="M73" s="499"/>
      <c r="N73" s="499"/>
      <c r="O73" s="499"/>
      <c r="P73" s="499"/>
      <c r="Q73" s="499"/>
      <c r="R73" s="499"/>
      <c r="S73" s="499"/>
      <c r="T73" s="650"/>
    </row>
    <row r="74" spans="1:20" x14ac:dyDescent="0.25">
      <c r="A74" s="649" t="s">
        <v>2079</v>
      </c>
      <c r="B74" s="647"/>
      <c r="C74" s="647"/>
      <c r="D74" s="647"/>
      <c r="E74" s="647"/>
      <c r="F74" s="647"/>
      <c r="G74" s="647"/>
      <c r="H74" s="647"/>
      <c r="I74" s="647"/>
      <c r="J74" s="647"/>
      <c r="K74" s="647"/>
      <c r="L74" s="647"/>
      <c r="M74" s="647"/>
      <c r="N74" s="647"/>
      <c r="O74" s="647"/>
      <c r="P74" s="647"/>
      <c r="Q74" s="647"/>
      <c r="R74" s="647"/>
      <c r="S74" s="647"/>
      <c r="T74" s="651"/>
    </row>
    <row r="75" spans="1:20" x14ac:dyDescent="0.25">
      <c r="A75" s="649" t="s">
        <v>2084</v>
      </c>
      <c r="B75" s="646"/>
      <c r="C75" s="646"/>
      <c r="D75" s="646"/>
      <c r="E75" s="646"/>
      <c r="F75" s="646"/>
      <c r="G75" s="646"/>
      <c r="H75" s="646"/>
      <c r="I75" s="646"/>
      <c r="J75" s="646"/>
      <c r="K75" s="646"/>
      <c r="L75" s="646"/>
      <c r="M75" s="646"/>
      <c r="N75" s="646"/>
      <c r="O75" s="646"/>
      <c r="P75" s="646"/>
      <c r="Q75" s="646"/>
      <c r="R75" s="646"/>
      <c r="S75" s="646"/>
      <c r="T75" s="652"/>
    </row>
    <row r="76" spans="1:20" ht="15.75" thickBot="1" x14ac:dyDescent="0.3">
      <c r="A76" s="649" t="s">
        <v>2080</v>
      </c>
      <c r="B76" s="653"/>
      <c r="C76" s="653"/>
      <c r="D76" s="653"/>
      <c r="E76" s="653"/>
      <c r="F76" s="653"/>
      <c r="G76" s="653"/>
      <c r="H76" s="653"/>
      <c r="I76" s="653"/>
      <c r="J76" s="653"/>
      <c r="K76" s="653"/>
      <c r="L76" s="653"/>
      <c r="M76" s="653"/>
      <c r="N76" s="653"/>
      <c r="O76" s="653"/>
      <c r="P76" s="653"/>
      <c r="Q76" s="653"/>
      <c r="R76" s="653"/>
      <c r="S76" s="653"/>
      <c r="T76" s="654"/>
    </row>
    <row r="77" spans="1:20" ht="15.75" thickBot="1" x14ac:dyDescent="0.3">
      <c r="A77" s="500" t="s">
        <v>2081</v>
      </c>
      <c r="B77" s="501">
        <f>SUM(B73:T73)</f>
        <v>0</v>
      </c>
      <c r="C77" s="500" t="s">
        <v>905</v>
      </c>
      <c r="D77" s="504">
        <f>IFERROR($B77*INDEX(Utility_Rates[#All],MATCH("Electrical",Utility_Rates[[#All],[Power Type]],0),MATCH("Cost ($/kBTU) Conversion",Utility_Rates[#Headers],0)),"")</f>
        <v>0</v>
      </c>
      <c r="E77" s="153"/>
      <c r="F77" s="588"/>
      <c r="G77" s="153"/>
      <c r="H77" s="153"/>
      <c r="I77" s="153"/>
      <c r="J77" s="153"/>
      <c r="K77" s="153"/>
      <c r="L77" s="153"/>
      <c r="M77" s="153"/>
      <c r="N77" s="153"/>
      <c r="O77" s="153"/>
      <c r="P77" s="153"/>
      <c r="Q77" s="153"/>
      <c r="R77" s="153"/>
      <c r="S77" s="153"/>
      <c r="T77" s="153"/>
    </row>
    <row r="78" spans="1:20" ht="15.75" thickBot="1" x14ac:dyDescent="0.3">
      <c r="A78" s="500" t="s">
        <v>2082</v>
      </c>
      <c r="B78" s="501">
        <f>SUM(B75:T75)</f>
        <v>0</v>
      </c>
      <c r="C78" s="500" t="s">
        <v>906</v>
      </c>
      <c r="D78" s="504">
        <f>IFERROR($B78*INDEX(Utility_Rates[#All],MATCH("Natural Gas",Utility_Rates[[#All],[Power Type]],0),MATCH("Cost ($/kBTU) Conversion",Utility_Rates[#Headers],0)),"")</f>
        <v>0</v>
      </c>
      <c r="E78" s="153"/>
      <c r="F78" s="588"/>
      <c r="G78" s="153"/>
      <c r="H78" s="153"/>
      <c r="I78" s="153"/>
      <c r="J78" s="153"/>
      <c r="K78" s="153"/>
      <c r="L78" s="153"/>
      <c r="M78" s="153"/>
      <c r="N78" s="153"/>
      <c r="O78" s="153"/>
      <c r="P78" s="153"/>
      <c r="Q78" s="153"/>
      <c r="R78" s="153"/>
      <c r="S78" s="153"/>
      <c r="T78" s="153"/>
    </row>
    <row r="79" spans="1:20" ht="15.75" thickBot="1" x14ac:dyDescent="0.3">
      <c r="A79" s="500" t="s">
        <v>907</v>
      </c>
      <c r="B79" s="501">
        <f>SUM(B77:B78)</f>
        <v>0</v>
      </c>
      <c r="C79" s="500" t="s">
        <v>908</v>
      </c>
      <c r="D79" s="504">
        <f>SUM(D77:D78)</f>
        <v>0</v>
      </c>
    </row>
    <row r="80" spans="1:20" ht="15.75" thickBot="1" x14ac:dyDescent="0.3"/>
    <row r="81" spans="1:20" x14ac:dyDescent="0.25">
      <c r="A81" s="502" t="s">
        <v>882</v>
      </c>
      <c r="B81" s="759">
        <f>VLOOKUP(A81,'ECM Description'!$A$2:$C$15,2,FALSE)</f>
        <v>0</v>
      </c>
      <c r="C81" s="759"/>
      <c r="D81" s="759"/>
      <c r="E81" s="759"/>
      <c r="F81" s="759"/>
      <c r="G81" s="759"/>
      <c r="H81" s="759"/>
      <c r="I81" s="759"/>
      <c r="J81" s="759"/>
      <c r="K81" s="759"/>
      <c r="L81" s="759"/>
      <c r="M81" s="759"/>
      <c r="N81" s="759"/>
      <c r="O81" s="759"/>
      <c r="P81" s="759"/>
      <c r="Q81" s="759"/>
      <c r="R81" s="759"/>
      <c r="S81" s="759"/>
      <c r="T81" s="760"/>
    </row>
    <row r="82" spans="1:20" x14ac:dyDescent="0.25">
      <c r="A82" s="503"/>
      <c r="B82" s="757" t="s">
        <v>886</v>
      </c>
      <c r="C82" s="757"/>
      <c r="D82" s="757"/>
      <c r="E82" s="757"/>
      <c r="F82" s="757"/>
      <c r="G82" s="757"/>
      <c r="H82" s="757"/>
      <c r="I82" s="757"/>
      <c r="J82" s="757"/>
      <c r="K82" s="757"/>
      <c r="L82" s="757"/>
      <c r="M82" s="757"/>
      <c r="N82" s="757"/>
      <c r="O82" s="757"/>
      <c r="P82" s="757"/>
      <c r="Q82" s="757"/>
      <c r="R82" s="757"/>
      <c r="S82" s="757"/>
      <c r="T82" s="758"/>
    </row>
    <row r="83" spans="1:20" x14ac:dyDescent="0.25">
      <c r="A83" s="655" t="s">
        <v>2087</v>
      </c>
      <c r="B83" s="656" t="s">
        <v>887</v>
      </c>
      <c r="C83" s="656" t="s">
        <v>888</v>
      </c>
      <c r="D83" s="656" t="s">
        <v>889</v>
      </c>
      <c r="E83" s="656" t="s">
        <v>890</v>
      </c>
      <c r="F83" s="656" t="s">
        <v>891</v>
      </c>
      <c r="G83" s="656" t="s">
        <v>892</v>
      </c>
      <c r="H83" s="656" t="s">
        <v>893</v>
      </c>
      <c r="I83" s="656" t="s">
        <v>894</v>
      </c>
      <c r="J83" s="656" t="s">
        <v>895</v>
      </c>
      <c r="K83" s="656" t="s">
        <v>896</v>
      </c>
      <c r="L83" s="656" t="s">
        <v>897</v>
      </c>
      <c r="M83" s="656" t="s">
        <v>898</v>
      </c>
      <c r="N83" s="656" t="s">
        <v>899</v>
      </c>
      <c r="O83" s="656" t="s">
        <v>900</v>
      </c>
      <c r="P83" s="656" t="s">
        <v>901</v>
      </c>
      <c r="Q83" s="656" t="s">
        <v>902</v>
      </c>
      <c r="R83" s="656" t="s">
        <v>903</v>
      </c>
      <c r="S83" s="656" t="s">
        <v>904</v>
      </c>
      <c r="T83" s="657" t="s">
        <v>866</v>
      </c>
    </row>
    <row r="84" spans="1:20" x14ac:dyDescent="0.25">
      <c r="A84" s="648" t="s">
        <v>2083</v>
      </c>
      <c r="B84" s="499"/>
      <c r="C84" s="499"/>
      <c r="D84" s="499"/>
      <c r="E84" s="499"/>
      <c r="F84" s="499"/>
      <c r="G84" s="499"/>
      <c r="H84" s="499"/>
      <c r="I84" s="499"/>
      <c r="J84" s="499"/>
      <c r="K84" s="499"/>
      <c r="L84" s="499"/>
      <c r="M84" s="499"/>
      <c r="N84" s="499"/>
      <c r="O84" s="499"/>
      <c r="P84" s="499"/>
      <c r="Q84" s="499"/>
      <c r="R84" s="499"/>
      <c r="S84" s="499"/>
      <c r="T84" s="650"/>
    </row>
    <row r="85" spans="1:20" x14ac:dyDescent="0.25">
      <c r="A85" s="649" t="s">
        <v>2079</v>
      </c>
      <c r="B85" s="647"/>
      <c r="C85" s="647"/>
      <c r="D85" s="647"/>
      <c r="E85" s="647"/>
      <c r="F85" s="647"/>
      <c r="G85" s="647"/>
      <c r="H85" s="647"/>
      <c r="I85" s="647"/>
      <c r="J85" s="647"/>
      <c r="K85" s="647"/>
      <c r="L85" s="647"/>
      <c r="M85" s="647"/>
      <c r="N85" s="647"/>
      <c r="O85" s="647"/>
      <c r="P85" s="647"/>
      <c r="Q85" s="647"/>
      <c r="R85" s="647"/>
      <c r="S85" s="647"/>
      <c r="T85" s="651"/>
    </row>
    <row r="86" spans="1:20" x14ac:dyDescent="0.25">
      <c r="A86" s="649" t="s">
        <v>2084</v>
      </c>
      <c r="B86" s="646"/>
      <c r="C86" s="646"/>
      <c r="D86" s="646"/>
      <c r="E86" s="646"/>
      <c r="F86" s="646"/>
      <c r="G86" s="646"/>
      <c r="H86" s="646"/>
      <c r="I86" s="646"/>
      <c r="J86" s="646"/>
      <c r="K86" s="646"/>
      <c r="L86" s="646"/>
      <c r="M86" s="646"/>
      <c r="N86" s="646"/>
      <c r="O86" s="646"/>
      <c r="P86" s="646"/>
      <c r="Q86" s="646"/>
      <c r="R86" s="646"/>
      <c r="S86" s="646"/>
      <c r="T86" s="652"/>
    </row>
    <row r="87" spans="1:20" ht="15.75" thickBot="1" x14ac:dyDescent="0.3">
      <c r="A87" s="649" t="s">
        <v>2080</v>
      </c>
      <c r="B87" s="653"/>
      <c r="C87" s="653"/>
      <c r="D87" s="653"/>
      <c r="E87" s="653"/>
      <c r="F87" s="653"/>
      <c r="G87" s="653"/>
      <c r="H87" s="653"/>
      <c r="I87" s="653"/>
      <c r="J87" s="653"/>
      <c r="K87" s="653"/>
      <c r="L87" s="653"/>
      <c r="M87" s="653"/>
      <c r="N87" s="653"/>
      <c r="O87" s="653"/>
      <c r="P87" s="653"/>
      <c r="Q87" s="653"/>
      <c r="R87" s="653"/>
      <c r="S87" s="653"/>
      <c r="T87" s="654"/>
    </row>
    <row r="88" spans="1:20" ht="15.75" thickBot="1" x14ac:dyDescent="0.3">
      <c r="A88" s="500" t="s">
        <v>2081</v>
      </c>
      <c r="B88" s="501">
        <f>SUM(B84:T84)</f>
        <v>0</v>
      </c>
      <c r="C88" s="500" t="s">
        <v>905</v>
      </c>
      <c r="D88" s="504">
        <f>IFERROR($B88*INDEX(Utility_Rates[#All],MATCH("Electrical",Utility_Rates[[#All],[Power Type]],0),MATCH("Cost ($/kBTU) Conversion",Utility_Rates[#Headers],0)),"")</f>
        <v>0</v>
      </c>
      <c r="E88" s="153"/>
      <c r="F88" s="588"/>
      <c r="G88" s="153"/>
      <c r="H88" s="153"/>
      <c r="I88" s="153"/>
      <c r="J88" s="153"/>
      <c r="K88" s="153"/>
      <c r="L88" s="153"/>
      <c r="M88" s="153"/>
      <c r="N88" s="153"/>
      <c r="O88" s="153"/>
      <c r="P88" s="153"/>
      <c r="Q88" s="153"/>
      <c r="R88" s="153"/>
      <c r="S88" s="153"/>
      <c r="T88" s="153"/>
    </row>
    <row r="89" spans="1:20" ht="15.75" thickBot="1" x14ac:dyDescent="0.3">
      <c r="A89" s="500" t="s">
        <v>2082</v>
      </c>
      <c r="B89" s="501">
        <f>SUM(B86:T86)</f>
        <v>0</v>
      </c>
      <c r="C89" s="500" t="s">
        <v>906</v>
      </c>
      <c r="D89" s="504">
        <f>IFERROR($B89*INDEX(Utility_Rates[#All],MATCH("Natural Gas",Utility_Rates[[#All],[Power Type]],0),MATCH("Cost ($/kBTU) Conversion",Utility_Rates[#Headers],0)),"")</f>
        <v>0</v>
      </c>
      <c r="E89" s="153"/>
      <c r="F89" s="588"/>
      <c r="G89" s="153"/>
      <c r="H89" s="153"/>
      <c r="I89" s="153"/>
      <c r="J89" s="153"/>
      <c r="K89" s="153"/>
      <c r="L89" s="153"/>
      <c r="M89" s="153"/>
      <c r="N89" s="153"/>
      <c r="O89" s="153"/>
      <c r="P89" s="153"/>
      <c r="Q89" s="153"/>
      <c r="R89" s="153"/>
      <c r="S89" s="153"/>
      <c r="T89" s="153"/>
    </row>
    <row r="90" spans="1:20" ht="15.75" thickBot="1" x14ac:dyDescent="0.3">
      <c r="A90" s="500" t="s">
        <v>907</v>
      </c>
      <c r="B90" s="501">
        <f>SUM(B88:B89)</f>
        <v>0</v>
      </c>
      <c r="C90" s="500" t="s">
        <v>908</v>
      </c>
      <c r="D90" s="504">
        <f>SUM(D88:D89)</f>
        <v>0</v>
      </c>
    </row>
    <row r="91" spans="1:20" ht="15.75" thickBot="1" x14ac:dyDescent="0.3"/>
    <row r="92" spans="1:20" x14ac:dyDescent="0.25">
      <c r="A92" s="502" t="s">
        <v>883</v>
      </c>
      <c r="B92" s="759">
        <f>VLOOKUP(A92,'ECM Description'!$A$2:$C$15,2,FALSE)</f>
        <v>0</v>
      </c>
      <c r="C92" s="759"/>
      <c r="D92" s="759"/>
      <c r="E92" s="759"/>
      <c r="F92" s="759"/>
      <c r="G92" s="759"/>
      <c r="H92" s="759"/>
      <c r="I92" s="759"/>
      <c r="J92" s="759"/>
      <c r="K92" s="759"/>
      <c r="L92" s="759"/>
      <c r="M92" s="759"/>
      <c r="N92" s="759"/>
      <c r="O92" s="759"/>
      <c r="P92" s="759"/>
      <c r="Q92" s="759"/>
      <c r="R92" s="759"/>
      <c r="S92" s="759"/>
      <c r="T92" s="760"/>
    </row>
    <row r="93" spans="1:20" x14ac:dyDescent="0.25">
      <c r="A93" s="503"/>
      <c r="B93" s="757" t="s">
        <v>886</v>
      </c>
      <c r="C93" s="757"/>
      <c r="D93" s="757"/>
      <c r="E93" s="757"/>
      <c r="F93" s="757"/>
      <c r="G93" s="757"/>
      <c r="H93" s="757"/>
      <c r="I93" s="757"/>
      <c r="J93" s="757"/>
      <c r="K93" s="757"/>
      <c r="L93" s="757"/>
      <c r="M93" s="757"/>
      <c r="N93" s="757"/>
      <c r="O93" s="757"/>
      <c r="P93" s="757"/>
      <c r="Q93" s="757"/>
      <c r="R93" s="757"/>
      <c r="S93" s="757"/>
      <c r="T93" s="758"/>
    </row>
    <row r="94" spans="1:20" x14ac:dyDescent="0.25">
      <c r="A94" s="655" t="s">
        <v>2087</v>
      </c>
      <c r="B94" s="656" t="s">
        <v>887</v>
      </c>
      <c r="C94" s="656" t="s">
        <v>888</v>
      </c>
      <c r="D94" s="656" t="s">
        <v>889</v>
      </c>
      <c r="E94" s="656" t="s">
        <v>890</v>
      </c>
      <c r="F94" s="656" t="s">
        <v>891</v>
      </c>
      <c r="G94" s="656" t="s">
        <v>892</v>
      </c>
      <c r="H94" s="656" t="s">
        <v>893</v>
      </c>
      <c r="I94" s="656" t="s">
        <v>894</v>
      </c>
      <c r="J94" s="656" t="s">
        <v>895</v>
      </c>
      <c r="K94" s="656" t="s">
        <v>896</v>
      </c>
      <c r="L94" s="656" t="s">
        <v>897</v>
      </c>
      <c r="M94" s="656" t="s">
        <v>898</v>
      </c>
      <c r="N94" s="656" t="s">
        <v>899</v>
      </c>
      <c r="O94" s="656" t="s">
        <v>900</v>
      </c>
      <c r="P94" s="656" t="s">
        <v>901</v>
      </c>
      <c r="Q94" s="656" t="s">
        <v>902</v>
      </c>
      <c r="R94" s="656" t="s">
        <v>903</v>
      </c>
      <c r="S94" s="656" t="s">
        <v>904</v>
      </c>
      <c r="T94" s="657" t="s">
        <v>866</v>
      </c>
    </row>
    <row r="95" spans="1:20" x14ac:dyDescent="0.25">
      <c r="A95" s="648" t="s">
        <v>2083</v>
      </c>
      <c r="B95" s="499"/>
      <c r="C95" s="499"/>
      <c r="D95" s="499"/>
      <c r="E95" s="499"/>
      <c r="F95" s="499"/>
      <c r="G95" s="499"/>
      <c r="H95" s="499"/>
      <c r="I95" s="499"/>
      <c r="J95" s="499"/>
      <c r="K95" s="499"/>
      <c r="L95" s="499"/>
      <c r="M95" s="499"/>
      <c r="N95" s="499"/>
      <c r="O95" s="499"/>
      <c r="P95" s="499"/>
      <c r="Q95" s="499"/>
      <c r="R95" s="499"/>
      <c r="S95" s="499"/>
      <c r="T95" s="650"/>
    </row>
    <row r="96" spans="1:20" x14ac:dyDescent="0.25">
      <c r="A96" s="649" t="s">
        <v>2079</v>
      </c>
      <c r="B96" s="647"/>
      <c r="C96" s="647"/>
      <c r="D96" s="647"/>
      <c r="E96" s="647"/>
      <c r="F96" s="647"/>
      <c r="G96" s="647"/>
      <c r="H96" s="647"/>
      <c r="I96" s="647"/>
      <c r="J96" s="647"/>
      <c r="K96" s="647"/>
      <c r="L96" s="647"/>
      <c r="M96" s="647"/>
      <c r="N96" s="647"/>
      <c r="O96" s="647"/>
      <c r="P96" s="647"/>
      <c r="Q96" s="647"/>
      <c r="R96" s="647"/>
      <c r="S96" s="647"/>
      <c r="T96" s="651"/>
    </row>
    <row r="97" spans="1:20" x14ac:dyDescent="0.25">
      <c r="A97" s="649" t="s">
        <v>2084</v>
      </c>
      <c r="B97" s="646"/>
      <c r="C97" s="646"/>
      <c r="D97" s="646"/>
      <c r="E97" s="646"/>
      <c r="F97" s="646"/>
      <c r="G97" s="646"/>
      <c r="H97" s="646"/>
      <c r="I97" s="646"/>
      <c r="J97" s="646"/>
      <c r="K97" s="646"/>
      <c r="L97" s="646"/>
      <c r="M97" s="646"/>
      <c r="N97" s="646"/>
      <c r="O97" s="646"/>
      <c r="P97" s="646"/>
      <c r="Q97" s="646"/>
      <c r="R97" s="646"/>
      <c r="S97" s="646"/>
      <c r="T97" s="652"/>
    </row>
    <row r="98" spans="1:20" ht="15.75" thickBot="1" x14ac:dyDescent="0.3">
      <c r="A98" s="649" t="s">
        <v>2080</v>
      </c>
      <c r="B98" s="653"/>
      <c r="C98" s="653"/>
      <c r="D98" s="653"/>
      <c r="E98" s="653"/>
      <c r="F98" s="653"/>
      <c r="G98" s="653"/>
      <c r="H98" s="653"/>
      <c r="I98" s="653"/>
      <c r="J98" s="653"/>
      <c r="K98" s="653"/>
      <c r="L98" s="653"/>
      <c r="M98" s="653"/>
      <c r="N98" s="653"/>
      <c r="O98" s="653"/>
      <c r="P98" s="653"/>
      <c r="Q98" s="653"/>
      <c r="R98" s="653"/>
      <c r="S98" s="653"/>
      <c r="T98" s="654"/>
    </row>
    <row r="99" spans="1:20" ht="15.75" thickBot="1" x14ac:dyDescent="0.3">
      <c r="A99" s="500" t="s">
        <v>2081</v>
      </c>
      <c r="B99" s="501">
        <f>SUM(B95:T95)</f>
        <v>0</v>
      </c>
      <c r="C99" s="500" t="s">
        <v>905</v>
      </c>
      <c r="D99" s="504">
        <f>IFERROR($B99*INDEX(Utility_Rates[#All],MATCH("Electrical",Utility_Rates[[#All],[Power Type]],0),MATCH("Cost ($/kBTU) Conversion",Utility_Rates[#Headers],0)),"")</f>
        <v>0</v>
      </c>
      <c r="E99" s="153"/>
      <c r="F99" s="588"/>
      <c r="G99" s="153"/>
      <c r="H99" s="153"/>
      <c r="I99" s="153"/>
      <c r="J99" s="153"/>
      <c r="K99" s="153"/>
      <c r="L99" s="153"/>
      <c r="M99" s="153"/>
      <c r="N99" s="153"/>
      <c r="O99" s="153"/>
      <c r="P99" s="153"/>
      <c r="Q99" s="153"/>
      <c r="R99" s="153"/>
      <c r="S99" s="153"/>
      <c r="T99" s="153"/>
    </row>
    <row r="100" spans="1:20" ht="15.75" thickBot="1" x14ac:dyDescent="0.3">
      <c r="A100" s="500" t="s">
        <v>2082</v>
      </c>
      <c r="B100" s="501">
        <f>SUM(B97:T97)</f>
        <v>0</v>
      </c>
      <c r="C100" s="500" t="s">
        <v>906</v>
      </c>
      <c r="D100" s="504">
        <f>IFERROR($B100*INDEX(Utility_Rates[#All],MATCH("Natural Gas",Utility_Rates[[#All],[Power Type]],0),MATCH("Cost ($/kBTU) Conversion",Utility_Rates[#Headers],0)),"")</f>
        <v>0</v>
      </c>
      <c r="E100" s="153"/>
      <c r="F100" s="588"/>
      <c r="G100" s="153"/>
      <c r="H100" s="153"/>
      <c r="I100" s="153"/>
      <c r="J100" s="153"/>
      <c r="K100" s="153"/>
      <c r="L100" s="153"/>
      <c r="M100" s="153"/>
      <c r="N100" s="153"/>
      <c r="O100" s="153"/>
      <c r="P100" s="153"/>
      <c r="Q100" s="153"/>
      <c r="R100" s="153"/>
      <c r="S100" s="153"/>
      <c r="T100" s="153"/>
    </row>
    <row r="101" spans="1:20" ht="15.75" thickBot="1" x14ac:dyDescent="0.3">
      <c r="A101" s="500" t="s">
        <v>907</v>
      </c>
      <c r="B101" s="501">
        <f>SUM(B99:B100)</f>
        <v>0</v>
      </c>
      <c r="C101" s="500" t="s">
        <v>908</v>
      </c>
      <c r="D101" s="504">
        <f>SUM(D99:D100)</f>
        <v>0</v>
      </c>
    </row>
  </sheetData>
  <mergeCells count="18">
    <mergeCell ref="B92:T92"/>
    <mergeCell ref="B93:T93"/>
    <mergeCell ref="B70:T70"/>
    <mergeCell ref="B71:T71"/>
    <mergeCell ref="B81:T81"/>
    <mergeCell ref="B82:T82"/>
    <mergeCell ref="B49:T49"/>
    <mergeCell ref="B59:T59"/>
    <mergeCell ref="B60:T60"/>
    <mergeCell ref="B26:T26"/>
    <mergeCell ref="B27:T27"/>
    <mergeCell ref="B37:T37"/>
    <mergeCell ref="B38:T38"/>
    <mergeCell ref="B16:T16"/>
    <mergeCell ref="B15:T15"/>
    <mergeCell ref="B4:T4"/>
    <mergeCell ref="B5:T5"/>
    <mergeCell ref="B48:T48"/>
  </mergeCells>
  <pageMargins left="0.7" right="0.7" top="0.75" bottom="0.75" header="0.3" footer="0.3"/>
  <pageSetup orientation="portrait" r:id="rId1"/>
  <tableParts count="9">
    <tablePart r:id="rId2"/>
    <tablePart r:id="rId3"/>
    <tablePart r:id="rId4"/>
    <tablePart r:id="rId5"/>
    <tablePart r:id="rId6"/>
    <tablePart r:id="rId7"/>
    <tablePart r:id="rId8"/>
    <tablePart r:id="rId9"/>
    <tablePart r:id="rId10"/>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482F0-C252-4C2C-BF6A-1BF8AFA19E93}">
  <sheetPr codeName="Sheet20">
    <tabColor theme="5" tint="0.79998168889431442"/>
  </sheetPr>
  <dimension ref="A2:C9"/>
  <sheetViews>
    <sheetView zoomScale="70" zoomScaleNormal="70" workbookViewId="0">
      <selection activeCell="C26" sqref="C26"/>
    </sheetView>
  </sheetViews>
  <sheetFormatPr defaultRowHeight="15" customHeight="1" x14ac:dyDescent="0.25"/>
  <cols>
    <col min="1" max="1" width="14.28515625" bestFit="1" customWidth="1"/>
    <col min="2" max="2" width="87.28515625" bestFit="1" customWidth="1"/>
    <col min="3" max="3" width="155.5703125" customWidth="1"/>
  </cols>
  <sheetData>
    <row r="2" spans="1:3" x14ac:dyDescent="0.25">
      <c r="A2" s="542" t="s">
        <v>909</v>
      </c>
      <c r="B2" s="543" t="s">
        <v>868</v>
      </c>
      <c r="C2" s="544" t="s">
        <v>910</v>
      </c>
    </row>
    <row r="3" spans="1:3" x14ac:dyDescent="0.25">
      <c r="A3" s="545" t="s">
        <v>877</v>
      </c>
      <c r="B3" s="536"/>
      <c r="C3" s="538"/>
    </row>
    <row r="4" spans="1:3" x14ac:dyDescent="0.25">
      <c r="A4" s="546" t="s">
        <v>878</v>
      </c>
      <c r="B4" s="537"/>
      <c r="C4" s="539"/>
    </row>
    <row r="5" spans="1:3" x14ac:dyDescent="0.25">
      <c r="A5" s="545" t="s">
        <v>879</v>
      </c>
      <c r="B5" s="537"/>
      <c r="C5" s="539"/>
    </row>
    <row r="6" spans="1:3" x14ac:dyDescent="0.25">
      <c r="A6" s="546" t="s">
        <v>880</v>
      </c>
      <c r="B6" s="537"/>
      <c r="C6" s="539"/>
    </row>
    <row r="7" spans="1:3" x14ac:dyDescent="0.25">
      <c r="A7" s="545" t="s">
        <v>881</v>
      </c>
      <c r="B7" s="537"/>
      <c r="C7" s="539"/>
    </row>
    <row r="8" spans="1:3" x14ac:dyDescent="0.25">
      <c r="A8" s="546" t="s">
        <v>882</v>
      </c>
      <c r="B8" s="537"/>
      <c r="C8" s="539"/>
    </row>
    <row r="9" spans="1:3" x14ac:dyDescent="0.25">
      <c r="A9" s="545" t="s">
        <v>883</v>
      </c>
      <c r="B9" s="540"/>
      <c r="C9" s="541"/>
    </row>
  </sheetData>
  <phoneticPr fontId="49" type="noConversion"/>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5F0B3-9EFB-4698-8892-4A1C3E1EEF77}">
  <sheetPr codeName="Sheet7">
    <tabColor theme="4" tint="0.79998168889431442"/>
  </sheetPr>
  <dimension ref="A1:AE65"/>
  <sheetViews>
    <sheetView zoomScaleNormal="100" workbookViewId="0">
      <selection activeCell="A69" sqref="A69:E83"/>
    </sheetView>
  </sheetViews>
  <sheetFormatPr defaultRowHeight="15" x14ac:dyDescent="0.25"/>
  <cols>
    <col min="1" max="1" width="18.42578125" customWidth="1"/>
    <col min="2" max="2" width="16.42578125" customWidth="1"/>
    <col min="3" max="3" width="41" bestFit="1" customWidth="1"/>
    <col min="4" max="4" width="22.28515625" customWidth="1"/>
    <col min="5" max="5" width="29.85546875" customWidth="1"/>
    <col min="6" max="8" width="22.140625" customWidth="1"/>
    <col min="9" max="9" width="17" customWidth="1"/>
    <col min="10" max="10" width="19.140625" customWidth="1"/>
    <col min="11" max="11" width="23.42578125" bestFit="1" customWidth="1"/>
    <col min="12" max="12" width="29.42578125" bestFit="1" customWidth="1"/>
    <col min="13" max="13" width="13.28515625" customWidth="1"/>
    <col min="14" max="17" width="18.5703125" customWidth="1"/>
    <col min="18" max="18" width="34.28515625" customWidth="1"/>
    <col min="19" max="19" width="17" bestFit="1" customWidth="1"/>
    <col min="20" max="23" width="14.42578125" customWidth="1"/>
    <col min="24" max="24" width="20.7109375" customWidth="1"/>
    <col min="25" max="27" width="18.5703125" customWidth="1"/>
    <col min="28" max="28" width="34.28515625" customWidth="1"/>
    <col min="29" max="29" width="27.42578125" customWidth="1"/>
  </cols>
  <sheetData>
    <row r="1" spans="1:31" ht="15.75" thickBot="1" x14ac:dyDescent="0.3"/>
    <row r="2" spans="1:31" x14ac:dyDescent="0.25">
      <c r="A2" s="4" t="s">
        <v>12</v>
      </c>
      <c r="B2" s="5"/>
      <c r="C2" s="5"/>
      <c r="D2" s="5"/>
      <c r="E2" s="5"/>
      <c r="F2" s="5"/>
      <c r="G2" s="5"/>
      <c r="H2" s="5"/>
      <c r="I2" s="5"/>
      <c r="J2" s="5"/>
      <c r="K2" s="5"/>
      <c r="L2" s="6"/>
    </row>
    <row r="3" spans="1:31" x14ac:dyDescent="0.25">
      <c r="A3" s="117" t="s">
        <v>912</v>
      </c>
      <c r="B3" s="8"/>
      <c r="C3" s="8"/>
      <c r="D3" s="8"/>
      <c r="E3" s="8"/>
      <c r="F3" s="8"/>
      <c r="G3" s="8"/>
      <c r="H3" s="8"/>
      <c r="I3" s="8"/>
      <c r="J3" s="8"/>
      <c r="K3" s="8"/>
      <c r="L3" s="9"/>
    </row>
    <row r="4" spans="1:31" x14ac:dyDescent="0.25">
      <c r="A4" s="7" t="s">
        <v>913</v>
      </c>
      <c r="B4" s="8"/>
      <c r="C4" s="8"/>
      <c r="D4" s="8"/>
      <c r="E4" s="8"/>
      <c r="F4" s="8"/>
      <c r="G4" s="8"/>
      <c r="H4" s="8"/>
      <c r="I4" s="8"/>
      <c r="J4" s="8"/>
      <c r="K4" s="8"/>
      <c r="L4" s="9"/>
    </row>
    <row r="5" spans="1:31" x14ac:dyDescent="0.25">
      <c r="A5" s="7" t="s">
        <v>914</v>
      </c>
      <c r="B5" s="8"/>
      <c r="C5" s="8"/>
      <c r="D5" s="8"/>
      <c r="E5" s="8"/>
      <c r="F5" s="8"/>
      <c r="G5" s="8"/>
      <c r="H5" s="8"/>
      <c r="I5" s="8"/>
      <c r="J5" s="8"/>
      <c r="K5" s="8"/>
      <c r="L5" s="9"/>
    </row>
    <row r="6" spans="1:31" ht="15.75" thickBot="1" x14ac:dyDescent="0.3">
      <c r="A6" s="108"/>
      <c r="B6" s="11"/>
      <c r="C6" s="11"/>
      <c r="D6" s="11"/>
      <c r="E6" s="11"/>
      <c r="F6" s="11"/>
      <c r="G6" s="11"/>
      <c r="H6" s="11"/>
      <c r="I6" s="11"/>
      <c r="J6" s="11"/>
      <c r="K6" s="11"/>
      <c r="L6" s="12"/>
    </row>
    <row r="7" spans="1:31" ht="15.75" thickBot="1" x14ac:dyDescent="0.3"/>
    <row r="8" spans="1:31" x14ac:dyDescent="0.25">
      <c r="A8" s="4" t="s">
        <v>915</v>
      </c>
      <c r="B8" s="5"/>
      <c r="C8" s="5"/>
      <c r="D8" s="5"/>
      <c r="E8" s="5"/>
      <c r="F8" s="5"/>
      <c r="G8" s="5"/>
      <c r="H8" s="5"/>
      <c r="I8" s="5"/>
      <c r="J8" s="6"/>
    </row>
    <row r="9" spans="1:31" x14ac:dyDescent="0.25">
      <c r="A9" s="7" t="s">
        <v>916</v>
      </c>
      <c r="B9" s="463" t="s">
        <v>917</v>
      </c>
      <c r="C9" s="8"/>
      <c r="D9" s="8"/>
      <c r="E9" s="8"/>
      <c r="F9" s="8"/>
      <c r="G9" s="8"/>
      <c r="H9" s="8"/>
      <c r="I9" s="8"/>
      <c r="J9" s="9"/>
    </row>
    <row r="10" spans="1:31" x14ac:dyDescent="0.25">
      <c r="A10" s="7"/>
      <c r="B10" s="8"/>
      <c r="C10" s="8"/>
      <c r="D10" s="8"/>
      <c r="E10" s="8"/>
      <c r="F10" s="8"/>
      <c r="G10" s="8"/>
      <c r="H10" s="8"/>
      <c r="I10" s="8"/>
      <c r="J10" s="9"/>
    </row>
    <row r="11" spans="1:31" x14ac:dyDescent="0.25">
      <c r="A11" s="7"/>
      <c r="B11" s="107"/>
      <c r="C11" s="8"/>
      <c r="D11" s="8"/>
      <c r="E11" s="8"/>
      <c r="F11" s="8"/>
      <c r="G11" s="8"/>
      <c r="H11" s="8"/>
      <c r="I11" s="8"/>
      <c r="J11" s="9"/>
    </row>
    <row r="12" spans="1:31" x14ac:dyDescent="0.25">
      <c r="A12" s="7"/>
      <c r="B12" s="107"/>
      <c r="C12" s="8"/>
      <c r="D12" s="8"/>
      <c r="E12" s="8"/>
      <c r="F12" s="8"/>
      <c r="G12" s="8"/>
      <c r="H12" s="8"/>
      <c r="I12" s="8"/>
      <c r="J12" s="9"/>
    </row>
    <row r="13" spans="1:31" x14ac:dyDescent="0.25">
      <c r="A13" s="7"/>
      <c r="B13" s="107"/>
      <c r="C13" s="8"/>
      <c r="D13" s="8"/>
      <c r="E13" s="8"/>
      <c r="F13" s="8"/>
      <c r="G13" s="8"/>
      <c r="H13" s="8"/>
      <c r="I13" s="8"/>
      <c r="J13" s="9"/>
    </row>
    <row r="14" spans="1:31" ht="15.75" thickBot="1" x14ac:dyDescent="0.3">
      <c r="A14" s="108"/>
      <c r="B14" s="168"/>
      <c r="C14" s="11"/>
      <c r="D14" s="11"/>
      <c r="E14" s="11"/>
      <c r="F14" s="11"/>
      <c r="G14" s="11"/>
      <c r="H14" s="11"/>
      <c r="I14" s="11"/>
      <c r="J14" s="12"/>
    </row>
    <row r="15" spans="1:31" ht="15.75" thickBot="1" x14ac:dyDescent="0.3"/>
    <row r="16" spans="1:31" ht="15.75" thickBot="1" x14ac:dyDescent="0.3">
      <c r="A16" s="761" t="s">
        <v>918</v>
      </c>
      <c r="B16" s="762"/>
      <c r="C16" s="763"/>
      <c r="D16" s="761" t="s">
        <v>919</v>
      </c>
      <c r="E16" s="762"/>
      <c r="F16" s="762"/>
      <c r="G16" s="762"/>
      <c r="H16" s="762"/>
      <c r="I16" s="762"/>
      <c r="J16" s="762"/>
      <c r="K16" s="762"/>
      <c r="L16" s="762"/>
      <c r="M16" s="763"/>
      <c r="N16" s="761" t="s">
        <v>920</v>
      </c>
      <c r="O16" s="762"/>
      <c r="P16" s="762"/>
      <c r="Q16" s="762"/>
      <c r="R16" s="762"/>
      <c r="S16" s="762"/>
      <c r="T16" s="762"/>
      <c r="U16" s="763"/>
      <c r="V16" s="761" t="s">
        <v>921</v>
      </c>
      <c r="W16" s="762"/>
      <c r="X16" s="762"/>
      <c r="Y16" s="762"/>
      <c r="Z16" s="762"/>
      <c r="AA16" s="762"/>
      <c r="AB16" s="762"/>
      <c r="AC16" s="762"/>
      <c r="AD16" s="762"/>
      <c r="AE16" s="763"/>
    </row>
    <row r="17" spans="1:31" ht="45" x14ac:dyDescent="0.25">
      <c r="A17" s="169" t="s">
        <v>922</v>
      </c>
      <c r="B17" s="169" t="s">
        <v>923</v>
      </c>
      <c r="C17" s="169" t="s">
        <v>924</v>
      </c>
      <c r="D17" s="169" t="s">
        <v>925</v>
      </c>
      <c r="E17" s="169" t="s">
        <v>926</v>
      </c>
      <c r="F17" s="169" t="s">
        <v>927</v>
      </c>
      <c r="G17" s="169" t="s">
        <v>928</v>
      </c>
      <c r="H17" s="169" t="s">
        <v>929</v>
      </c>
      <c r="I17" s="169" t="s">
        <v>930</v>
      </c>
      <c r="J17" s="169" t="s">
        <v>931</v>
      </c>
      <c r="K17" s="169" t="s">
        <v>932</v>
      </c>
      <c r="L17" s="170" t="s">
        <v>933</v>
      </c>
      <c r="M17" s="170" t="s">
        <v>934</v>
      </c>
      <c r="N17" s="169" t="s">
        <v>935</v>
      </c>
      <c r="O17" s="169" t="s">
        <v>936</v>
      </c>
      <c r="P17" s="169" t="s">
        <v>937</v>
      </c>
      <c r="Q17" s="169" t="s">
        <v>938</v>
      </c>
      <c r="R17" s="170" t="s">
        <v>939</v>
      </c>
      <c r="S17" s="169" t="s">
        <v>940</v>
      </c>
      <c r="T17" s="169" t="s">
        <v>941</v>
      </c>
      <c r="U17" s="169" t="s">
        <v>942</v>
      </c>
      <c r="V17" s="169" t="s">
        <v>943</v>
      </c>
      <c r="W17" s="169" t="s">
        <v>944</v>
      </c>
      <c r="X17" s="169" t="s">
        <v>945</v>
      </c>
      <c r="Y17" s="169" t="s">
        <v>946</v>
      </c>
      <c r="Z17" s="169" t="s">
        <v>947</v>
      </c>
      <c r="AA17" s="169" t="s">
        <v>948</v>
      </c>
      <c r="AB17" s="170" t="s">
        <v>949</v>
      </c>
      <c r="AC17" s="169" t="s">
        <v>950</v>
      </c>
      <c r="AD17" s="169" t="s">
        <v>951</v>
      </c>
      <c r="AE17" s="169" t="s">
        <v>952</v>
      </c>
    </row>
    <row r="18" spans="1:31" x14ac:dyDescent="0.25">
      <c r="A18" s="19" t="s">
        <v>6</v>
      </c>
      <c r="B18" s="19" t="s">
        <v>953</v>
      </c>
      <c r="C18" s="19" t="s">
        <v>954</v>
      </c>
      <c r="D18" s="20">
        <v>47500</v>
      </c>
      <c r="E18" s="20">
        <f>ProposedAirside[[#This Row],[Design Airflow '[CFM']]]</f>
        <v>47500</v>
      </c>
      <c r="F18" s="19" t="s">
        <v>955</v>
      </c>
      <c r="G18" s="19"/>
      <c r="H18" s="19"/>
      <c r="I18" s="19"/>
      <c r="J18" s="19"/>
      <c r="K18" s="19"/>
      <c r="L18" s="19" t="str">
        <f>IF(ISBLANK(ProposedAirside[[#This Row],[Fan Power '[BHP']]]),"",ProposedAirside[[#This Row],[Fan Power '[BHP']]]*0.746*ProposedAirside[[#This Row],[Fan QTY]])</f>
        <v/>
      </c>
      <c r="M18" s="134" t="str">
        <f>IFERROR(ProposedAirside[[#This Row],[IES Fan Power '[kW']]]*1000/ProposedAirside[[#This Row],[Design Airflow '[CFM']]],"")</f>
        <v/>
      </c>
      <c r="N18" s="19"/>
      <c r="O18" s="19"/>
      <c r="P18" s="19"/>
      <c r="Q18" s="20"/>
      <c r="R18" s="20">
        <f>IF(ISBLANK(ProposedAirside[[#This Row],[Design Outdoor Airflow '[CFM']]]),"",1.08*(ProposedAirside[[#This Row],[Heating LAT '[F']]]-ProposedAirside[[#This Row],[Heating EAT '[F']]])*ProposedAirside[[#This Row],[Design Outdoor Airflow '[CFM']]]/1000)</f>
        <v>0</v>
      </c>
      <c r="S18" s="19"/>
      <c r="T18" s="19"/>
      <c r="U18" s="19"/>
      <c r="V18" s="19"/>
      <c r="W18" s="19"/>
      <c r="X18" s="19"/>
      <c r="Y18" s="19"/>
      <c r="Z18" s="19"/>
      <c r="AA18" s="20"/>
      <c r="AB18" s="20">
        <f>IF(ISBLANK(ProposedAirside[[#This Row],[Design Airflow '[CFM']]]),"",1.1*(ProposedAirside[[#This Row],[Cooling EAT - DB '[F']]]-ProposedAirside[[#This Row],[Cooling LAT - DB '[F']]])*ProposedAirside[[#This Row],[Design Outdoor Airflow '[CFM']]]/1000)</f>
        <v>0</v>
      </c>
      <c r="AC18" s="20"/>
      <c r="AD18" s="19"/>
      <c r="AE18" s="19"/>
    </row>
    <row r="19" spans="1:31" x14ac:dyDescent="0.25">
      <c r="A19" s="19"/>
      <c r="B19" s="19"/>
      <c r="C19" s="19"/>
      <c r="D19" s="20"/>
      <c r="E19" s="20"/>
      <c r="F19" s="19"/>
      <c r="G19" s="19"/>
      <c r="H19" s="19"/>
      <c r="I19" s="19"/>
      <c r="J19" s="19"/>
      <c r="K19" s="19"/>
      <c r="L19" s="19" t="str">
        <f>IF(ISBLANK(ProposedAirside[[#This Row],[Fan Power '[BHP']]]),"",ProposedAirside[[#This Row],[Fan Power '[BHP']]]*0.746*ProposedAirside[[#This Row],[Fan QTY]])</f>
        <v/>
      </c>
      <c r="M19" s="134" t="str">
        <f>IFERROR(ProposedAirside[[#This Row],[IES Fan Power '[kW']]]*1000/ProposedAirside[[#This Row],[Design Airflow '[CFM']]],"")</f>
        <v/>
      </c>
      <c r="N19" s="19"/>
      <c r="O19" s="19"/>
      <c r="P19" s="19"/>
      <c r="Q19" s="20"/>
      <c r="R19" s="20" t="str">
        <f>IF(ISBLANK(ProposedAirside[[#This Row],[Design Outdoor Airflow '[CFM']]]),"",1.08*(ProposedAirside[[#This Row],[Heating LAT '[F']]]-ProposedAirside[[#This Row],[Heating EAT '[F']]])*ProposedAirside[[#This Row],[Design Outdoor Airflow '[CFM']]]/1000)</f>
        <v/>
      </c>
      <c r="S19" s="19"/>
      <c r="T19" s="19"/>
      <c r="U19" s="19"/>
      <c r="V19" s="19"/>
      <c r="W19" s="19"/>
      <c r="X19" s="19"/>
      <c r="Y19" s="19"/>
      <c r="Z19" s="19"/>
      <c r="AA19" s="20"/>
      <c r="AB19" s="20" t="str">
        <f>IF(ISBLANK(ProposedAirside[[#This Row],[Design Airflow '[CFM']]]),"",1.1*(ProposedAirside[[#This Row],[Cooling EAT - DB '[F']]]-ProposedAirside[[#This Row],[Cooling LAT - DB '[F']]])*ProposedAirside[[#This Row],[Design Outdoor Airflow '[CFM']]]/1000)</f>
        <v/>
      </c>
      <c r="AC19" s="20"/>
      <c r="AD19" s="19"/>
      <c r="AE19" s="19"/>
    </row>
    <row r="20" spans="1:31" x14ac:dyDescent="0.25">
      <c r="A20" s="19"/>
      <c r="B20" s="19"/>
      <c r="C20" s="19"/>
      <c r="D20" s="20"/>
      <c r="E20" s="20"/>
      <c r="F20" s="19"/>
      <c r="G20" s="19"/>
      <c r="H20" s="19"/>
      <c r="I20" s="19"/>
      <c r="J20" s="19"/>
      <c r="K20" s="19"/>
      <c r="L20" s="19" t="str">
        <f>IF(ISBLANK(ProposedAirside[[#This Row],[Fan Power '[BHP']]]),"",ProposedAirside[[#This Row],[Fan Power '[BHP']]]*0.746*ProposedAirside[[#This Row],[Fan QTY]])</f>
        <v/>
      </c>
      <c r="M20" s="134" t="str">
        <f>IFERROR(ProposedAirside[[#This Row],[IES Fan Power '[kW']]]*1000/ProposedAirside[[#This Row],[Design Airflow '[CFM']]],"")</f>
        <v/>
      </c>
      <c r="N20" s="19"/>
      <c r="O20" s="19"/>
      <c r="P20" s="19"/>
      <c r="Q20" s="20"/>
      <c r="R20" s="20" t="str">
        <f>IF(ISBLANK(ProposedAirside[[#This Row],[Design Outdoor Airflow '[CFM']]]),"",1.08*(ProposedAirside[[#This Row],[Heating LAT '[F']]]-ProposedAirside[[#This Row],[Heating EAT '[F']]])*ProposedAirside[[#This Row],[Design Outdoor Airflow '[CFM']]]/1000)</f>
        <v/>
      </c>
      <c r="S20" s="19"/>
      <c r="T20" s="19"/>
      <c r="U20" s="19"/>
      <c r="V20" s="19"/>
      <c r="W20" s="19"/>
      <c r="X20" s="19"/>
      <c r="Y20" s="19"/>
      <c r="Z20" s="19"/>
      <c r="AA20" s="20"/>
      <c r="AB20" s="20" t="str">
        <f>IF(ISBLANK(ProposedAirside[[#This Row],[Design Airflow '[CFM']]]),"",1.1*(ProposedAirside[[#This Row],[Cooling EAT - DB '[F']]]-ProposedAirside[[#This Row],[Cooling LAT - DB '[F']]])*ProposedAirside[[#This Row],[Design Outdoor Airflow '[CFM']]]/1000)</f>
        <v/>
      </c>
      <c r="AC20" s="20"/>
      <c r="AD20" s="19"/>
      <c r="AE20" s="19"/>
    </row>
    <row r="21" spans="1:31" x14ac:dyDescent="0.25">
      <c r="A21" s="19"/>
      <c r="B21" s="19"/>
      <c r="C21" s="19"/>
      <c r="D21" s="20"/>
      <c r="E21" s="20"/>
      <c r="F21" s="19"/>
      <c r="G21" s="19"/>
      <c r="H21" s="19"/>
      <c r="I21" s="19"/>
      <c r="J21" s="19"/>
      <c r="K21" s="19"/>
      <c r="L21" s="19" t="str">
        <f>IF(ISBLANK(ProposedAirside[[#This Row],[Fan Power '[BHP']]]),"",ProposedAirside[[#This Row],[Fan Power '[BHP']]]*0.746*ProposedAirside[[#This Row],[Fan QTY]])</f>
        <v/>
      </c>
      <c r="M21" s="134" t="str">
        <f>IFERROR(ProposedAirside[[#This Row],[IES Fan Power '[kW']]]*1000/ProposedAirside[[#This Row],[Design Airflow '[CFM']]],"")</f>
        <v/>
      </c>
      <c r="N21" s="19"/>
      <c r="O21" s="19"/>
      <c r="P21" s="19"/>
      <c r="Q21" s="20"/>
      <c r="R21" s="20" t="str">
        <f>IF(ISBLANK(ProposedAirside[[#This Row],[Design Outdoor Airflow '[CFM']]]),"",1.08*(ProposedAirside[[#This Row],[Heating LAT '[F']]]-ProposedAirside[[#This Row],[Heating EAT '[F']]])*ProposedAirside[[#This Row],[Design Outdoor Airflow '[CFM']]]/1000)</f>
        <v/>
      </c>
      <c r="S21" s="19"/>
      <c r="T21" s="19"/>
      <c r="U21" s="19"/>
      <c r="V21" s="19"/>
      <c r="W21" s="19"/>
      <c r="X21" s="19"/>
      <c r="Y21" s="19"/>
      <c r="Z21" s="19"/>
      <c r="AA21" s="20"/>
      <c r="AB21" s="20" t="str">
        <f>IF(ISBLANK(ProposedAirside[[#This Row],[Design Airflow '[CFM']]]),"",1.1*(ProposedAirside[[#This Row],[Cooling EAT - DB '[F']]]-ProposedAirside[[#This Row],[Cooling LAT - DB '[F']]])*ProposedAirside[[#This Row],[Design Outdoor Airflow '[CFM']]]/1000)</f>
        <v/>
      </c>
      <c r="AC21" s="20"/>
      <c r="AD21" s="19"/>
      <c r="AE21" s="19"/>
    </row>
    <row r="22" spans="1:31" x14ac:dyDescent="0.25">
      <c r="A22" s="19"/>
      <c r="B22" s="19"/>
      <c r="C22" s="19"/>
      <c r="D22" s="20"/>
      <c r="E22" s="20"/>
      <c r="F22" s="19"/>
      <c r="G22" s="19"/>
      <c r="H22" s="19"/>
      <c r="I22" s="19"/>
      <c r="J22" s="19"/>
      <c r="K22" s="19"/>
      <c r="L22" s="19" t="str">
        <f>IF(ISBLANK(ProposedAirside[[#This Row],[Fan Power '[BHP']]]),"",ProposedAirside[[#This Row],[Fan Power '[BHP']]]*0.746*ProposedAirside[[#This Row],[Fan QTY]])</f>
        <v/>
      </c>
      <c r="M22" s="134" t="str">
        <f>IFERROR(ProposedAirside[[#This Row],[IES Fan Power '[kW']]]*1000/ProposedAirside[[#This Row],[Design Airflow '[CFM']]],"")</f>
        <v/>
      </c>
      <c r="N22" s="19"/>
      <c r="O22" s="19"/>
      <c r="P22" s="19"/>
      <c r="Q22" s="20"/>
      <c r="R22" s="20" t="str">
        <f>IF(ISBLANK(ProposedAirside[[#This Row],[Design Outdoor Airflow '[CFM']]]),"",1.08*(ProposedAirside[[#This Row],[Heating LAT '[F']]]-ProposedAirside[[#This Row],[Heating EAT '[F']]])*ProposedAirside[[#This Row],[Design Outdoor Airflow '[CFM']]]/1000)</f>
        <v/>
      </c>
      <c r="S22" s="19"/>
      <c r="T22" s="19"/>
      <c r="U22" s="19"/>
      <c r="V22" s="19"/>
      <c r="W22" s="19"/>
      <c r="X22" s="19"/>
      <c r="Y22" s="19"/>
      <c r="Z22" s="19"/>
      <c r="AA22" s="20"/>
      <c r="AB22" s="20" t="str">
        <f>IF(ISBLANK(ProposedAirside[[#This Row],[Design Airflow '[CFM']]]),"",1.1*(ProposedAirside[[#This Row],[Cooling EAT - DB '[F']]]-ProposedAirside[[#This Row],[Cooling LAT - DB '[F']]])*ProposedAirside[[#This Row],[Design Outdoor Airflow '[CFM']]]/1000)</f>
        <v/>
      </c>
      <c r="AC22" s="20"/>
      <c r="AD22" s="19"/>
      <c r="AE22" s="19"/>
    </row>
    <row r="23" spans="1:31" x14ac:dyDescent="0.25">
      <c r="A23" s="19"/>
      <c r="B23" s="19"/>
      <c r="C23" s="19"/>
      <c r="D23" s="20"/>
      <c r="E23" s="20"/>
      <c r="F23" s="19"/>
      <c r="G23" s="19"/>
      <c r="H23" s="19"/>
      <c r="I23" s="19"/>
      <c r="J23" s="19"/>
      <c r="K23" s="19"/>
      <c r="L23" s="19" t="str">
        <f>IF(ISBLANK(ProposedAirside[[#This Row],[Fan Power '[BHP']]]),"",ProposedAirside[[#This Row],[Fan Power '[BHP']]]*0.746*ProposedAirside[[#This Row],[Fan QTY]])</f>
        <v/>
      </c>
      <c r="M23" s="134" t="str">
        <f>IFERROR(ProposedAirside[[#This Row],[IES Fan Power '[kW']]]*1000/ProposedAirside[[#This Row],[Design Airflow '[CFM']]],"")</f>
        <v/>
      </c>
      <c r="N23" s="19"/>
      <c r="O23" s="19"/>
      <c r="P23" s="19"/>
      <c r="Q23" s="20"/>
      <c r="R23" s="20" t="str">
        <f>IF(ISBLANK(ProposedAirside[[#This Row],[Design Outdoor Airflow '[CFM']]]),"",1.08*(ProposedAirside[[#This Row],[Heating LAT '[F']]]-ProposedAirside[[#This Row],[Heating EAT '[F']]])*ProposedAirside[[#This Row],[Design Outdoor Airflow '[CFM']]]/1000)</f>
        <v/>
      </c>
      <c r="S23" s="19"/>
      <c r="T23" s="19"/>
      <c r="U23" s="19"/>
      <c r="V23" s="19"/>
      <c r="W23" s="19"/>
      <c r="X23" s="19"/>
      <c r="Y23" s="19"/>
      <c r="Z23" s="19"/>
      <c r="AA23" s="20"/>
      <c r="AB23" s="20" t="str">
        <f>IF(ISBLANK(ProposedAirside[[#This Row],[Design Airflow '[CFM']]]),"",1.1*(ProposedAirside[[#This Row],[Cooling EAT - DB '[F']]]-ProposedAirside[[#This Row],[Cooling LAT - DB '[F']]])*ProposedAirside[[#This Row],[Design Outdoor Airflow '[CFM']]]/1000)</f>
        <v/>
      </c>
      <c r="AC23" s="20"/>
      <c r="AD23" s="19"/>
      <c r="AE23" s="19"/>
    </row>
    <row r="24" spans="1:31" x14ac:dyDescent="0.25">
      <c r="A24" s="19"/>
      <c r="B24" s="19"/>
      <c r="C24" s="19"/>
      <c r="D24" s="20"/>
      <c r="E24" s="20"/>
      <c r="F24" s="19"/>
      <c r="G24" s="19"/>
      <c r="H24" s="19"/>
      <c r="I24" s="19"/>
      <c r="J24" s="19"/>
      <c r="K24" s="19"/>
      <c r="L24" s="19" t="str">
        <f>IF(ISBLANK(ProposedAirside[[#This Row],[Fan Power '[BHP']]]),"",ProposedAirside[[#This Row],[Fan Power '[BHP']]]*0.746*ProposedAirside[[#This Row],[Fan QTY]])</f>
        <v/>
      </c>
      <c r="M24" s="134" t="str">
        <f>IFERROR(ProposedAirside[[#This Row],[IES Fan Power '[kW']]]*1000/ProposedAirside[[#This Row],[Design Airflow '[CFM']]],"")</f>
        <v/>
      </c>
      <c r="N24" s="19"/>
      <c r="O24" s="19"/>
      <c r="P24" s="19"/>
      <c r="Q24" s="20"/>
      <c r="R24" s="20" t="str">
        <f>IF(ISBLANK(ProposedAirside[[#This Row],[Design Outdoor Airflow '[CFM']]]),"",1.08*(ProposedAirside[[#This Row],[Heating LAT '[F']]]-ProposedAirside[[#This Row],[Heating EAT '[F']]])*ProposedAirside[[#This Row],[Design Outdoor Airflow '[CFM']]]/1000)</f>
        <v/>
      </c>
      <c r="S24" s="19"/>
      <c r="T24" s="19"/>
      <c r="U24" s="19"/>
      <c r="V24" s="19"/>
      <c r="W24" s="19"/>
      <c r="X24" s="19"/>
      <c r="Y24" s="19"/>
      <c r="Z24" s="19"/>
      <c r="AA24" s="20"/>
      <c r="AB24" s="20" t="str">
        <f>IF(ISBLANK(ProposedAirside[[#This Row],[Design Airflow '[CFM']]]),"",1.1*(ProposedAirside[[#This Row],[Cooling EAT - DB '[F']]]-ProposedAirside[[#This Row],[Cooling LAT - DB '[F']]])*ProposedAirside[[#This Row],[Design Outdoor Airflow '[CFM']]]/1000)</f>
        <v/>
      </c>
      <c r="AC24" s="20"/>
      <c r="AD24" s="19"/>
      <c r="AE24" s="19"/>
    </row>
    <row r="25" spans="1:31" x14ac:dyDescent="0.25">
      <c r="A25" s="19"/>
      <c r="B25" s="19"/>
      <c r="C25" s="19"/>
      <c r="D25" s="20"/>
      <c r="E25" s="20"/>
      <c r="F25" s="19"/>
      <c r="G25" s="19"/>
      <c r="H25" s="19"/>
      <c r="I25" s="19"/>
      <c r="J25" s="19"/>
      <c r="K25" s="19"/>
      <c r="L25" s="19" t="str">
        <f>IF(ISBLANK(ProposedAirside[[#This Row],[Fan Power '[BHP']]]),"",ProposedAirside[[#This Row],[Fan Power '[BHP']]]*0.746*ProposedAirside[[#This Row],[Fan QTY]])</f>
        <v/>
      </c>
      <c r="M25" s="134" t="str">
        <f>IFERROR(ProposedAirside[[#This Row],[IES Fan Power '[kW']]]*1000/ProposedAirside[[#This Row],[Design Airflow '[CFM']]],"")</f>
        <v/>
      </c>
      <c r="N25" s="19"/>
      <c r="O25" s="19"/>
      <c r="P25" s="19"/>
      <c r="Q25" s="20"/>
      <c r="R25" s="20" t="str">
        <f>IF(ISBLANK(ProposedAirside[[#This Row],[Design Outdoor Airflow '[CFM']]]),"",1.08*(ProposedAirside[[#This Row],[Heating LAT '[F']]]-ProposedAirside[[#This Row],[Heating EAT '[F']]])*ProposedAirside[[#This Row],[Design Outdoor Airflow '[CFM']]]/1000)</f>
        <v/>
      </c>
      <c r="S25" s="19"/>
      <c r="T25" s="19"/>
      <c r="U25" s="19"/>
      <c r="V25" s="19"/>
      <c r="W25" s="19"/>
      <c r="X25" s="19"/>
      <c r="Y25" s="19"/>
      <c r="Z25" s="19"/>
      <c r="AA25" s="20"/>
      <c r="AB25" s="20" t="str">
        <f>IF(ISBLANK(ProposedAirside[[#This Row],[Design Airflow '[CFM']]]),"",1.1*(ProposedAirside[[#This Row],[Cooling EAT - DB '[F']]]-ProposedAirside[[#This Row],[Cooling LAT - DB '[F']]])*ProposedAirside[[#This Row],[Design Outdoor Airflow '[CFM']]]/1000)</f>
        <v/>
      </c>
      <c r="AC25" s="20"/>
      <c r="AD25" s="19"/>
      <c r="AE25" s="19"/>
    </row>
    <row r="26" spans="1:31" x14ac:dyDescent="0.25">
      <c r="A26" s="19"/>
      <c r="B26" s="19"/>
      <c r="C26" s="19"/>
      <c r="D26" s="20"/>
      <c r="E26" s="20"/>
      <c r="F26" s="19"/>
      <c r="G26" s="19"/>
      <c r="H26" s="19"/>
      <c r="I26" s="19"/>
      <c r="J26" s="19"/>
      <c r="K26" s="19"/>
      <c r="L26" s="19" t="str">
        <f>IF(ISBLANK(ProposedAirside[[#This Row],[Fan Power '[BHP']]]),"",ProposedAirside[[#This Row],[Fan Power '[BHP']]]*0.746*ProposedAirside[[#This Row],[Fan QTY]])</f>
        <v/>
      </c>
      <c r="M26" s="134" t="str">
        <f>IFERROR(ProposedAirside[[#This Row],[IES Fan Power '[kW']]]*1000/ProposedAirside[[#This Row],[Design Airflow '[CFM']]],"")</f>
        <v/>
      </c>
      <c r="N26" s="19"/>
      <c r="O26" s="19"/>
      <c r="P26" s="19"/>
      <c r="Q26" s="20"/>
      <c r="R26" s="20" t="str">
        <f>IF(ISBLANK(ProposedAirside[[#This Row],[Design Outdoor Airflow '[CFM']]]),"",1.08*(ProposedAirside[[#This Row],[Heating LAT '[F']]]-ProposedAirside[[#This Row],[Heating EAT '[F']]])*ProposedAirside[[#This Row],[Design Outdoor Airflow '[CFM']]]/1000)</f>
        <v/>
      </c>
      <c r="S26" s="19"/>
      <c r="T26" s="19"/>
      <c r="U26" s="19"/>
      <c r="V26" s="19"/>
      <c r="W26" s="19"/>
      <c r="X26" s="19"/>
      <c r="Y26" s="19"/>
      <c r="Z26" s="19"/>
      <c r="AA26" s="20"/>
      <c r="AB26" s="20" t="str">
        <f>IF(ISBLANK(ProposedAirside[[#This Row],[Design Airflow '[CFM']]]),"",1.1*(ProposedAirside[[#This Row],[Cooling EAT - DB '[F']]]-ProposedAirside[[#This Row],[Cooling LAT - DB '[F']]])*ProposedAirside[[#This Row],[Design Outdoor Airflow '[CFM']]]/1000)</f>
        <v/>
      </c>
      <c r="AC26" s="20"/>
      <c r="AD26" s="19"/>
      <c r="AE26" s="19"/>
    </row>
    <row r="27" spans="1:31" x14ac:dyDescent="0.25">
      <c r="A27" s="19"/>
      <c r="B27" s="19"/>
      <c r="C27" s="19"/>
      <c r="D27" s="20"/>
      <c r="E27" s="20"/>
      <c r="F27" s="19"/>
      <c r="G27" s="19"/>
      <c r="H27" s="19"/>
      <c r="I27" s="19"/>
      <c r="J27" s="19"/>
      <c r="K27" s="19"/>
      <c r="L27" s="19" t="str">
        <f>IF(ISBLANK(ProposedAirside[[#This Row],[Fan Power '[BHP']]]),"",ProposedAirside[[#This Row],[Fan Power '[BHP']]]*0.746*ProposedAirside[[#This Row],[Fan QTY]])</f>
        <v/>
      </c>
      <c r="M27" s="134" t="str">
        <f>IFERROR(ProposedAirside[[#This Row],[IES Fan Power '[kW']]]*1000/ProposedAirside[[#This Row],[Design Airflow '[CFM']]],"")</f>
        <v/>
      </c>
      <c r="N27" s="19"/>
      <c r="O27" s="19"/>
      <c r="P27" s="19"/>
      <c r="Q27" s="20"/>
      <c r="R27" s="20" t="str">
        <f>IF(ISBLANK(ProposedAirside[[#This Row],[Design Outdoor Airflow '[CFM']]]),"",1.08*(ProposedAirside[[#This Row],[Heating LAT '[F']]]-ProposedAirside[[#This Row],[Heating EAT '[F']]])*ProposedAirside[[#This Row],[Design Outdoor Airflow '[CFM']]]/1000)</f>
        <v/>
      </c>
      <c r="S27" s="19"/>
      <c r="T27" s="19"/>
      <c r="U27" s="19"/>
      <c r="V27" s="19"/>
      <c r="W27" s="19"/>
      <c r="X27" s="19"/>
      <c r="Y27" s="19"/>
      <c r="Z27" s="19"/>
      <c r="AA27" s="20"/>
      <c r="AB27" s="20" t="str">
        <f>IF(ISBLANK(ProposedAirside[[#This Row],[Design Airflow '[CFM']]]),"",1.1*(ProposedAirside[[#This Row],[Cooling EAT - DB '[F']]]-ProposedAirside[[#This Row],[Cooling LAT - DB '[F']]])*ProposedAirside[[#This Row],[Design Outdoor Airflow '[CFM']]]/1000)</f>
        <v/>
      </c>
      <c r="AC27" s="20"/>
      <c r="AD27" s="19"/>
      <c r="AE27" s="19"/>
    </row>
    <row r="28" spans="1:31" x14ac:dyDescent="0.25">
      <c r="A28" s="19"/>
      <c r="B28" s="19"/>
      <c r="C28" s="19"/>
      <c r="D28" s="20"/>
      <c r="E28" s="20"/>
      <c r="F28" s="19"/>
      <c r="G28" s="19"/>
      <c r="H28" s="19"/>
      <c r="I28" s="19"/>
      <c r="J28" s="19"/>
      <c r="K28" s="19"/>
      <c r="L28" s="19" t="str">
        <f>IF(ISBLANK(ProposedAirside[[#This Row],[Fan Power '[BHP']]]),"",ProposedAirside[[#This Row],[Fan Power '[BHP']]]*0.746*ProposedAirside[[#This Row],[Fan QTY]])</f>
        <v/>
      </c>
      <c r="M28" s="134" t="str">
        <f>IFERROR(ProposedAirside[[#This Row],[IES Fan Power '[kW']]]*1000/ProposedAirside[[#This Row],[Design Airflow '[CFM']]],"")</f>
        <v/>
      </c>
      <c r="N28" s="19"/>
      <c r="O28" s="19"/>
      <c r="P28" s="19"/>
      <c r="Q28" s="20"/>
      <c r="R28" s="20" t="str">
        <f>IF(ISBLANK(ProposedAirside[[#This Row],[Design Outdoor Airflow '[CFM']]]),"",1.08*(ProposedAirside[[#This Row],[Heating LAT '[F']]]-ProposedAirside[[#This Row],[Heating EAT '[F']]])*ProposedAirside[[#This Row],[Design Outdoor Airflow '[CFM']]]/1000)</f>
        <v/>
      </c>
      <c r="S28" s="19"/>
      <c r="T28" s="19"/>
      <c r="U28" s="19"/>
      <c r="V28" s="19"/>
      <c r="W28" s="19"/>
      <c r="X28" s="19"/>
      <c r="Y28" s="19"/>
      <c r="Z28" s="19"/>
      <c r="AA28" s="20"/>
      <c r="AB28" s="20" t="str">
        <f>IF(ISBLANK(ProposedAirside[[#This Row],[Design Airflow '[CFM']]]),"",1.1*(ProposedAirside[[#This Row],[Cooling EAT - DB '[F']]]-ProposedAirside[[#This Row],[Cooling LAT - DB '[F']]])*ProposedAirside[[#This Row],[Design Outdoor Airflow '[CFM']]]/1000)</f>
        <v/>
      </c>
      <c r="AC28" s="20"/>
      <c r="AD28" s="20"/>
      <c r="AE28" s="19"/>
    </row>
    <row r="29" spans="1:31" x14ac:dyDescent="0.25">
      <c r="A29" s="19"/>
      <c r="B29" s="19"/>
      <c r="C29" s="19"/>
      <c r="D29" s="20"/>
      <c r="E29" s="20"/>
      <c r="F29" s="19"/>
      <c r="G29" s="19"/>
      <c r="H29" s="19"/>
      <c r="I29" s="19"/>
      <c r="J29" s="19"/>
      <c r="K29" s="19"/>
      <c r="L29" s="19" t="str">
        <f>IF(ISBLANK(ProposedAirside[[#This Row],[Fan Power '[BHP']]]),"",ProposedAirside[[#This Row],[Fan Power '[BHP']]]*0.746*ProposedAirside[[#This Row],[Fan QTY]])</f>
        <v/>
      </c>
      <c r="M29" s="134" t="str">
        <f>IFERROR(ProposedAirside[[#This Row],[IES Fan Power '[kW']]]*1000/ProposedAirside[[#This Row],[Design Airflow '[CFM']]],"")</f>
        <v/>
      </c>
      <c r="N29" s="19"/>
      <c r="O29" s="19"/>
      <c r="P29" s="19"/>
      <c r="Q29" s="20"/>
      <c r="R29" s="20" t="str">
        <f>IF(ISBLANK(ProposedAirside[[#This Row],[Design Outdoor Airflow '[CFM']]]),"",1.08*(ProposedAirside[[#This Row],[Heating LAT '[F']]]-ProposedAirside[[#This Row],[Heating EAT '[F']]])*ProposedAirside[[#This Row],[Design Outdoor Airflow '[CFM']]]/1000)</f>
        <v/>
      </c>
      <c r="S29" s="19"/>
      <c r="T29" s="19"/>
      <c r="U29" s="19"/>
      <c r="V29" s="19"/>
      <c r="W29" s="19"/>
      <c r="X29" s="19"/>
      <c r="Y29" s="19"/>
      <c r="Z29" s="19"/>
      <c r="AA29" s="20"/>
      <c r="AB29" s="20" t="str">
        <f>IF(ISBLANK(ProposedAirside[[#This Row],[Design Airflow '[CFM']]]),"",1.1*(ProposedAirside[[#This Row],[Cooling EAT - DB '[F']]]-ProposedAirside[[#This Row],[Cooling LAT - DB '[F']]])*ProposedAirside[[#This Row],[Design Outdoor Airflow '[CFM']]]/1000)</f>
        <v/>
      </c>
      <c r="AC29" s="20"/>
      <c r="AD29" s="20"/>
      <c r="AE29" s="19"/>
    </row>
    <row r="32" spans="1:31" ht="30.75" thickBot="1" x14ac:dyDescent="0.3">
      <c r="A32" s="481" t="s">
        <v>922</v>
      </c>
      <c r="B32" s="482" t="s">
        <v>923</v>
      </c>
      <c r="C32" s="482" t="s">
        <v>924</v>
      </c>
      <c r="D32" s="482" t="s">
        <v>925</v>
      </c>
      <c r="E32" s="482" t="s">
        <v>927</v>
      </c>
      <c r="F32" s="482" t="s">
        <v>928</v>
      </c>
      <c r="G32" s="482" t="s">
        <v>929</v>
      </c>
      <c r="H32" s="482" t="s">
        <v>930</v>
      </c>
      <c r="I32" s="482" t="s">
        <v>956</v>
      </c>
      <c r="J32" s="482" t="s">
        <v>931</v>
      </c>
      <c r="K32" s="482" t="s">
        <v>957</v>
      </c>
      <c r="L32" s="483" t="s">
        <v>932</v>
      </c>
      <c r="M32" s="483" t="s">
        <v>933</v>
      </c>
      <c r="N32" s="484" t="s">
        <v>934</v>
      </c>
    </row>
    <row r="33" spans="1:14" x14ac:dyDescent="0.25">
      <c r="A33" s="485" t="s">
        <v>6</v>
      </c>
      <c r="B33" s="486" t="s">
        <v>953</v>
      </c>
      <c r="C33" s="486" t="s">
        <v>958</v>
      </c>
      <c r="D33" s="487">
        <v>440000</v>
      </c>
      <c r="E33" s="486">
        <v>1</v>
      </c>
      <c r="F33" s="486">
        <v>6</v>
      </c>
      <c r="G33" s="486"/>
      <c r="H33" s="486">
        <v>775</v>
      </c>
      <c r="I33" s="586">
        <v>0.98</v>
      </c>
      <c r="J33" s="586">
        <v>0.75</v>
      </c>
      <c r="K33" s="586" t="s">
        <v>959</v>
      </c>
      <c r="L33" s="599">
        <f>IF(Table17[[#This Row],[Design Airflow '[CFM']]]="","",IF(Table17[[#This Row],[Calculate BHP from TSP or HP?]]="TSP",Table17[[#This Row],[Design Airflow '[CFM']]]*Table17[[#This Row],[TSP '["WG']]]/(6340*Table17[[#This Row],[Fan Efficiency '[%']]]*Table17[[#This Row],[Fan QTY]]),Table17[[#This Row],[Fan Power '[HP']]]*Table17[[#This Row],[Motor Efficiency '[%']]]))</f>
        <v>555.20504731861195</v>
      </c>
      <c r="M33" s="599">
        <f>IF(Table17[[#This Row],[Fan Power '[BHP']]]="","",Table17[[#This Row],[Fan Power '[BHP']]]*0.746*Table17[[#This Row],[Fan QTY]])</f>
        <v>414.1829652996845</v>
      </c>
      <c r="N33" s="488">
        <f>IFERROR(Table17[[#This Row],[IES Fan Power '[kW']]]*1000/Table17[[#This Row],[Design Airflow '[CFM']]],"")</f>
        <v>0.94132492113564659</v>
      </c>
    </row>
    <row r="34" spans="1:14" x14ac:dyDescent="0.25">
      <c r="A34" s="485"/>
      <c r="B34" s="486"/>
      <c r="C34" s="486"/>
      <c r="D34" s="487"/>
      <c r="E34" s="486"/>
      <c r="F34" s="486"/>
      <c r="G34" s="486"/>
      <c r="H34" s="486"/>
      <c r="I34" s="586"/>
      <c r="J34" s="586"/>
      <c r="K34" s="586"/>
      <c r="L34" s="599" t="str">
        <f>IF(Table17[[#This Row],[Design Airflow '[CFM']]]="","",IF(Table17[[#This Row],[Calculate BHP from TSP or HP?]]="TSP",Table17[[#This Row],[Design Airflow '[CFM']]]*Table17[[#This Row],[TSP '["WG']]]/(6340*Table17[[#This Row],[Fan Efficiency '[%']]]*Table17[[#This Row],[Fan QTY]]),Table17[[#This Row],[Fan Power '[HP']]]*Table17[[#This Row],[Motor Efficiency '[%']]]))</f>
        <v/>
      </c>
      <c r="M34" s="599" t="str">
        <f>IF(Table17[[#This Row],[Fan Power '[BHP']]]="","",Table17[[#This Row],[Fan Power '[BHP']]]*0.746*Table17[[#This Row],[Fan QTY]])</f>
        <v/>
      </c>
      <c r="N34" s="488" t="str">
        <f>IFERROR(Table17[[#This Row],[IES Fan Power '[kW']]]*1000/Table17[[#This Row],[Design Airflow '[CFM']]],"")</f>
        <v/>
      </c>
    </row>
    <row r="35" spans="1:14" x14ac:dyDescent="0.25">
      <c r="A35" s="485"/>
      <c r="B35" s="486"/>
      <c r="C35" s="486"/>
      <c r="D35" s="487"/>
      <c r="E35" s="486"/>
      <c r="F35" s="486"/>
      <c r="G35" s="486"/>
      <c r="H35" s="486"/>
      <c r="I35" s="586"/>
      <c r="J35" s="586"/>
      <c r="K35" s="586"/>
      <c r="L35" s="599" t="str">
        <f>IF(Table17[[#This Row],[Design Airflow '[CFM']]]="","",IF(Table17[[#This Row],[Calculate BHP from TSP or HP?]]="TSP",Table17[[#This Row],[Design Airflow '[CFM']]]*Table17[[#This Row],[TSP '["WG']]]/(6340*Table17[[#This Row],[Fan Efficiency '[%']]]*Table17[[#This Row],[Fan QTY]]),Table17[[#This Row],[Fan Power '[HP']]]*Table17[[#This Row],[Motor Efficiency '[%']]]))</f>
        <v/>
      </c>
      <c r="M35" s="599" t="str">
        <f>IF(Table17[[#This Row],[Fan Power '[BHP']]]="","",Table17[[#This Row],[Fan Power '[BHP']]]*0.746*Table17[[#This Row],[Fan QTY]])</f>
        <v/>
      </c>
      <c r="N35" s="488" t="str">
        <f>IFERROR(Table17[[#This Row],[IES Fan Power '[kW']]]*1000/Table17[[#This Row],[Design Airflow '[CFM']]],"")</f>
        <v/>
      </c>
    </row>
    <row r="36" spans="1:14" x14ac:dyDescent="0.25">
      <c r="A36" s="485"/>
      <c r="B36" s="486"/>
      <c r="C36" s="486"/>
      <c r="D36" s="487"/>
      <c r="E36" s="486"/>
      <c r="F36" s="486"/>
      <c r="G36" s="486"/>
      <c r="H36" s="486"/>
      <c r="I36" s="586"/>
      <c r="J36" s="586"/>
      <c r="K36" s="586"/>
      <c r="L36" s="599" t="str">
        <f>IF(Table17[[#This Row],[Design Airflow '[CFM']]]="","",IF(Table17[[#This Row],[Calculate BHP from TSP or HP?]]="TSP",Table17[[#This Row],[Design Airflow '[CFM']]]*Table17[[#This Row],[TSP '["WG']]]/(6340*Table17[[#This Row],[Fan Efficiency '[%']]]*Table17[[#This Row],[Fan QTY]]),Table17[[#This Row],[Fan Power '[HP']]]*Table17[[#This Row],[Motor Efficiency '[%']]]))</f>
        <v/>
      </c>
      <c r="M36" s="599" t="str">
        <f>IF(Table17[[#This Row],[Fan Power '[BHP']]]="","",Table17[[#This Row],[Fan Power '[BHP']]]*0.746*Table17[[#This Row],[Fan QTY]])</f>
        <v/>
      </c>
      <c r="N36" s="488" t="str">
        <f>IFERROR(Table17[[#This Row],[IES Fan Power '[kW']]]*1000/Table17[[#This Row],[Design Airflow '[CFM']]],"")</f>
        <v/>
      </c>
    </row>
    <row r="37" spans="1:14" x14ac:dyDescent="0.25">
      <c r="A37" s="485"/>
      <c r="B37" s="486"/>
      <c r="C37" s="486"/>
      <c r="D37" s="487"/>
      <c r="E37" s="486"/>
      <c r="F37" s="486"/>
      <c r="G37" s="486"/>
      <c r="H37" s="486"/>
      <c r="I37" s="586"/>
      <c r="J37" s="586"/>
      <c r="K37" s="586"/>
      <c r="L37" s="599" t="str">
        <f>IF(Table17[[#This Row],[Design Airflow '[CFM']]]="","",IF(Table17[[#This Row],[Calculate BHP from TSP or HP?]]="TSP",Table17[[#This Row],[Design Airflow '[CFM']]]*Table17[[#This Row],[TSP '["WG']]]/(6340*Table17[[#This Row],[Fan Efficiency '[%']]]*Table17[[#This Row],[Fan QTY]]),Table17[[#This Row],[Fan Power '[HP']]]*Table17[[#This Row],[Motor Efficiency '[%']]]))</f>
        <v/>
      </c>
      <c r="M37" s="599" t="str">
        <f>IF(Table17[[#This Row],[Fan Power '[BHP']]]="","",Table17[[#This Row],[Fan Power '[BHP']]]*0.746*Table17[[#This Row],[Fan QTY]])</f>
        <v/>
      </c>
      <c r="N37" s="488" t="str">
        <f>IFERROR(Table17[[#This Row],[IES Fan Power '[kW']]]*1000/Table17[[#This Row],[Design Airflow '[CFM']]],"")</f>
        <v/>
      </c>
    </row>
    <row r="38" spans="1:14" x14ac:dyDescent="0.25">
      <c r="A38" s="485"/>
      <c r="B38" s="486"/>
      <c r="C38" s="486"/>
      <c r="D38" s="487"/>
      <c r="E38" s="486"/>
      <c r="F38" s="486"/>
      <c r="G38" s="486"/>
      <c r="H38" s="486"/>
      <c r="I38" s="586"/>
      <c r="J38" s="586"/>
      <c r="K38" s="586"/>
      <c r="L38" s="599" t="str">
        <f>IF(Table17[[#This Row],[Design Airflow '[CFM']]]="","",IF(Table17[[#This Row],[Calculate BHP from TSP or HP?]]="TSP",Table17[[#This Row],[Design Airflow '[CFM']]]*Table17[[#This Row],[TSP '["WG']]]/(6340*Table17[[#This Row],[Fan Efficiency '[%']]]*Table17[[#This Row],[Fan QTY]]),Table17[[#This Row],[Fan Power '[HP']]]*Table17[[#This Row],[Motor Efficiency '[%']]]))</f>
        <v/>
      </c>
      <c r="M38" s="599" t="str">
        <f>IF(Table17[[#This Row],[Fan Power '[BHP']]]="","",Table17[[#This Row],[Fan Power '[BHP']]]*0.746*Table17[[#This Row],[Fan QTY]])</f>
        <v/>
      </c>
      <c r="N38" s="488" t="str">
        <f>IFERROR(Table17[[#This Row],[IES Fan Power '[kW']]]*1000/Table17[[#This Row],[Design Airflow '[CFM']]],"")</f>
        <v/>
      </c>
    </row>
    <row r="39" spans="1:14" x14ac:dyDescent="0.25">
      <c r="A39" s="485"/>
      <c r="B39" s="486"/>
      <c r="C39" s="486"/>
      <c r="D39" s="487"/>
      <c r="E39" s="486"/>
      <c r="F39" s="486"/>
      <c r="G39" s="486"/>
      <c r="H39" s="486"/>
      <c r="I39" s="586"/>
      <c r="J39" s="586"/>
      <c r="K39" s="586"/>
      <c r="L39" s="599" t="str">
        <f>IF(Table17[[#This Row],[Design Airflow '[CFM']]]="","",IF(Table17[[#This Row],[Calculate BHP from TSP or HP?]]="TSP",Table17[[#This Row],[Design Airflow '[CFM']]]*Table17[[#This Row],[TSP '["WG']]]/(6340*Table17[[#This Row],[Fan Efficiency '[%']]]*Table17[[#This Row],[Fan QTY]]),Table17[[#This Row],[Fan Power '[HP']]]*Table17[[#This Row],[Motor Efficiency '[%']]]))</f>
        <v/>
      </c>
      <c r="M39" s="599" t="str">
        <f>IF(Table17[[#This Row],[Fan Power '[BHP']]]="","",Table17[[#This Row],[Fan Power '[BHP']]]*0.746*Table17[[#This Row],[Fan QTY]])</f>
        <v/>
      </c>
      <c r="N39" s="488" t="str">
        <f>IFERROR(Table17[[#This Row],[IES Fan Power '[kW']]]*1000/Table17[[#This Row],[Design Airflow '[CFM']]],"")</f>
        <v/>
      </c>
    </row>
    <row r="40" spans="1:14" x14ac:dyDescent="0.25">
      <c r="A40" s="485"/>
      <c r="B40" s="486"/>
      <c r="C40" s="486"/>
      <c r="D40" s="487"/>
      <c r="E40" s="486"/>
      <c r="F40" s="486"/>
      <c r="G40" s="486"/>
      <c r="H40" s="486"/>
      <c r="I40" s="586"/>
      <c r="J40" s="586"/>
      <c r="K40" s="586"/>
      <c r="L40" s="599" t="str">
        <f>IF(Table17[[#This Row],[Design Airflow '[CFM']]]="","",IF(Table17[[#This Row],[Calculate BHP from TSP or HP?]]="TSP",Table17[[#This Row],[Design Airflow '[CFM']]]*Table17[[#This Row],[TSP '["WG']]]/(6340*Table17[[#This Row],[Fan Efficiency '[%']]]*Table17[[#This Row],[Fan QTY]]),Table17[[#This Row],[Fan Power '[HP']]]*Table17[[#This Row],[Motor Efficiency '[%']]]))</f>
        <v/>
      </c>
      <c r="M40" s="599" t="str">
        <f>IF(Table17[[#This Row],[Fan Power '[BHP']]]="","",Table17[[#This Row],[Fan Power '[BHP']]]*0.746*Table17[[#This Row],[Fan QTY]])</f>
        <v/>
      </c>
      <c r="N40" s="488" t="str">
        <f>IFERROR(Table17[[#This Row],[IES Fan Power '[kW']]]*1000/Table17[[#This Row],[Design Airflow '[CFM']]],"")</f>
        <v/>
      </c>
    </row>
    <row r="41" spans="1:14" x14ac:dyDescent="0.25">
      <c r="A41" s="485"/>
      <c r="B41" s="486"/>
      <c r="C41" s="486"/>
      <c r="D41" s="487"/>
      <c r="E41" s="486"/>
      <c r="F41" s="486"/>
      <c r="G41" s="486"/>
      <c r="H41" s="486"/>
      <c r="I41" s="586"/>
      <c r="J41" s="586"/>
      <c r="K41" s="586"/>
      <c r="L41" s="599" t="str">
        <f>IF(Table17[[#This Row],[Design Airflow '[CFM']]]="","",IF(Table17[[#This Row],[Calculate BHP from TSP or HP?]]="TSP",Table17[[#This Row],[Design Airflow '[CFM']]]*Table17[[#This Row],[TSP '["WG']]]/(6340*Table17[[#This Row],[Fan Efficiency '[%']]]*Table17[[#This Row],[Fan QTY]]),Table17[[#This Row],[Fan Power '[HP']]]*Table17[[#This Row],[Motor Efficiency '[%']]]))</f>
        <v/>
      </c>
      <c r="M41" s="599" t="str">
        <f>IF(Table17[[#This Row],[Fan Power '[BHP']]]="","",Table17[[#This Row],[Fan Power '[BHP']]]*0.746*Table17[[#This Row],[Fan QTY]])</f>
        <v/>
      </c>
      <c r="N41" s="488" t="str">
        <f>IFERROR(Table17[[#This Row],[IES Fan Power '[kW']]]*1000/Table17[[#This Row],[Design Airflow '[CFM']]],"")</f>
        <v/>
      </c>
    </row>
    <row r="42" spans="1:14" x14ac:dyDescent="0.25">
      <c r="A42" s="485"/>
      <c r="B42" s="486"/>
      <c r="C42" s="486"/>
      <c r="D42" s="487"/>
      <c r="E42" s="486"/>
      <c r="F42" s="486"/>
      <c r="G42" s="486"/>
      <c r="H42" s="486"/>
      <c r="I42" s="586"/>
      <c r="J42" s="586"/>
      <c r="K42" s="586"/>
      <c r="L42" s="599" t="str">
        <f>IF(Table17[[#This Row],[Design Airflow '[CFM']]]="","",IF(Table17[[#This Row],[Calculate BHP from TSP or HP?]]="TSP",Table17[[#This Row],[Design Airflow '[CFM']]]*Table17[[#This Row],[TSP '["WG']]]/(6340*Table17[[#This Row],[Fan Efficiency '[%']]]*Table17[[#This Row],[Fan QTY]]),Table17[[#This Row],[Fan Power '[HP']]]*Table17[[#This Row],[Motor Efficiency '[%']]]))</f>
        <v/>
      </c>
      <c r="M42" s="599" t="str">
        <f>IF(Table17[[#This Row],[Fan Power '[BHP']]]="","",Table17[[#This Row],[Fan Power '[BHP']]]*0.746*Table17[[#This Row],[Fan QTY]])</f>
        <v/>
      </c>
      <c r="N42" s="488" t="str">
        <f>IFERROR(Table17[[#This Row],[IES Fan Power '[kW']]]*1000/Table17[[#This Row],[Design Airflow '[CFM']]],"")</f>
        <v/>
      </c>
    </row>
    <row r="43" spans="1:14" x14ac:dyDescent="0.25">
      <c r="A43" s="485"/>
      <c r="B43" s="486"/>
      <c r="C43" s="486"/>
      <c r="D43" s="487"/>
      <c r="E43" s="486"/>
      <c r="F43" s="486"/>
      <c r="G43" s="486"/>
      <c r="H43" s="486"/>
      <c r="I43" s="586"/>
      <c r="J43" s="586"/>
      <c r="K43" s="586"/>
      <c r="L43" s="599" t="str">
        <f>IF(Table17[[#This Row],[Design Airflow '[CFM']]]="","",IF(Table17[[#This Row],[Calculate BHP from TSP or HP?]]="TSP",Table17[[#This Row],[Design Airflow '[CFM']]]*Table17[[#This Row],[TSP '["WG']]]/(6340*Table17[[#This Row],[Fan Efficiency '[%']]]*Table17[[#This Row],[Fan QTY]]),Table17[[#This Row],[Fan Power '[HP']]]*Table17[[#This Row],[Motor Efficiency '[%']]]))</f>
        <v/>
      </c>
      <c r="M43" s="599" t="str">
        <f>IF(Table17[[#This Row],[Fan Power '[BHP']]]="","",Table17[[#This Row],[Fan Power '[BHP']]]*0.746*Table17[[#This Row],[Fan QTY]])</f>
        <v/>
      </c>
      <c r="N43" s="488" t="str">
        <f>IFERROR(Table17[[#This Row],[IES Fan Power '[kW']]]*1000/Table17[[#This Row],[Design Airflow '[CFM']]],"")</f>
        <v/>
      </c>
    </row>
    <row r="44" spans="1:14" x14ac:dyDescent="0.25">
      <c r="A44" s="485"/>
      <c r="B44" s="486"/>
      <c r="C44" s="486"/>
      <c r="D44" s="487"/>
      <c r="E44" s="486"/>
      <c r="F44" s="486"/>
      <c r="G44" s="486"/>
      <c r="H44" s="486"/>
      <c r="I44" s="586"/>
      <c r="J44" s="586"/>
      <c r="K44" s="586"/>
      <c r="L44" s="599" t="str">
        <f>IF(Table17[[#This Row],[Design Airflow '[CFM']]]="","",IF(Table17[[#This Row],[Calculate BHP from TSP or HP?]]="TSP",Table17[[#This Row],[Design Airflow '[CFM']]]*Table17[[#This Row],[TSP '["WG']]]/(6340*Table17[[#This Row],[Fan Efficiency '[%']]]*Table17[[#This Row],[Fan QTY]]),Table17[[#This Row],[Fan Power '[HP']]]*Table17[[#This Row],[Motor Efficiency '[%']]]))</f>
        <v/>
      </c>
      <c r="M44" s="599" t="str">
        <f>IF(Table17[[#This Row],[Fan Power '[BHP']]]="","",Table17[[#This Row],[Fan Power '[BHP']]]*0.746*Table17[[#This Row],[Fan QTY]])</f>
        <v/>
      </c>
      <c r="N44" s="488" t="str">
        <f>IFERROR(Table17[[#This Row],[IES Fan Power '[kW']]]*1000/Table17[[#This Row],[Design Airflow '[CFM']]],"")</f>
        <v/>
      </c>
    </row>
    <row r="45" spans="1:14" x14ac:dyDescent="0.25">
      <c r="A45" s="485"/>
      <c r="B45" s="486"/>
      <c r="C45" s="486"/>
      <c r="D45" s="487"/>
      <c r="E45" s="486"/>
      <c r="F45" s="486"/>
      <c r="G45" s="486"/>
      <c r="H45" s="486"/>
      <c r="I45" s="586"/>
      <c r="J45" s="586"/>
      <c r="K45" s="586"/>
      <c r="L45" s="599" t="str">
        <f>IF(Table17[[#This Row],[Design Airflow '[CFM']]]="","",IF(Table17[[#This Row],[Calculate BHP from TSP or HP?]]="TSP",Table17[[#This Row],[Design Airflow '[CFM']]]*Table17[[#This Row],[TSP '["WG']]]/(6340*Table17[[#This Row],[Fan Efficiency '[%']]]*Table17[[#This Row],[Fan QTY]]),Table17[[#This Row],[Fan Power '[HP']]]*Table17[[#This Row],[Motor Efficiency '[%']]]))</f>
        <v/>
      </c>
      <c r="M45" s="599" t="str">
        <f>IF(Table17[[#This Row],[Fan Power '[BHP']]]="","",Table17[[#This Row],[Fan Power '[BHP']]]*0.746*Table17[[#This Row],[Fan QTY]])</f>
        <v/>
      </c>
      <c r="N45" s="488" t="str">
        <f>IFERROR(Table17[[#This Row],[IES Fan Power '[kW']]]*1000/Table17[[#This Row],[Design Airflow '[CFM']]],"")</f>
        <v/>
      </c>
    </row>
    <row r="46" spans="1:14" x14ac:dyDescent="0.25">
      <c r="A46" s="485"/>
      <c r="B46" s="486"/>
      <c r="C46" s="486"/>
      <c r="D46" s="487"/>
      <c r="E46" s="486"/>
      <c r="F46" s="486"/>
      <c r="G46" s="486"/>
      <c r="H46" s="486"/>
      <c r="I46" s="586"/>
      <c r="J46" s="586"/>
      <c r="K46" s="586"/>
      <c r="L46" s="599" t="str">
        <f>IF(Table17[[#This Row],[Design Airflow '[CFM']]]="","",IF(Table17[[#This Row],[Calculate BHP from TSP or HP?]]="TSP",Table17[[#This Row],[Design Airflow '[CFM']]]*Table17[[#This Row],[TSP '["WG']]]/(6340*Table17[[#This Row],[Fan Efficiency '[%']]]*Table17[[#This Row],[Fan QTY]]),Table17[[#This Row],[Fan Power '[HP']]]*Table17[[#This Row],[Motor Efficiency '[%']]]))</f>
        <v/>
      </c>
      <c r="M46" s="599" t="str">
        <f>IF(Table17[[#This Row],[Fan Power '[BHP']]]="","",Table17[[#This Row],[Fan Power '[BHP']]]*0.746*Table17[[#This Row],[Fan QTY]])</f>
        <v/>
      </c>
      <c r="N46" s="488" t="str">
        <f>IFERROR(Table17[[#This Row],[IES Fan Power '[kW']]]*1000/Table17[[#This Row],[Design Airflow '[CFM']]],"")</f>
        <v/>
      </c>
    </row>
    <row r="47" spans="1:14" x14ac:dyDescent="0.25">
      <c r="A47" s="485"/>
      <c r="B47" s="486"/>
      <c r="C47" s="486"/>
      <c r="D47" s="487"/>
      <c r="E47" s="486"/>
      <c r="F47" s="486"/>
      <c r="G47" s="486"/>
      <c r="H47" s="486"/>
      <c r="I47" s="586"/>
      <c r="J47" s="586"/>
      <c r="K47" s="586"/>
      <c r="L47" s="599" t="str">
        <f>IF(Table17[[#This Row],[Design Airflow '[CFM']]]="","",IF(Table17[[#This Row],[Calculate BHP from TSP or HP?]]="TSP",Table17[[#This Row],[Design Airflow '[CFM']]]*Table17[[#This Row],[TSP '["WG']]]/(6340*Table17[[#This Row],[Fan Efficiency '[%']]]*Table17[[#This Row],[Fan QTY]]),Table17[[#This Row],[Fan Power '[HP']]]*Table17[[#This Row],[Motor Efficiency '[%']]]))</f>
        <v/>
      </c>
      <c r="M47" s="599" t="str">
        <f>IF(Table17[[#This Row],[Fan Power '[BHP']]]="","",Table17[[#This Row],[Fan Power '[BHP']]]*0.746*Table17[[#This Row],[Fan QTY]])</f>
        <v/>
      </c>
      <c r="N47" s="488" t="str">
        <f>IFERROR(Table17[[#This Row],[IES Fan Power '[kW']]]*1000/Table17[[#This Row],[Design Airflow '[CFM']]],"")</f>
        <v/>
      </c>
    </row>
    <row r="48" spans="1:14" x14ac:dyDescent="0.25">
      <c r="A48" s="485"/>
      <c r="B48" s="486"/>
      <c r="C48" s="486"/>
      <c r="D48" s="487"/>
      <c r="E48" s="486"/>
      <c r="F48" s="486"/>
      <c r="G48" s="486"/>
      <c r="H48" s="486"/>
      <c r="I48" s="586"/>
      <c r="J48" s="586"/>
      <c r="K48" s="586"/>
      <c r="L48" s="599" t="str">
        <f>IF(Table17[[#This Row],[Design Airflow '[CFM']]]="","",IF(Table17[[#This Row],[Calculate BHP from TSP or HP?]]="TSP",Table17[[#This Row],[Design Airflow '[CFM']]]*Table17[[#This Row],[TSP '["WG']]]/(6340*Table17[[#This Row],[Fan Efficiency '[%']]]*Table17[[#This Row],[Fan QTY]]),Table17[[#This Row],[Fan Power '[HP']]]*Table17[[#This Row],[Motor Efficiency '[%']]]))</f>
        <v/>
      </c>
      <c r="M48" s="599" t="str">
        <f>IF(Table17[[#This Row],[Fan Power '[BHP']]]="","",Table17[[#This Row],[Fan Power '[BHP']]]*0.746*Table17[[#This Row],[Fan QTY]])</f>
        <v/>
      </c>
      <c r="N48" s="488" t="str">
        <f>IFERROR(Table17[[#This Row],[IES Fan Power '[kW']]]*1000/Table17[[#This Row],[Design Airflow '[CFM']]],"")</f>
        <v/>
      </c>
    </row>
    <row r="49" spans="1:14" x14ac:dyDescent="0.25">
      <c r="A49" s="485"/>
      <c r="B49" s="486"/>
      <c r="C49" s="486"/>
      <c r="D49" s="487"/>
      <c r="E49" s="486"/>
      <c r="F49" s="486"/>
      <c r="G49" s="486"/>
      <c r="H49" s="486"/>
      <c r="I49" s="586"/>
      <c r="J49" s="586"/>
      <c r="K49" s="586"/>
      <c r="L49" s="599" t="str">
        <f>IF(Table17[[#This Row],[Design Airflow '[CFM']]]="","",IF(Table17[[#This Row],[Calculate BHP from TSP or HP?]]="TSP",Table17[[#This Row],[Design Airflow '[CFM']]]*Table17[[#This Row],[TSP '["WG']]]/(6340*Table17[[#This Row],[Fan Efficiency '[%']]]*Table17[[#This Row],[Fan QTY]]),Table17[[#This Row],[Fan Power '[HP']]]*Table17[[#This Row],[Motor Efficiency '[%']]]))</f>
        <v/>
      </c>
      <c r="M49" s="599" t="str">
        <f>IF(Table17[[#This Row],[Fan Power '[BHP']]]="","",Table17[[#This Row],[Fan Power '[BHP']]]*0.746*Table17[[#This Row],[Fan QTY]])</f>
        <v/>
      </c>
      <c r="N49" s="488" t="str">
        <f>IFERROR(Table17[[#This Row],[IES Fan Power '[kW']]]*1000/Table17[[#This Row],[Design Airflow '[CFM']]],"")</f>
        <v/>
      </c>
    </row>
    <row r="50" spans="1:14" x14ac:dyDescent="0.25">
      <c r="A50" s="485"/>
      <c r="B50" s="486"/>
      <c r="C50" s="486"/>
      <c r="D50" s="487"/>
      <c r="E50" s="486"/>
      <c r="F50" s="486"/>
      <c r="G50" s="486"/>
      <c r="H50" s="486"/>
      <c r="I50" s="586"/>
      <c r="J50" s="586"/>
      <c r="K50" s="586"/>
      <c r="L50" s="599" t="str">
        <f>IF(Table17[[#This Row],[Design Airflow '[CFM']]]="","",IF(Table17[[#This Row],[Calculate BHP from TSP or HP?]]="TSP",Table17[[#This Row],[Design Airflow '[CFM']]]*Table17[[#This Row],[TSP '["WG']]]/(6340*Table17[[#This Row],[Fan Efficiency '[%']]]*Table17[[#This Row],[Fan QTY]]),Table17[[#This Row],[Fan Power '[HP']]]*Table17[[#This Row],[Motor Efficiency '[%']]]))</f>
        <v/>
      </c>
      <c r="M50" s="599" t="str">
        <f>IF(Table17[[#This Row],[Fan Power '[BHP']]]="","",Table17[[#This Row],[Fan Power '[BHP']]]*0.746*Table17[[#This Row],[Fan QTY]])</f>
        <v/>
      </c>
      <c r="N50" s="488" t="str">
        <f>IFERROR(Table17[[#This Row],[IES Fan Power '[kW']]]*1000/Table17[[#This Row],[Design Airflow '[CFM']]],"")</f>
        <v/>
      </c>
    </row>
    <row r="51" spans="1:14" x14ac:dyDescent="0.25">
      <c r="A51" s="485"/>
      <c r="B51" s="486"/>
      <c r="C51" s="486"/>
      <c r="D51" s="487"/>
      <c r="E51" s="486"/>
      <c r="F51" s="486"/>
      <c r="G51" s="486"/>
      <c r="H51" s="486"/>
      <c r="I51" s="586"/>
      <c r="J51" s="586"/>
      <c r="K51" s="586"/>
      <c r="L51" s="599" t="str">
        <f>IF(Table17[[#This Row],[Design Airflow '[CFM']]]="","",IF(Table17[[#This Row],[Calculate BHP from TSP or HP?]]="TSP",Table17[[#This Row],[Design Airflow '[CFM']]]*Table17[[#This Row],[TSP '["WG']]]/(6340*Table17[[#This Row],[Fan Efficiency '[%']]]*Table17[[#This Row],[Fan QTY]]),Table17[[#This Row],[Fan Power '[HP']]]*Table17[[#This Row],[Motor Efficiency '[%']]]))</f>
        <v/>
      </c>
      <c r="M51" s="599" t="str">
        <f>IF(Table17[[#This Row],[Fan Power '[BHP']]]="","",Table17[[#This Row],[Fan Power '[BHP']]]*0.746*Table17[[#This Row],[Fan QTY]])</f>
        <v/>
      </c>
      <c r="N51" s="488" t="str">
        <f>IFERROR(Table17[[#This Row],[IES Fan Power '[kW']]]*1000/Table17[[#This Row],[Design Airflow '[CFM']]],"")</f>
        <v/>
      </c>
    </row>
    <row r="52" spans="1:14" x14ac:dyDescent="0.25">
      <c r="A52" s="485"/>
      <c r="B52" s="486"/>
      <c r="C52" s="486"/>
      <c r="D52" s="487"/>
      <c r="E52" s="486"/>
      <c r="F52" s="486"/>
      <c r="G52" s="486"/>
      <c r="H52" s="486"/>
      <c r="I52" s="586"/>
      <c r="J52" s="586"/>
      <c r="K52" s="586"/>
      <c r="L52" s="599" t="str">
        <f>IF(Table17[[#This Row],[Design Airflow '[CFM']]]="","",IF(Table17[[#This Row],[Calculate BHP from TSP or HP?]]="TSP",Table17[[#This Row],[Design Airflow '[CFM']]]*Table17[[#This Row],[TSP '["WG']]]/(6340*Table17[[#This Row],[Fan Efficiency '[%']]]*Table17[[#This Row],[Fan QTY]]),Table17[[#This Row],[Fan Power '[HP']]]*Table17[[#This Row],[Motor Efficiency '[%']]]))</f>
        <v/>
      </c>
      <c r="M52" s="599" t="str">
        <f>IF(Table17[[#This Row],[Fan Power '[BHP']]]="","",Table17[[#This Row],[Fan Power '[BHP']]]*0.746*Table17[[#This Row],[Fan QTY]])</f>
        <v/>
      </c>
      <c r="N52" s="488" t="str">
        <f>IFERROR(Table17[[#This Row],[IES Fan Power '[kW']]]*1000/Table17[[#This Row],[Design Airflow '[CFM']]],"")</f>
        <v/>
      </c>
    </row>
    <row r="53" spans="1:14" x14ac:dyDescent="0.25">
      <c r="A53" s="485"/>
      <c r="B53" s="486"/>
      <c r="C53" s="486"/>
      <c r="D53" s="487"/>
      <c r="E53" s="486"/>
      <c r="F53" s="486"/>
      <c r="G53" s="486"/>
      <c r="H53" s="486"/>
      <c r="I53" s="586"/>
      <c r="J53" s="586"/>
      <c r="K53" s="586"/>
      <c r="L53" s="599" t="str">
        <f>IF(Table17[[#This Row],[Design Airflow '[CFM']]]="","",IF(Table17[[#This Row],[Calculate BHP from TSP or HP?]]="TSP",Table17[[#This Row],[Design Airflow '[CFM']]]*Table17[[#This Row],[TSP '["WG']]]/(6340*Table17[[#This Row],[Fan Efficiency '[%']]]*Table17[[#This Row],[Fan QTY]]),Table17[[#This Row],[Fan Power '[HP']]]*Table17[[#This Row],[Motor Efficiency '[%']]]))</f>
        <v/>
      </c>
      <c r="M53" s="599" t="str">
        <f>IF(Table17[[#This Row],[Fan Power '[BHP']]]="","",Table17[[#This Row],[Fan Power '[BHP']]]*0.746*Table17[[#This Row],[Fan QTY]])</f>
        <v/>
      </c>
      <c r="N53" s="488" t="str">
        <f>IFERROR(Table17[[#This Row],[IES Fan Power '[kW']]]*1000/Table17[[#This Row],[Design Airflow '[CFM']]],"")</f>
        <v/>
      </c>
    </row>
    <row r="54" spans="1:14" x14ac:dyDescent="0.25">
      <c r="A54" s="489"/>
      <c r="B54" s="490"/>
      <c r="C54" s="490"/>
      <c r="D54" s="491"/>
      <c r="E54" s="490"/>
      <c r="F54" s="490"/>
      <c r="G54" s="490"/>
      <c r="H54" s="490"/>
      <c r="I54" s="586"/>
      <c r="J54" s="587"/>
      <c r="K54" s="587"/>
      <c r="L54" s="599" t="str">
        <f>IF(Table17[[#This Row],[Design Airflow '[CFM']]]="","",IF(Table17[[#This Row],[Calculate BHP from TSP or HP?]]="TSP",Table17[[#This Row],[Design Airflow '[CFM']]]*Table17[[#This Row],[TSP '["WG']]]/(6340*Table17[[#This Row],[Fan Efficiency '[%']]]*Table17[[#This Row],[Fan QTY]]),Table17[[#This Row],[Fan Power '[HP']]]*Table17[[#This Row],[Motor Efficiency '[%']]]))</f>
        <v/>
      </c>
      <c r="M54" s="600" t="str">
        <f>IF(Table17[[#This Row],[Fan Power '[BHP']]]="","",Table17[[#This Row],[Fan Power '[BHP']]]*0.746*Table17[[#This Row],[Fan QTY]])</f>
        <v/>
      </c>
      <c r="N54" s="492" t="str">
        <f>IFERROR(Table17[[#This Row],[IES Fan Power '[kW']]]*1000/Table17[[#This Row],[Design Airflow '[CFM']]],"")</f>
        <v/>
      </c>
    </row>
    <row r="59" spans="1:14" ht="15.75" thickBot="1" x14ac:dyDescent="0.3"/>
    <row r="60" spans="1:14" ht="15.75" thickBot="1" x14ac:dyDescent="0.3">
      <c r="A60" s="761" t="s">
        <v>960</v>
      </c>
      <c r="B60" s="762"/>
      <c r="C60" s="762"/>
      <c r="D60" s="762"/>
      <c r="E60" s="763"/>
      <c r="F60" s="761" t="s">
        <v>961</v>
      </c>
      <c r="G60" s="762"/>
      <c r="H60" s="762"/>
      <c r="I60" s="762"/>
      <c r="J60" s="762"/>
      <c r="K60" s="763"/>
    </row>
    <row r="61" spans="1:14" ht="30" x14ac:dyDescent="0.25">
      <c r="A61" s="171" t="s">
        <v>922</v>
      </c>
      <c r="B61" s="171" t="s">
        <v>923</v>
      </c>
      <c r="C61" s="171" t="s">
        <v>924</v>
      </c>
      <c r="D61" s="171" t="s">
        <v>925</v>
      </c>
      <c r="E61" s="171" t="s">
        <v>962</v>
      </c>
      <c r="F61" s="171" t="s">
        <v>963</v>
      </c>
      <c r="G61" s="171" t="s">
        <v>964</v>
      </c>
      <c r="H61" s="171" t="s">
        <v>965</v>
      </c>
      <c r="I61" s="171" t="s">
        <v>966</v>
      </c>
      <c r="J61" s="171" t="s">
        <v>967</v>
      </c>
      <c r="K61" s="170" t="s">
        <v>968</v>
      </c>
    </row>
    <row r="62" spans="1:14" x14ac:dyDescent="0.25">
      <c r="A62" s="19"/>
      <c r="B62" s="19"/>
      <c r="C62" s="19"/>
      <c r="D62" s="20"/>
      <c r="E62" s="20"/>
      <c r="F62" s="172"/>
      <c r="G62" s="172"/>
      <c r="H62" s="173"/>
      <c r="I62" s="173"/>
      <c r="J62" s="172"/>
      <c r="K62" s="35" t="str">
        <f>IFERROR(Table7[[#This Row],[Water Flow Rate
'[GPM']]]*Table7[[#This Row],[Fluid Head
'[ft']]]/(3960*Table7[[#This Row],[Pump/Motor Efficiency '[%']]]),"")</f>
        <v/>
      </c>
    </row>
    <row r="63" spans="1:14" x14ac:dyDescent="0.25">
      <c r="A63" s="19"/>
      <c r="B63" s="19"/>
      <c r="C63" s="19"/>
      <c r="D63" s="20"/>
      <c r="E63" s="20"/>
      <c r="F63" s="172"/>
      <c r="G63" s="172"/>
      <c r="H63" s="173"/>
      <c r="I63" s="173"/>
      <c r="J63" s="172"/>
      <c r="K63" s="35" t="str">
        <f>IFERROR(Table7[[#This Row],[Water Flow Rate
'[GPM']]]*Table7[[#This Row],[Fluid Head
'[ft']]]/(3960*Table7[[#This Row],[Pump/Motor Efficiency '[%']]]),"")</f>
        <v/>
      </c>
    </row>
    <row r="64" spans="1:14" x14ac:dyDescent="0.25">
      <c r="A64" s="19"/>
      <c r="B64" s="19"/>
      <c r="C64" s="19"/>
      <c r="D64" s="20"/>
      <c r="E64" s="20"/>
      <c r="F64" s="172"/>
      <c r="G64" s="172"/>
      <c r="H64" s="173"/>
      <c r="I64" s="173"/>
      <c r="J64" s="172"/>
      <c r="K64" s="35" t="str">
        <f>IFERROR(Table7[[#This Row],[Water Flow Rate
'[GPM']]]*Table7[[#This Row],[Fluid Head
'[ft']]]/(3960*Table7[[#This Row],[Pump/Motor Efficiency '[%']]]),"")</f>
        <v/>
      </c>
    </row>
    <row r="65" spans="1:11" x14ac:dyDescent="0.25">
      <c r="A65" s="19"/>
      <c r="B65" s="19"/>
      <c r="C65" s="19"/>
      <c r="D65" s="20"/>
      <c r="E65" s="20"/>
      <c r="F65" s="172"/>
      <c r="G65" s="172"/>
      <c r="H65" s="173"/>
      <c r="I65" s="173"/>
      <c r="J65" s="172"/>
      <c r="K65" s="35" t="str">
        <f>IFERROR(Table7[[#This Row],[Water Flow Rate
'[GPM']]]*Table7[[#This Row],[Fluid Head
'[ft']]]/(3960*Table7[[#This Row],[Pump/Motor Efficiency '[%']]]),"")</f>
        <v/>
      </c>
    </row>
  </sheetData>
  <mergeCells count="6">
    <mergeCell ref="A16:C16"/>
    <mergeCell ref="A60:E60"/>
    <mergeCell ref="F60:K60"/>
    <mergeCell ref="V16:AE16"/>
    <mergeCell ref="N16:U16"/>
    <mergeCell ref="D16:M16"/>
  </mergeCells>
  <phoneticPr fontId="49" type="noConversion"/>
  <dataValidations count="1">
    <dataValidation type="list" allowBlank="1" showInputMessage="1" showErrorMessage="1" sqref="K33:K54" xr:uid="{CA4D7B4C-8F74-4100-8521-FBC58A451156}">
      <formula1>"HP, TSP"</formula1>
    </dataValidation>
  </dataValidations>
  <hyperlinks>
    <hyperlink ref="B9" r:id="rId1" xr:uid="{51E455F8-F565-43DA-BA30-71DF891DC7AE}"/>
  </hyperlinks>
  <pageMargins left="0.7" right="0.7" top="0.75" bottom="0.75" header="0.3" footer="0.3"/>
  <legacyDrawing r:id="rId2"/>
  <tableParts count="3">
    <tablePart r:id="rId3"/>
    <tablePart r:id="rId4"/>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66A4F-28E3-4D7A-92DA-FA9FCC9032B8}">
  <sheetPr codeName="Sheet8">
    <tabColor theme="4" tint="0.79998168889431442"/>
  </sheetPr>
  <dimension ref="A1:P56"/>
  <sheetViews>
    <sheetView topLeftCell="A13" zoomScale="90" zoomScaleNormal="90" workbookViewId="0">
      <selection activeCell="P19" sqref="P19"/>
    </sheetView>
  </sheetViews>
  <sheetFormatPr defaultRowHeight="15" x14ac:dyDescent="0.25"/>
  <cols>
    <col min="1" max="2" width="22.28515625" customWidth="1"/>
    <col min="3" max="3" width="26.85546875" bestFit="1" customWidth="1"/>
    <col min="4" max="11" width="22.28515625" customWidth="1"/>
    <col min="12" max="12" width="44.7109375" customWidth="1"/>
    <col min="13" max="14" width="22.28515625" customWidth="1"/>
    <col min="15" max="15" width="44.28515625" customWidth="1"/>
    <col min="16" max="16" width="55.28515625" customWidth="1"/>
    <col min="17" max="17" width="46" customWidth="1"/>
  </cols>
  <sheetData>
    <row r="1" spans="1:15" ht="15.75" thickBot="1" x14ac:dyDescent="0.3"/>
    <row r="2" spans="1:15" x14ac:dyDescent="0.25">
      <c r="A2" s="4" t="s">
        <v>12</v>
      </c>
      <c r="B2" s="5"/>
      <c r="C2" s="5"/>
      <c r="D2" s="5"/>
      <c r="E2" s="5"/>
      <c r="F2" s="5"/>
      <c r="G2" s="5"/>
      <c r="H2" s="5"/>
      <c r="I2" s="5"/>
      <c r="J2" s="5"/>
      <c r="K2" s="5"/>
      <c r="L2" s="6"/>
    </row>
    <row r="3" spans="1:15" x14ac:dyDescent="0.25">
      <c r="A3" s="117" t="s">
        <v>912</v>
      </c>
      <c r="B3" s="8"/>
      <c r="C3" s="8"/>
      <c r="D3" s="8"/>
      <c r="E3" s="8"/>
      <c r="F3" s="8"/>
      <c r="G3" s="8"/>
      <c r="H3" s="8"/>
      <c r="I3" s="8"/>
      <c r="J3" s="8"/>
      <c r="K3" s="8"/>
      <c r="L3" s="9"/>
    </row>
    <row r="4" spans="1:15" x14ac:dyDescent="0.25">
      <c r="A4" s="7" t="s">
        <v>913</v>
      </c>
      <c r="B4" s="8"/>
      <c r="C4" s="8"/>
      <c r="D4" s="8"/>
      <c r="E4" s="8"/>
      <c r="F4" s="8"/>
      <c r="G4" s="8"/>
      <c r="H4" s="8"/>
      <c r="I4" s="8"/>
      <c r="J4" s="8"/>
      <c r="K4" s="8"/>
      <c r="L4" s="9"/>
    </row>
    <row r="5" spans="1:15" x14ac:dyDescent="0.25">
      <c r="A5" s="7" t="s">
        <v>914</v>
      </c>
      <c r="B5" s="8"/>
      <c r="C5" s="8"/>
      <c r="D5" s="8"/>
      <c r="E5" s="8"/>
      <c r="F5" s="8"/>
      <c r="G5" s="8"/>
      <c r="H5" s="8"/>
      <c r="I5" s="8"/>
      <c r="J5" s="8"/>
      <c r="K5" s="8"/>
      <c r="L5" s="9"/>
    </row>
    <row r="6" spans="1:15" ht="15.75" thickBot="1" x14ac:dyDescent="0.3">
      <c r="A6" s="108"/>
      <c r="B6" s="11"/>
      <c r="C6" s="11"/>
      <c r="D6" s="11"/>
      <c r="E6" s="11"/>
      <c r="F6" s="11"/>
      <c r="G6" s="11"/>
      <c r="H6" s="11"/>
      <c r="I6" s="11"/>
      <c r="J6" s="11"/>
      <c r="K6" s="11"/>
      <c r="L6" s="12"/>
    </row>
    <row r="7" spans="1:15" ht="15.75" thickBot="1" x14ac:dyDescent="0.3"/>
    <row r="8" spans="1:15" x14ac:dyDescent="0.25">
      <c r="A8" s="4" t="s">
        <v>915</v>
      </c>
      <c r="B8" s="5"/>
      <c r="C8" s="5"/>
      <c r="D8" s="5"/>
      <c r="E8" s="5"/>
      <c r="F8" s="5"/>
      <c r="G8" s="5"/>
      <c r="H8" s="5"/>
      <c r="I8" s="5"/>
      <c r="J8" s="6"/>
    </row>
    <row r="9" spans="1:15" x14ac:dyDescent="0.25">
      <c r="A9" s="7" t="s">
        <v>969</v>
      </c>
      <c r="B9" s="8"/>
      <c r="C9" s="8"/>
      <c r="D9" s="8"/>
      <c r="E9" s="8"/>
      <c r="F9" s="8"/>
      <c r="G9" s="8"/>
      <c r="H9" s="8"/>
      <c r="I9" s="8"/>
      <c r="J9" s="9"/>
    </row>
    <row r="10" spans="1:15" x14ac:dyDescent="0.25">
      <c r="A10" s="7" t="s">
        <v>970</v>
      </c>
      <c r="B10" s="8"/>
      <c r="C10" s="8"/>
      <c r="D10" s="8"/>
      <c r="E10" s="8"/>
      <c r="F10" s="8"/>
      <c r="G10" s="8"/>
      <c r="H10" s="8"/>
      <c r="I10" s="8"/>
      <c r="J10" s="9"/>
    </row>
    <row r="11" spans="1:15" x14ac:dyDescent="0.25">
      <c r="A11" s="7" t="s">
        <v>971</v>
      </c>
      <c r="B11" s="107"/>
      <c r="C11" s="8"/>
      <c r="D11" s="8"/>
      <c r="E11" s="8"/>
      <c r="F11" s="8"/>
      <c r="G11" s="8"/>
      <c r="H11" s="8"/>
      <c r="I11" s="8"/>
      <c r="J11" s="9"/>
    </row>
    <row r="12" spans="1:15" x14ac:dyDescent="0.25">
      <c r="A12" s="7"/>
      <c r="B12" s="107"/>
      <c r="C12" s="8"/>
      <c r="D12" s="8"/>
      <c r="E12" s="8"/>
      <c r="F12" s="8"/>
      <c r="G12" s="8"/>
      <c r="H12" s="8"/>
      <c r="I12" s="8"/>
      <c r="J12" s="9"/>
    </row>
    <row r="13" spans="1:15" x14ac:dyDescent="0.25">
      <c r="A13" s="7"/>
      <c r="B13" s="107"/>
      <c r="C13" s="8"/>
      <c r="D13" s="8"/>
      <c r="E13" s="8"/>
      <c r="F13" s="8"/>
      <c r="G13" s="8"/>
      <c r="H13" s="8"/>
      <c r="I13" s="8"/>
      <c r="J13" s="9"/>
    </row>
    <row r="14" spans="1:15" ht="15.75" thickBot="1" x14ac:dyDescent="0.3">
      <c r="A14" s="108"/>
      <c r="B14" s="168"/>
      <c r="C14" s="11"/>
      <c r="D14" s="11"/>
      <c r="E14" s="11"/>
      <c r="F14" s="11"/>
      <c r="G14" s="11"/>
      <c r="H14" s="11"/>
      <c r="I14" s="11"/>
      <c r="J14" s="12"/>
    </row>
    <row r="15" spans="1:15" ht="15.75" thickBot="1" x14ac:dyDescent="0.3"/>
    <row r="16" spans="1:15" ht="15.75" thickBot="1" x14ac:dyDescent="0.3">
      <c r="A16" s="761" t="s">
        <v>972</v>
      </c>
      <c r="B16" s="762"/>
      <c r="C16" s="762"/>
      <c r="D16" s="762"/>
      <c r="E16" s="763"/>
      <c r="F16" s="761" t="s">
        <v>973</v>
      </c>
      <c r="G16" s="763"/>
      <c r="H16" s="761" t="s">
        <v>974</v>
      </c>
      <c r="I16" s="762"/>
      <c r="J16" s="762"/>
      <c r="K16" s="763"/>
      <c r="L16" s="761" t="s">
        <v>975</v>
      </c>
      <c r="M16" s="762"/>
      <c r="N16" s="762"/>
      <c r="O16" s="763"/>
    </row>
    <row r="17" spans="1:16" ht="45" x14ac:dyDescent="0.25">
      <c r="A17" s="174" t="s">
        <v>976</v>
      </c>
      <c r="B17" s="174" t="s">
        <v>923</v>
      </c>
      <c r="C17" s="174" t="s">
        <v>977</v>
      </c>
      <c r="D17" s="174" t="s">
        <v>978</v>
      </c>
      <c r="E17" s="174" t="s">
        <v>979</v>
      </c>
      <c r="F17" s="174" t="s">
        <v>980</v>
      </c>
      <c r="G17" s="170" t="s">
        <v>981</v>
      </c>
      <c r="H17" s="174" t="s">
        <v>982</v>
      </c>
      <c r="I17" s="174" t="s">
        <v>983</v>
      </c>
      <c r="J17" s="174" t="s">
        <v>984</v>
      </c>
      <c r="K17" s="174" t="s">
        <v>985</v>
      </c>
      <c r="L17" s="174" t="s">
        <v>986</v>
      </c>
      <c r="M17" s="174" t="s">
        <v>987</v>
      </c>
      <c r="N17" s="174" t="s">
        <v>988</v>
      </c>
      <c r="O17" s="174" t="s">
        <v>989</v>
      </c>
      <c r="P17" s="174" t="s">
        <v>337</v>
      </c>
    </row>
    <row r="18" spans="1:16" x14ac:dyDescent="0.25">
      <c r="A18" s="19" t="s">
        <v>6</v>
      </c>
      <c r="B18" s="19" t="s">
        <v>953</v>
      </c>
      <c r="C18" s="19" t="s">
        <v>990</v>
      </c>
      <c r="D18" s="19">
        <v>218</v>
      </c>
      <c r="E18" s="19"/>
      <c r="F18" s="175">
        <v>0.91</v>
      </c>
      <c r="G18" s="153">
        <f>IFERROR(12/Table7914[[#This Row],[kW/Ton]]/3.412,"")</f>
        <v>3.8648338765572059</v>
      </c>
      <c r="H18" s="176">
        <v>401</v>
      </c>
      <c r="I18" s="173">
        <v>63</v>
      </c>
      <c r="J18" s="173">
        <v>50</v>
      </c>
      <c r="K18" s="177">
        <v>4.84</v>
      </c>
      <c r="L18" s="176"/>
      <c r="M18" s="173">
        <v>83</v>
      </c>
      <c r="N18" s="173"/>
      <c r="O18" s="177"/>
      <c r="P18" s="177"/>
    </row>
    <row r="19" spans="1:16" x14ac:dyDescent="0.25">
      <c r="A19" s="19"/>
      <c r="B19" s="19"/>
      <c r="C19" s="19"/>
      <c r="D19" s="19"/>
      <c r="E19" s="19"/>
      <c r="F19" s="175"/>
      <c r="G19" s="153" t="str">
        <f>IFERROR(12/Table7914[[#This Row],[kW/Ton]]/3.412,"")</f>
        <v/>
      </c>
      <c r="H19" s="176"/>
      <c r="I19" s="173"/>
      <c r="J19" s="173"/>
      <c r="K19" s="177"/>
      <c r="L19" s="176"/>
      <c r="M19" s="173"/>
      <c r="N19" s="173"/>
      <c r="O19" s="177"/>
      <c r="P19" s="177"/>
    </row>
    <row r="20" spans="1:16" x14ac:dyDescent="0.25">
      <c r="A20" s="19"/>
      <c r="B20" s="19"/>
      <c r="C20" s="19"/>
      <c r="D20" s="19"/>
      <c r="E20" s="19"/>
      <c r="F20" s="175"/>
      <c r="G20" s="153" t="str">
        <f>IFERROR(12/Table7914[[#This Row],[kW/Ton]]/3.412,"")</f>
        <v/>
      </c>
      <c r="H20" s="176"/>
      <c r="I20" s="173"/>
      <c r="J20" s="173"/>
      <c r="K20" s="177"/>
      <c r="L20" s="176"/>
      <c r="M20" s="173"/>
      <c r="N20" s="173"/>
      <c r="O20" s="177"/>
      <c r="P20" s="177"/>
    </row>
    <row r="22" spans="1:16" ht="15.75" thickBot="1" x14ac:dyDescent="0.3"/>
    <row r="23" spans="1:16" ht="15.75" thickBot="1" x14ac:dyDescent="0.3">
      <c r="A23" s="761" t="s">
        <v>991</v>
      </c>
      <c r="B23" s="762"/>
      <c r="C23" s="762"/>
      <c r="D23" s="762"/>
      <c r="E23" s="762"/>
      <c r="F23" s="761" t="s">
        <v>973</v>
      </c>
      <c r="G23" s="763"/>
      <c r="H23" s="761" t="s">
        <v>992</v>
      </c>
      <c r="I23" s="762"/>
      <c r="J23" s="762"/>
      <c r="K23" s="762"/>
      <c r="L23" s="761" t="s">
        <v>993</v>
      </c>
      <c r="M23" s="762"/>
      <c r="N23" s="762"/>
      <c r="O23" s="763"/>
    </row>
    <row r="24" spans="1:16" ht="30" x14ac:dyDescent="0.25">
      <c r="A24" s="169" t="s">
        <v>976</v>
      </c>
      <c r="B24" s="169" t="s">
        <v>923</v>
      </c>
      <c r="C24" s="169" t="s">
        <v>977</v>
      </c>
      <c r="D24" s="169" t="s">
        <v>994</v>
      </c>
      <c r="E24" s="169" t="s">
        <v>995</v>
      </c>
      <c r="F24" s="169" t="s">
        <v>981</v>
      </c>
      <c r="G24" s="169" t="s">
        <v>996</v>
      </c>
      <c r="H24" s="169" t="s">
        <v>997</v>
      </c>
      <c r="I24" s="169" t="s">
        <v>998</v>
      </c>
      <c r="J24" s="169" t="s">
        <v>999</v>
      </c>
      <c r="K24" s="169" t="s">
        <v>1000</v>
      </c>
      <c r="L24" s="169" t="s">
        <v>1001</v>
      </c>
      <c r="M24" s="169" t="s">
        <v>1002</v>
      </c>
      <c r="N24" s="169" t="s">
        <v>1003</v>
      </c>
      <c r="O24" s="169" t="s">
        <v>1004</v>
      </c>
      <c r="P24" s="169" t="s">
        <v>337</v>
      </c>
    </row>
    <row r="25" spans="1:16" x14ac:dyDescent="0.25">
      <c r="A25" s="19" t="s">
        <v>6</v>
      </c>
      <c r="B25" s="19" t="s">
        <v>953</v>
      </c>
      <c r="C25" s="19" t="s">
        <v>970</v>
      </c>
      <c r="D25" s="19">
        <v>65.599999999999994</v>
      </c>
      <c r="E25" s="19">
        <v>564</v>
      </c>
      <c r="F25" s="153">
        <v>3.9</v>
      </c>
      <c r="G25" s="153">
        <v>2.7130000000000001</v>
      </c>
      <c r="H25" s="172">
        <v>1.22</v>
      </c>
      <c r="I25" s="172">
        <v>0.63</v>
      </c>
      <c r="J25" s="173">
        <v>50</v>
      </c>
      <c r="K25" s="173">
        <v>3.6</v>
      </c>
      <c r="L25" s="173">
        <v>122</v>
      </c>
      <c r="M25" s="173">
        <v>120.8</v>
      </c>
      <c r="N25" s="173">
        <v>130</v>
      </c>
      <c r="O25" s="173">
        <v>8.1999999999999993</v>
      </c>
      <c r="P25" s="35"/>
    </row>
    <row r="26" spans="1:16" x14ac:dyDescent="0.25">
      <c r="A26" s="19"/>
      <c r="B26" s="19"/>
      <c r="C26" s="19"/>
      <c r="D26" s="19"/>
      <c r="E26" s="19"/>
      <c r="F26" s="20"/>
      <c r="G26" s="20"/>
      <c r="H26" s="172"/>
      <c r="I26" s="172"/>
      <c r="J26" s="173"/>
      <c r="K26" s="173"/>
      <c r="L26" s="173"/>
      <c r="M26" s="173"/>
      <c r="N26" s="173"/>
      <c r="O26" s="173"/>
      <c r="P26" s="35"/>
    </row>
    <row r="27" spans="1:16" x14ac:dyDescent="0.25">
      <c r="A27" s="19"/>
      <c r="B27" s="19"/>
      <c r="C27" s="19"/>
      <c r="D27" s="19"/>
      <c r="E27" s="19"/>
      <c r="F27" s="20"/>
      <c r="G27" s="20"/>
      <c r="H27" s="172"/>
      <c r="I27" s="172"/>
      <c r="J27" s="173"/>
      <c r="K27" s="173"/>
      <c r="L27" s="173"/>
      <c r="M27" s="173"/>
      <c r="N27" s="173"/>
      <c r="O27" s="173"/>
      <c r="P27" s="35"/>
    </row>
    <row r="29" spans="1:16" ht="15.75" thickBot="1" x14ac:dyDescent="0.3"/>
    <row r="30" spans="1:16" ht="15.75" thickBot="1" x14ac:dyDescent="0.3">
      <c r="A30" s="761" t="s">
        <v>1005</v>
      </c>
      <c r="B30" s="762"/>
      <c r="C30" s="762"/>
      <c r="D30" s="762"/>
      <c r="E30" s="761" t="s">
        <v>973</v>
      </c>
      <c r="F30" s="763"/>
    </row>
    <row r="31" spans="1:16" ht="30" x14ac:dyDescent="0.25">
      <c r="A31" s="171" t="s">
        <v>976</v>
      </c>
      <c r="B31" s="171" t="s">
        <v>923</v>
      </c>
      <c r="C31" s="171" t="s">
        <v>977</v>
      </c>
      <c r="D31" s="171" t="s">
        <v>1006</v>
      </c>
      <c r="E31" s="171" t="s">
        <v>963</v>
      </c>
      <c r="F31" s="171" t="s">
        <v>965</v>
      </c>
    </row>
    <row r="32" spans="1:16" x14ac:dyDescent="0.25">
      <c r="A32" s="19"/>
      <c r="B32" s="19"/>
      <c r="C32" s="19"/>
      <c r="D32" s="19"/>
      <c r="E32" s="178"/>
      <c r="F32" s="173"/>
    </row>
    <row r="33" spans="1:12" x14ac:dyDescent="0.25">
      <c r="A33" s="19"/>
      <c r="B33" s="19"/>
      <c r="C33" s="19"/>
      <c r="D33" s="19"/>
      <c r="E33" s="178"/>
      <c r="F33" s="173"/>
    </row>
    <row r="34" spans="1:12" x14ac:dyDescent="0.25">
      <c r="A34" s="19"/>
      <c r="B34" s="19"/>
      <c r="C34" s="19"/>
      <c r="D34" s="19"/>
      <c r="E34" s="178"/>
      <c r="F34" s="173"/>
    </row>
    <row r="35" spans="1:12" x14ac:dyDescent="0.25">
      <c r="A35" s="19"/>
      <c r="B35" s="19"/>
      <c r="C35" s="19"/>
      <c r="D35" s="19"/>
      <c r="E35" s="178"/>
      <c r="F35" s="173"/>
    </row>
    <row r="36" spans="1:12" x14ac:dyDescent="0.25">
      <c r="A36" s="19"/>
      <c r="B36" s="19"/>
      <c r="C36" s="19"/>
      <c r="D36" s="19"/>
      <c r="E36" s="178"/>
      <c r="F36" s="173"/>
    </row>
    <row r="38" spans="1:12" ht="15.75" thickBot="1" x14ac:dyDescent="0.3">
      <c r="J38" t="s">
        <v>1007</v>
      </c>
    </row>
    <row r="39" spans="1:12" ht="15.75" thickBot="1" x14ac:dyDescent="0.3">
      <c r="A39" s="761" t="s">
        <v>891</v>
      </c>
      <c r="B39" s="762"/>
      <c r="C39" s="762"/>
      <c r="D39" s="762"/>
      <c r="E39" s="762" t="s">
        <v>1008</v>
      </c>
      <c r="F39" s="763"/>
      <c r="G39" s="179" t="s">
        <v>973</v>
      </c>
      <c r="H39" s="761" t="s">
        <v>1009</v>
      </c>
      <c r="I39" s="762"/>
      <c r="J39" s="762"/>
      <c r="K39" s="180" t="s">
        <v>1010</v>
      </c>
    </row>
    <row r="40" spans="1:12" ht="30" x14ac:dyDescent="0.25">
      <c r="A40" s="181" t="s">
        <v>976</v>
      </c>
      <c r="B40" s="181" t="s">
        <v>923</v>
      </c>
      <c r="C40" s="181" t="s">
        <v>924</v>
      </c>
      <c r="D40" s="181" t="s">
        <v>977</v>
      </c>
      <c r="E40" s="181" t="s">
        <v>1011</v>
      </c>
      <c r="F40" s="181" t="s">
        <v>1012</v>
      </c>
      <c r="G40" s="181" t="s">
        <v>1013</v>
      </c>
      <c r="H40" s="181" t="s">
        <v>1014</v>
      </c>
      <c r="I40" s="181" t="s">
        <v>1015</v>
      </c>
      <c r="J40" s="170" t="s">
        <v>1016</v>
      </c>
      <c r="K40" s="181" t="s">
        <v>1017</v>
      </c>
      <c r="L40" s="182" t="s">
        <v>337</v>
      </c>
    </row>
    <row r="41" spans="1:12" x14ac:dyDescent="0.25">
      <c r="A41" s="19" t="s">
        <v>6</v>
      </c>
      <c r="B41" s="19" t="s">
        <v>1018</v>
      </c>
      <c r="C41" s="19" t="s">
        <v>1019</v>
      </c>
      <c r="D41" s="19" t="s">
        <v>1020</v>
      </c>
      <c r="E41" s="19">
        <v>450</v>
      </c>
      <c r="F41" s="19">
        <v>50</v>
      </c>
      <c r="G41" s="172">
        <v>0.82</v>
      </c>
      <c r="H41" s="153">
        <f>IF(Table7916[[#This Row],[HP]]="","",(Table7916[[#This Row],[Design Flow (GPM)]]*Table7916[[#This Row],[Head (Ft)]]/(3960/Table7916[[#This Row],[Minimum Efficiency2]])))</f>
        <v>4.6590909090909083</v>
      </c>
      <c r="I41" s="183">
        <v>7.5</v>
      </c>
      <c r="J41" s="183">
        <f>IFERROR((Table7916[[#This Row],[BHP]]*746/Table7916[[#This Row],[Minimum Efficiency2]])/Table7916[[#This Row],[Design Flow (GPM)]],"")</f>
        <v>9.4191919191919187</v>
      </c>
      <c r="K41" s="173" t="s">
        <v>852</v>
      </c>
      <c r="L41" s="184"/>
    </row>
    <row r="42" spans="1:12" x14ac:dyDescent="0.25">
      <c r="A42" s="19"/>
      <c r="B42" s="19"/>
      <c r="C42" s="19"/>
      <c r="D42" s="19"/>
      <c r="E42" s="19"/>
      <c r="F42" s="19"/>
      <c r="G42" s="172"/>
      <c r="H42" s="153"/>
      <c r="I42" s="183"/>
      <c r="J42" s="183" t="str">
        <f>IFERROR((Table7916[[#This Row],[BHP]]*746/Table7916[[#This Row],[Minimum Efficiency2]])/Table7916[[#This Row],[Design Flow (GPM)]],"")</f>
        <v/>
      </c>
      <c r="K42" s="173"/>
      <c r="L42" s="184"/>
    </row>
    <row r="43" spans="1:12" x14ac:dyDescent="0.25">
      <c r="A43" s="19"/>
      <c r="B43" s="19"/>
      <c r="C43" s="19"/>
      <c r="D43" s="19"/>
      <c r="E43" s="19"/>
      <c r="F43" s="19"/>
      <c r="G43" s="172"/>
      <c r="H43" s="153"/>
      <c r="I43" s="183"/>
      <c r="J43" s="183" t="str">
        <f>IFERROR((Table7916[[#This Row],[BHP]]*746/Table7916[[#This Row],[Minimum Efficiency2]])/Table7916[[#This Row],[Design Flow (GPM)]],"")</f>
        <v/>
      </c>
      <c r="K43" s="173"/>
      <c r="L43" s="184"/>
    </row>
    <row r="44" spans="1:12" x14ac:dyDescent="0.25">
      <c r="A44" s="19"/>
      <c r="B44" s="19"/>
      <c r="C44" s="19"/>
      <c r="D44" s="19"/>
      <c r="E44" s="19"/>
      <c r="F44" s="19"/>
      <c r="G44" s="172"/>
      <c r="H44" s="153"/>
      <c r="I44" s="183"/>
      <c r="J44" s="183" t="str">
        <f>IFERROR((Table7916[[#This Row],[BHP]]*746/Table7916[[#This Row],[Minimum Efficiency2]])/Table7916[[#This Row],[Design Flow (GPM)]],"")</f>
        <v/>
      </c>
      <c r="K44" s="173"/>
      <c r="L44" s="184"/>
    </row>
    <row r="45" spans="1:12" x14ac:dyDescent="0.25">
      <c r="A45" s="19"/>
      <c r="B45" s="19"/>
      <c r="C45" s="19"/>
      <c r="D45" s="19"/>
      <c r="E45" s="19"/>
      <c r="F45" s="19"/>
      <c r="G45" s="172"/>
      <c r="H45" s="153"/>
      <c r="I45" s="183"/>
      <c r="J45" s="183" t="str">
        <f>IFERROR((Table7916[[#This Row],[BHP]]*746/Table7916[[#This Row],[Minimum Efficiency2]])/Table7916[[#This Row],[Design Flow (GPM)]],"")</f>
        <v/>
      </c>
      <c r="K45" s="173"/>
      <c r="L45" s="184"/>
    </row>
    <row r="46" spans="1:12" x14ac:dyDescent="0.25">
      <c r="A46" s="19"/>
      <c r="B46" s="19"/>
      <c r="C46" s="19"/>
      <c r="D46" s="19"/>
      <c r="E46" s="19"/>
      <c r="F46" s="19"/>
      <c r="G46" s="172"/>
      <c r="H46" s="153"/>
      <c r="I46" s="183"/>
      <c r="J46" s="183" t="str">
        <f>IFERROR((Table7916[[#This Row],[BHP]]*746/Table7916[[#This Row],[Minimum Efficiency2]])/Table7916[[#This Row],[Design Flow (GPM)]],"")</f>
        <v/>
      </c>
      <c r="K46" s="173"/>
      <c r="L46" s="184"/>
    </row>
    <row r="47" spans="1:12" x14ac:dyDescent="0.25">
      <c r="A47" s="19"/>
      <c r="B47" s="19"/>
      <c r="C47" s="19"/>
      <c r="D47" s="19"/>
      <c r="E47" s="19"/>
      <c r="F47" s="19"/>
      <c r="G47" s="172"/>
      <c r="H47" s="153"/>
      <c r="I47" s="183"/>
      <c r="J47" s="183" t="str">
        <f>IFERROR((Table7916[[#This Row],[BHP]]*746/Table7916[[#This Row],[Minimum Efficiency2]])/Table7916[[#This Row],[Design Flow (GPM)]],"")</f>
        <v/>
      </c>
      <c r="K47" s="173"/>
      <c r="L47" s="184"/>
    </row>
    <row r="48" spans="1:12" x14ac:dyDescent="0.25">
      <c r="A48" s="19"/>
      <c r="B48" s="19"/>
      <c r="C48" s="19"/>
      <c r="D48" s="19"/>
      <c r="E48" s="19"/>
      <c r="F48" s="19"/>
      <c r="G48" s="172"/>
      <c r="H48" s="153"/>
      <c r="I48" s="183"/>
      <c r="J48" s="183" t="str">
        <f>IFERROR((Table7916[[#This Row],[BHP]]*746/Table7916[[#This Row],[Minimum Efficiency2]])/Table7916[[#This Row],[Design Flow (GPM)]],"")</f>
        <v/>
      </c>
      <c r="K48" s="173"/>
      <c r="L48" s="184"/>
    </row>
    <row r="49" spans="1:12" x14ac:dyDescent="0.25">
      <c r="A49" s="19"/>
      <c r="B49" s="19"/>
      <c r="C49" s="19"/>
      <c r="D49" s="19"/>
      <c r="E49" s="19"/>
      <c r="F49" s="19"/>
      <c r="G49" s="172"/>
      <c r="H49" s="153"/>
      <c r="I49" s="183"/>
      <c r="J49" s="183" t="str">
        <f>IFERROR((Table7916[[#This Row],[BHP]]*746/Table7916[[#This Row],[Minimum Efficiency2]])/Table7916[[#This Row],[Design Flow (GPM)]],"")</f>
        <v/>
      </c>
      <c r="K49" s="173"/>
      <c r="L49" s="184"/>
    </row>
    <row r="50" spans="1:12" x14ac:dyDescent="0.25">
      <c r="A50" s="19"/>
      <c r="B50" s="19"/>
      <c r="C50" s="19"/>
      <c r="D50" s="19"/>
      <c r="E50" s="19"/>
      <c r="F50" s="19"/>
      <c r="G50" s="172"/>
      <c r="H50" s="153"/>
      <c r="I50" s="183"/>
      <c r="J50" s="183" t="str">
        <f>IFERROR((Table7916[[#This Row],[BHP]]*746/Table7916[[#This Row],[Minimum Efficiency2]])/Table7916[[#This Row],[Design Flow (GPM)]],"")</f>
        <v/>
      </c>
      <c r="K50" s="173"/>
      <c r="L50" s="184"/>
    </row>
    <row r="51" spans="1:12" x14ac:dyDescent="0.25">
      <c r="A51" s="19"/>
      <c r="B51" s="19"/>
      <c r="C51" s="19"/>
      <c r="D51" s="19"/>
      <c r="E51" s="19"/>
      <c r="F51" s="19"/>
      <c r="G51" s="172"/>
      <c r="H51" s="153"/>
      <c r="I51" s="183"/>
      <c r="J51" s="183" t="str">
        <f>IFERROR((Table7916[[#This Row],[BHP]]*746/Table7916[[#This Row],[Minimum Efficiency2]])/Table7916[[#This Row],[Design Flow (GPM)]],"")</f>
        <v/>
      </c>
      <c r="K51" s="173"/>
      <c r="L51" s="184"/>
    </row>
    <row r="52" spans="1:12" x14ac:dyDescent="0.25">
      <c r="A52" s="19"/>
      <c r="B52" s="19"/>
      <c r="C52" s="19"/>
      <c r="D52" s="19"/>
      <c r="E52" s="19"/>
      <c r="F52" s="19"/>
      <c r="G52" s="172"/>
      <c r="H52" s="153" t="str">
        <f>IF(Table7916[[#This Row],[HP]]="","",(Table7916[[#This Row],[Design Flow (GPM)]]*Table7916[[#This Row],[Head (Ft)]]/(3960/Table7916[[#This Row],[Minimum Efficiency2]])))</f>
        <v/>
      </c>
      <c r="I52" s="183"/>
      <c r="J52" s="183" t="str">
        <f>IFERROR((Table7916[[#This Row],[BHP]]*746/Table7916[[#This Row],[Minimum Efficiency2]])/Table7916[[#This Row],[Design Flow (GPM)]],"")</f>
        <v/>
      </c>
      <c r="K52" s="173"/>
      <c r="L52" s="184"/>
    </row>
    <row r="53" spans="1:12" x14ac:dyDescent="0.25">
      <c r="A53" s="19"/>
      <c r="B53" s="19"/>
      <c r="C53" s="19"/>
      <c r="D53" s="19"/>
      <c r="E53" s="19"/>
      <c r="F53" s="20"/>
      <c r="G53" s="183"/>
      <c r="H53" s="183" t="str">
        <f>IF(Table7916[[#This Row],[HP]]="","",(Table7916[[#This Row],[Design Flow (GPM)]]*Table7916[[#This Row],[Head (Ft)]]/(3960/Table7916[[#This Row],[Minimum Efficiency2]])))</f>
        <v/>
      </c>
      <c r="I53" s="183"/>
      <c r="J53" s="183" t="str">
        <f>IFERROR((Table7916[[#This Row],[BHP]]*746/Table7916[[#This Row],[Minimum Efficiency2]])/Table7916[[#This Row],[Design Flow (GPM)]],"")</f>
        <v/>
      </c>
      <c r="K53" s="173"/>
      <c r="L53" s="184"/>
    </row>
    <row r="54" spans="1:12" x14ac:dyDescent="0.25">
      <c r="A54" s="19"/>
      <c r="B54" s="19"/>
      <c r="C54" s="19"/>
      <c r="D54" s="19"/>
      <c r="E54" s="19"/>
      <c r="F54" s="20"/>
      <c r="G54" s="183"/>
      <c r="H54" s="183" t="str">
        <f>IF(Table7916[[#This Row],[HP]]="","",(Table7916[[#This Row],[Design Flow (GPM)]]*Table7916[[#This Row],[Head (Ft)]]/(3960/Table7916[[#This Row],[Minimum Efficiency2]])))</f>
        <v/>
      </c>
      <c r="I54" s="183"/>
      <c r="J54" s="183" t="str">
        <f>IFERROR((Table7916[[#This Row],[BHP]]*746/Table7916[[#This Row],[Minimum Efficiency2]])/Table7916[[#This Row],[Design Flow (GPM)]],"")</f>
        <v/>
      </c>
      <c r="K54" s="173"/>
      <c r="L54" s="184"/>
    </row>
    <row r="55" spans="1:12" x14ac:dyDescent="0.25">
      <c r="A55" s="19"/>
      <c r="B55" s="19"/>
      <c r="C55" s="19"/>
      <c r="D55" s="19"/>
      <c r="E55" s="19"/>
      <c r="F55" s="20"/>
      <c r="G55" s="183"/>
      <c r="H55" s="183" t="str">
        <f>IF(Table7916[[#This Row],[HP]]="","",(Table7916[[#This Row],[Design Flow (GPM)]]*Table7916[[#This Row],[Head (Ft)]]/(3960/Table7916[[#This Row],[Minimum Efficiency2]])))</f>
        <v/>
      </c>
      <c r="I55" s="183"/>
      <c r="J55" s="183" t="str">
        <f>IFERROR((Table7916[[#This Row],[BHP]]*746/Table7916[[#This Row],[Minimum Efficiency2]])/Table7916[[#This Row],[Design Flow (GPM)]],"")</f>
        <v/>
      </c>
      <c r="K55" s="173"/>
      <c r="L55" s="184"/>
    </row>
    <row r="56" spans="1:12" x14ac:dyDescent="0.25">
      <c r="A56" s="19"/>
      <c r="B56" s="19"/>
      <c r="C56" s="19"/>
      <c r="D56" s="19"/>
      <c r="E56" s="19"/>
      <c r="F56" s="172"/>
      <c r="G56" s="172"/>
      <c r="H56" s="153" t="str">
        <f>IF(Table7916[[#This Row],[HP]]="","",(Table7916[[#This Row],[Design Flow (GPM)]]*Table7916[[#This Row],[Head (Ft)]]/(3960/Table7916[[#This Row],[Minimum Efficiency2]])))</f>
        <v/>
      </c>
      <c r="I56" s="183"/>
      <c r="J56" s="183" t="str">
        <f>IFERROR((Table7916[[#This Row],[BHP]]*746/Table7916[[#This Row],[Minimum Efficiency2]])/Table7916[[#This Row],[Design Flow (GPM)]],"")</f>
        <v/>
      </c>
      <c r="K56" s="173"/>
      <c r="L56" s="184"/>
    </row>
  </sheetData>
  <mergeCells count="13">
    <mergeCell ref="A39:D39"/>
    <mergeCell ref="E39:F39"/>
    <mergeCell ref="H39:J39"/>
    <mergeCell ref="L16:O16"/>
    <mergeCell ref="H23:K23"/>
    <mergeCell ref="L23:O23"/>
    <mergeCell ref="A30:D30"/>
    <mergeCell ref="E30:F30"/>
    <mergeCell ref="A16:E16"/>
    <mergeCell ref="F16:G16"/>
    <mergeCell ref="A23:E23"/>
    <mergeCell ref="F23:G23"/>
    <mergeCell ref="H16:K16"/>
  </mergeCells>
  <phoneticPr fontId="49" type="noConversion"/>
  <pageMargins left="0.7" right="0.7" top="0.75" bottom="0.75" header="0.3" footer="0.3"/>
  <legacyDrawing r:id="rId1"/>
  <tableParts count="4">
    <tablePart r:id="rId2"/>
    <tablePart r:id="rId3"/>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2DE71-A6FC-4475-97DF-05CA45183B39}">
  <sheetPr codeName="Sheet21"/>
  <dimension ref="A1:AC130"/>
  <sheetViews>
    <sheetView zoomScale="90" zoomScaleNormal="90" workbookViewId="0">
      <selection activeCell="AJ9" sqref="AJ9"/>
    </sheetView>
  </sheetViews>
  <sheetFormatPr defaultRowHeight="15" x14ac:dyDescent="0.25"/>
  <cols>
    <col min="1" max="2" width="4.28515625" customWidth="1"/>
    <col min="3" max="3" width="8.42578125" customWidth="1"/>
    <col min="4" max="28" width="4.28515625" customWidth="1"/>
  </cols>
  <sheetData>
    <row r="1" spans="1:28" ht="15.75" thickBot="1" x14ac:dyDescent="0.3">
      <c r="A1" s="185" t="s">
        <v>12</v>
      </c>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7"/>
    </row>
    <row r="2" spans="1:28" ht="15.75" thickBot="1" x14ac:dyDescent="0.3">
      <c r="A2" s="188" t="s">
        <v>2078</v>
      </c>
      <c r="B2" s="189"/>
      <c r="C2" s="189"/>
      <c r="D2" s="189"/>
      <c r="E2" s="189"/>
      <c r="F2" s="189"/>
      <c r="G2" s="189"/>
      <c r="H2" s="189"/>
      <c r="I2" s="189"/>
      <c r="J2" s="189"/>
      <c r="K2" s="189"/>
      <c r="L2" s="189"/>
      <c r="M2" s="189"/>
      <c r="N2" s="189"/>
      <c r="O2" s="189"/>
      <c r="P2" s="189"/>
      <c r="Q2" s="189"/>
      <c r="R2" s="189"/>
      <c r="S2" s="189"/>
      <c r="T2" s="189"/>
      <c r="U2" s="189"/>
      <c r="V2" s="189"/>
      <c r="W2" s="189"/>
      <c r="X2" s="189"/>
      <c r="Y2" s="189"/>
      <c r="Z2" s="189"/>
      <c r="AA2" s="189"/>
      <c r="AB2" s="190"/>
    </row>
    <row r="5" spans="1:28" hidden="1" x14ac:dyDescent="0.25">
      <c r="D5">
        <v>1</v>
      </c>
      <c r="E5">
        <v>2</v>
      </c>
      <c r="F5">
        <v>3</v>
      </c>
      <c r="G5">
        <v>4</v>
      </c>
      <c r="H5">
        <v>5</v>
      </c>
      <c r="I5">
        <v>6</v>
      </c>
      <c r="J5">
        <v>7</v>
      </c>
      <c r="K5">
        <v>8</v>
      </c>
      <c r="L5">
        <v>9</v>
      </c>
      <c r="M5">
        <v>10</v>
      </c>
      <c r="N5">
        <v>11</v>
      </c>
      <c r="O5">
        <v>12</v>
      </c>
      <c r="P5">
        <v>13</v>
      </c>
      <c r="Q5">
        <v>14</v>
      </c>
      <c r="R5">
        <v>15</v>
      </c>
      <c r="S5">
        <v>16</v>
      </c>
      <c r="T5">
        <v>17</v>
      </c>
      <c r="U5">
        <v>18</v>
      </c>
      <c r="V5">
        <v>19</v>
      </c>
      <c r="W5">
        <v>20</v>
      </c>
      <c r="X5">
        <v>21</v>
      </c>
      <c r="Y5">
        <v>22</v>
      </c>
      <c r="Z5">
        <v>23</v>
      </c>
      <c r="AA5">
        <v>24</v>
      </c>
    </row>
    <row r="6" spans="1:28" ht="18.75" x14ac:dyDescent="0.3">
      <c r="A6" s="765" t="s">
        <v>1022</v>
      </c>
      <c r="B6" s="765"/>
      <c r="C6" s="765"/>
      <c r="D6" s="765"/>
      <c r="E6" s="765"/>
      <c r="F6" s="765"/>
      <c r="G6" s="765"/>
      <c r="H6" s="765"/>
      <c r="I6" s="765"/>
      <c r="J6" s="765"/>
      <c r="K6" s="765"/>
      <c r="L6" s="765"/>
      <c r="M6" s="765"/>
      <c r="N6" s="765"/>
      <c r="O6" s="765"/>
      <c r="P6" s="765"/>
      <c r="Q6" s="765"/>
      <c r="R6" s="765"/>
      <c r="S6" s="765"/>
      <c r="T6" s="765"/>
      <c r="U6" s="765"/>
      <c r="V6" s="765"/>
      <c r="W6" s="765"/>
      <c r="X6" s="765"/>
      <c r="Y6" s="765"/>
      <c r="Z6" s="765"/>
      <c r="AA6" s="765"/>
      <c r="AB6" s="765"/>
    </row>
    <row r="7" spans="1:28" ht="15.75" x14ac:dyDescent="0.25">
      <c r="D7" s="764"/>
      <c r="E7" s="764"/>
      <c r="F7" s="764"/>
      <c r="G7" s="764"/>
      <c r="H7" s="764"/>
      <c r="I7" s="764"/>
      <c r="J7" s="764"/>
      <c r="K7" s="764"/>
      <c r="L7" s="764"/>
      <c r="M7" s="764"/>
    </row>
    <row r="9" spans="1:28" x14ac:dyDescent="0.25">
      <c r="D9" t="str">
        <f>CONCATENATE(D7," ",A6)</f>
        <v xml:space="preserve"> Occupancy Schedule</v>
      </c>
    </row>
    <row r="22" spans="1:29" x14ac:dyDescent="0.25">
      <c r="D22" s="645" t="s">
        <v>2053</v>
      </c>
      <c r="E22" s="645" t="s">
        <v>2054</v>
      </c>
      <c r="F22" s="645" t="s">
        <v>2055</v>
      </c>
      <c r="G22" s="645" t="s">
        <v>2056</v>
      </c>
      <c r="H22" s="645" t="s">
        <v>2057</v>
      </c>
      <c r="I22" s="645" t="s">
        <v>2058</v>
      </c>
      <c r="J22" s="645" t="s">
        <v>2059</v>
      </c>
      <c r="K22" s="645" t="s">
        <v>2060</v>
      </c>
      <c r="L22" s="645" t="s">
        <v>2061</v>
      </c>
      <c r="M22" s="645" t="s">
        <v>2062</v>
      </c>
      <c r="N22" s="645" t="s">
        <v>2063</v>
      </c>
      <c r="O22" s="645" t="s">
        <v>2065</v>
      </c>
      <c r="P22" s="645" t="s">
        <v>2066</v>
      </c>
      <c r="Q22" s="645" t="s">
        <v>2067</v>
      </c>
      <c r="R22" s="645" t="s">
        <v>2068</v>
      </c>
      <c r="S22" s="645" t="s">
        <v>2069</v>
      </c>
      <c r="T22" s="645" t="s">
        <v>2070</v>
      </c>
      <c r="U22" s="645" t="s">
        <v>2071</v>
      </c>
      <c r="V22" s="645" t="s">
        <v>2072</v>
      </c>
      <c r="W22" s="645" t="s">
        <v>2073</v>
      </c>
      <c r="X22" s="645" t="s">
        <v>2074</v>
      </c>
      <c r="Y22" s="645" t="s">
        <v>2075</v>
      </c>
      <c r="Z22" s="645" t="s">
        <v>2076</v>
      </c>
      <c r="AA22" s="645" t="s">
        <v>2064</v>
      </c>
    </row>
    <row r="23" spans="1:29" x14ac:dyDescent="0.25">
      <c r="C23" t="s">
        <v>1025</v>
      </c>
      <c r="D23" s="191" t="e">
        <f>IF(INDEX(eQuest_Schedule_Importer[#All],MATCH('eQuest Schedules'!$D$7,eQuest_Schedule_Importer[[#All],[Schedule Name]],0),MATCH('eQuest Schedules'!$C23,eQuest_Schedule_Importer[#Headers],0))="TRUE",INDEX(eQuest_Schedule_Importer[#All],MATCH('eQuest Schedules'!$D$7,eQuest_Schedule_Importer[[#All],[Schedule Name]],0),MATCH(D$22,eQuest_Schedule_Importer[#Headers],0)),"")</f>
        <v>#N/A</v>
      </c>
      <c r="E23" s="191" t="e">
        <f>IF(INDEX(eQuest_Schedule_Importer[#All],MATCH('eQuest Schedules'!$D$7,eQuest_Schedule_Importer[[#All],[Schedule Name]],0),MATCH('eQuest Schedules'!$C23,eQuest_Schedule_Importer[#Headers],0))="TRUE",INDEX(eQuest_Schedule_Importer[#All],MATCH('eQuest Schedules'!$D$7,eQuest_Schedule_Importer[[#All],[Schedule Name]],0),MATCH(E$22,eQuest_Schedule_Importer[#Headers],0)),"")</f>
        <v>#N/A</v>
      </c>
      <c r="F23" s="191" t="e">
        <f>IF(INDEX(eQuest_Schedule_Importer[#All],MATCH('eQuest Schedules'!$D$7,eQuest_Schedule_Importer[[#All],[Schedule Name]],0),MATCH('eQuest Schedules'!$C23,eQuest_Schedule_Importer[#Headers],0))="TRUE",INDEX(eQuest_Schedule_Importer[#All],MATCH('eQuest Schedules'!$D$7,eQuest_Schedule_Importer[[#All],[Schedule Name]],0),MATCH(F$22,eQuest_Schedule_Importer[#Headers],0)),"")</f>
        <v>#N/A</v>
      </c>
      <c r="G23" s="191" t="e">
        <f>IF(INDEX(eQuest_Schedule_Importer[#All],MATCH('eQuest Schedules'!$D$7,eQuest_Schedule_Importer[[#All],[Schedule Name]],0),MATCH('eQuest Schedules'!$C23,eQuest_Schedule_Importer[#Headers],0))="TRUE",INDEX(eQuest_Schedule_Importer[#All],MATCH('eQuest Schedules'!$D$7,eQuest_Schedule_Importer[[#All],[Schedule Name]],0),MATCH(G$22,eQuest_Schedule_Importer[#Headers],0)),"")</f>
        <v>#N/A</v>
      </c>
      <c r="H23" s="191" t="e">
        <f>IF(INDEX(eQuest_Schedule_Importer[#All],MATCH('eQuest Schedules'!$D$7,eQuest_Schedule_Importer[[#All],[Schedule Name]],0),MATCH('eQuest Schedules'!$C23,eQuest_Schedule_Importer[#Headers],0))="TRUE",INDEX(eQuest_Schedule_Importer[#All],MATCH('eQuest Schedules'!$D$7,eQuest_Schedule_Importer[[#All],[Schedule Name]],0),MATCH(H$22,eQuest_Schedule_Importer[#Headers],0)),"")</f>
        <v>#N/A</v>
      </c>
      <c r="I23" s="191" t="e">
        <f>IF(INDEX(eQuest_Schedule_Importer[#All],MATCH('eQuest Schedules'!$D$7,eQuest_Schedule_Importer[[#All],[Schedule Name]],0),MATCH('eQuest Schedules'!$C23,eQuest_Schedule_Importer[#Headers],0))="TRUE",INDEX(eQuest_Schedule_Importer[#All],MATCH('eQuest Schedules'!$D$7,eQuest_Schedule_Importer[[#All],[Schedule Name]],0),MATCH(I$22,eQuest_Schedule_Importer[#Headers],0)),"")</f>
        <v>#N/A</v>
      </c>
      <c r="J23" s="191" t="e">
        <f>IF(INDEX(eQuest_Schedule_Importer[#All],MATCH('eQuest Schedules'!$D$7,eQuest_Schedule_Importer[[#All],[Schedule Name]],0),MATCH('eQuest Schedules'!$C23,eQuest_Schedule_Importer[#Headers],0))="TRUE",INDEX(eQuest_Schedule_Importer[#All],MATCH('eQuest Schedules'!$D$7,eQuest_Schedule_Importer[[#All],[Schedule Name]],0),MATCH(J$22,eQuest_Schedule_Importer[#Headers],0)),"")</f>
        <v>#N/A</v>
      </c>
      <c r="K23" s="191" t="e">
        <f>IF(INDEX(eQuest_Schedule_Importer[#All],MATCH('eQuest Schedules'!$D$7,eQuest_Schedule_Importer[[#All],[Schedule Name]],0),MATCH('eQuest Schedules'!$C23,eQuest_Schedule_Importer[#Headers],0))="TRUE",INDEX(eQuest_Schedule_Importer[#All],MATCH('eQuest Schedules'!$D$7,eQuest_Schedule_Importer[[#All],[Schedule Name]],0),MATCH(K$22,eQuest_Schedule_Importer[#Headers],0)),"")</f>
        <v>#N/A</v>
      </c>
      <c r="L23" s="191" t="e">
        <f>IF(INDEX(eQuest_Schedule_Importer[#All],MATCH('eQuest Schedules'!$D$7,eQuest_Schedule_Importer[[#All],[Schedule Name]],0),MATCH('eQuest Schedules'!$C23,eQuest_Schedule_Importer[#Headers],0))="TRUE",INDEX(eQuest_Schedule_Importer[#All],MATCH('eQuest Schedules'!$D$7,eQuest_Schedule_Importer[[#All],[Schedule Name]],0),MATCH(L$22,eQuest_Schedule_Importer[#Headers],0)),"")</f>
        <v>#N/A</v>
      </c>
      <c r="M23" s="191" t="e">
        <f>IF(INDEX(eQuest_Schedule_Importer[#All],MATCH('eQuest Schedules'!$D$7,eQuest_Schedule_Importer[[#All],[Schedule Name]],0),MATCH('eQuest Schedules'!$C23,eQuest_Schedule_Importer[#Headers],0))="TRUE",INDEX(eQuest_Schedule_Importer[#All],MATCH('eQuest Schedules'!$D$7,eQuest_Schedule_Importer[[#All],[Schedule Name]],0),MATCH(M$22,eQuest_Schedule_Importer[#Headers],0)),"")</f>
        <v>#N/A</v>
      </c>
      <c r="N23" s="191" t="e">
        <f>IF(INDEX(eQuest_Schedule_Importer[#All],MATCH('eQuest Schedules'!$D$7,eQuest_Schedule_Importer[[#All],[Schedule Name]],0),MATCH('eQuest Schedules'!$C23,eQuest_Schedule_Importer[#Headers],0))="TRUE",INDEX(eQuest_Schedule_Importer[#All],MATCH('eQuest Schedules'!$D$7,eQuest_Schedule_Importer[[#All],[Schedule Name]],0),MATCH(N$22,eQuest_Schedule_Importer[#Headers],0)),"")</f>
        <v>#N/A</v>
      </c>
      <c r="O23" s="191" t="e">
        <f>IF(INDEX(eQuest_Schedule_Importer[#All],MATCH('eQuest Schedules'!$D$7,eQuest_Schedule_Importer[[#All],[Schedule Name]],0),MATCH('eQuest Schedules'!$C23,eQuest_Schedule_Importer[#Headers],0))="TRUE",INDEX(eQuest_Schedule_Importer[#All],MATCH('eQuest Schedules'!$D$7,eQuest_Schedule_Importer[[#All],[Schedule Name]],0),MATCH(O$22,eQuest_Schedule_Importer[#Headers],0)),"")</f>
        <v>#N/A</v>
      </c>
      <c r="P23" s="191" t="e">
        <f>IF(INDEX(eQuest_Schedule_Importer[#All],MATCH('eQuest Schedules'!$D$7,eQuest_Schedule_Importer[[#All],[Schedule Name]],0),MATCH('eQuest Schedules'!$C23,eQuest_Schedule_Importer[#Headers],0))="TRUE",INDEX(eQuest_Schedule_Importer[#All],MATCH('eQuest Schedules'!$D$7,eQuest_Schedule_Importer[[#All],[Schedule Name]],0),MATCH(P$22,eQuest_Schedule_Importer[#Headers],0)),"")</f>
        <v>#N/A</v>
      </c>
      <c r="Q23" s="191" t="e">
        <f>IF(INDEX(eQuest_Schedule_Importer[#All],MATCH('eQuest Schedules'!$D$7,eQuest_Schedule_Importer[[#All],[Schedule Name]],0),MATCH('eQuest Schedules'!$C23,eQuest_Schedule_Importer[#Headers],0))="TRUE",INDEX(eQuest_Schedule_Importer[#All],MATCH('eQuest Schedules'!$D$7,eQuest_Schedule_Importer[[#All],[Schedule Name]],0),MATCH(Q$22,eQuest_Schedule_Importer[#Headers],0)),"")</f>
        <v>#N/A</v>
      </c>
      <c r="R23" s="191" t="e">
        <f>IF(INDEX(eQuest_Schedule_Importer[#All],MATCH('eQuest Schedules'!$D$7,eQuest_Schedule_Importer[[#All],[Schedule Name]],0),MATCH('eQuest Schedules'!$C23,eQuest_Schedule_Importer[#Headers],0))="TRUE",INDEX(eQuest_Schedule_Importer[#All],MATCH('eQuest Schedules'!$D$7,eQuest_Schedule_Importer[[#All],[Schedule Name]],0),MATCH(R$22,eQuest_Schedule_Importer[#Headers],0)),"")</f>
        <v>#N/A</v>
      </c>
      <c r="S23" s="191" t="e">
        <f>IF(INDEX(eQuest_Schedule_Importer[#All],MATCH('eQuest Schedules'!$D$7,eQuest_Schedule_Importer[[#All],[Schedule Name]],0),MATCH('eQuest Schedules'!$C23,eQuest_Schedule_Importer[#Headers],0))="TRUE",INDEX(eQuest_Schedule_Importer[#All],MATCH('eQuest Schedules'!$D$7,eQuest_Schedule_Importer[[#All],[Schedule Name]],0),MATCH(S$22,eQuest_Schedule_Importer[#Headers],0)),"")</f>
        <v>#N/A</v>
      </c>
      <c r="T23" s="191" t="e">
        <f>IF(INDEX(eQuest_Schedule_Importer[#All],MATCH('eQuest Schedules'!$D$7,eQuest_Schedule_Importer[[#All],[Schedule Name]],0),MATCH('eQuest Schedules'!$C23,eQuest_Schedule_Importer[#Headers],0))="TRUE",INDEX(eQuest_Schedule_Importer[#All],MATCH('eQuest Schedules'!$D$7,eQuest_Schedule_Importer[[#All],[Schedule Name]],0),MATCH(T$22,eQuest_Schedule_Importer[#Headers],0)),"")</f>
        <v>#N/A</v>
      </c>
      <c r="U23" s="191" t="e">
        <f>IF(INDEX(eQuest_Schedule_Importer[#All],MATCH('eQuest Schedules'!$D$7,eQuest_Schedule_Importer[[#All],[Schedule Name]],0),MATCH('eQuest Schedules'!$C23,eQuest_Schedule_Importer[#Headers],0))="TRUE",INDEX(eQuest_Schedule_Importer[#All],MATCH('eQuest Schedules'!$D$7,eQuest_Schedule_Importer[[#All],[Schedule Name]],0),MATCH(U$22,eQuest_Schedule_Importer[#Headers],0)),"")</f>
        <v>#N/A</v>
      </c>
      <c r="V23" s="191" t="e">
        <f>IF(INDEX(eQuest_Schedule_Importer[#All],MATCH('eQuest Schedules'!$D$7,eQuest_Schedule_Importer[[#All],[Schedule Name]],0),MATCH('eQuest Schedules'!$C23,eQuest_Schedule_Importer[#Headers],0))="TRUE",INDEX(eQuest_Schedule_Importer[#All],MATCH('eQuest Schedules'!$D$7,eQuest_Schedule_Importer[[#All],[Schedule Name]],0),MATCH(V$22,eQuest_Schedule_Importer[#Headers],0)),"")</f>
        <v>#N/A</v>
      </c>
      <c r="W23" s="191" t="e">
        <f>IF(INDEX(eQuest_Schedule_Importer[#All],MATCH('eQuest Schedules'!$D$7,eQuest_Schedule_Importer[[#All],[Schedule Name]],0),MATCH('eQuest Schedules'!$C23,eQuest_Schedule_Importer[#Headers],0))="TRUE",INDEX(eQuest_Schedule_Importer[#All],MATCH('eQuest Schedules'!$D$7,eQuest_Schedule_Importer[[#All],[Schedule Name]],0),MATCH(W$22,eQuest_Schedule_Importer[#Headers],0)),"")</f>
        <v>#N/A</v>
      </c>
      <c r="X23" s="191" t="e">
        <f>IF(INDEX(eQuest_Schedule_Importer[#All],MATCH('eQuest Schedules'!$D$7,eQuest_Schedule_Importer[[#All],[Schedule Name]],0),MATCH('eQuest Schedules'!$C23,eQuest_Schedule_Importer[#Headers],0))="TRUE",INDEX(eQuest_Schedule_Importer[#All],MATCH('eQuest Schedules'!$D$7,eQuest_Schedule_Importer[[#All],[Schedule Name]],0),MATCH(X$22,eQuest_Schedule_Importer[#Headers],0)),"")</f>
        <v>#N/A</v>
      </c>
      <c r="Y23" s="191" t="e">
        <f>IF(INDEX(eQuest_Schedule_Importer[#All],MATCH('eQuest Schedules'!$D$7,eQuest_Schedule_Importer[[#All],[Schedule Name]],0),MATCH('eQuest Schedules'!$C23,eQuest_Schedule_Importer[#Headers],0))="TRUE",INDEX(eQuest_Schedule_Importer[#All],MATCH('eQuest Schedules'!$D$7,eQuest_Schedule_Importer[[#All],[Schedule Name]],0),MATCH(Y$22,eQuest_Schedule_Importer[#Headers],0)),"")</f>
        <v>#N/A</v>
      </c>
      <c r="Z23" s="191" t="e">
        <f>IF(INDEX(eQuest_Schedule_Importer[#All],MATCH('eQuest Schedules'!$D$7,eQuest_Schedule_Importer[[#All],[Schedule Name]],0),MATCH('eQuest Schedules'!$C23,eQuest_Schedule_Importer[#Headers],0))="TRUE",INDEX(eQuest_Schedule_Importer[#All],MATCH('eQuest Schedules'!$D$7,eQuest_Schedule_Importer[[#All],[Schedule Name]],0),MATCH(Z$22,eQuest_Schedule_Importer[#Headers],0)),"")</f>
        <v>#N/A</v>
      </c>
      <c r="AA23" s="191" t="e">
        <f>IF(INDEX(eQuest_Schedule_Importer[#All],MATCH('eQuest Schedules'!$D$7,eQuest_Schedule_Importer[[#All],[Schedule Name]],0),MATCH('eQuest Schedules'!$C23,eQuest_Schedule_Importer[#Headers],0))="TRUE",INDEX(eQuest_Schedule_Importer[#All],MATCH('eQuest Schedules'!$D$7,eQuest_Schedule_Importer[[#All],[Schedule Name]],0),MATCH(AA$22,eQuest_Schedule_Importer[#Headers],0)),"")</f>
        <v>#N/A</v>
      </c>
    </row>
    <row r="24" spans="1:29" x14ac:dyDescent="0.25">
      <c r="C24" t="s">
        <v>1026</v>
      </c>
      <c r="D24" s="191" t="e">
        <f>IF(INDEX(eQuest_Schedule_Importer[#All],MATCH('eQuest Schedules'!$D$7,eQuest_Schedule_Importer[[#All],[Schedule Name]],0),MATCH('eQuest Schedules'!$C24,eQuest_Schedule_Importer[#Headers],0))="TRUE",INDEX(eQuest_Schedule_Importer[#All],MATCH('eQuest Schedules'!$D$7,eQuest_Schedule_Importer[[#All],[Schedule Name]],0),MATCH(D$22,eQuest_Schedule_Importer[#Headers],0)),"")</f>
        <v>#N/A</v>
      </c>
      <c r="E24" s="191" t="e">
        <f>IF(INDEX(eQuest_Schedule_Importer[#All],MATCH('eQuest Schedules'!$D$7,eQuest_Schedule_Importer[[#All],[Schedule Name]],0),MATCH('eQuest Schedules'!$C24,eQuest_Schedule_Importer[#Headers],0))="TRUE",INDEX(eQuest_Schedule_Importer[#All],MATCH('eQuest Schedules'!$D$7,eQuest_Schedule_Importer[[#All],[Schedule Name]],0),MATCH(E$22,eQuest_Schedule_Importer[#Headers],0)),"")</f>
        <v>#N/A</v>
      </c>
      <c r="F24" s="191" t="e">
        <f>IF(INDEX(eQuest_Schedule_Importer[#All],MATCH('eQuest Schedules'!$D$7,eQuest_Schedule_Importer[[#All],[Schedule Name]],0),MATCH('eQuest Schedules'!$C24,eQuest_Schedule_Importer[#Headers],0))="TRUE",INDEX(eQuest_Schedule_Importer[#All],MATCH('eQuest Schedules'!$D$7,eQuest_Schedule_Importer[[#All],[Schedule Name]],0),MATCH(F$22,eQuest_Schedule_Importer[#Headers],0)),"")</f>
        <v>#N/A</v>
      </c>
      <c r="G24" s="191" t="e">
        <f>IF(INDEX(eQuest_Schedule_Importer[#All],MATCH('eQuest Schedules'!$D$7,eQuest_Schedule_Importer[[#All],[Schedule Name]],0),MATCH('eQuest Schedules'!$C24,eQuest_Schedule_Importer[#Headers],0))="TRUE",INDEX(eQuest_Schedule_Importer[#All],MATCH('eQuest Schedules'!$D$7,eQuest_Schedule_Importer[[#All],[Schedule Name]],0),MATCH(G$22,eQuest_Schedule_Importer[#Headers],0)),"")</f>
        <v>#N/A</v>
      </c>
      <c r="H24" s="191" t="e">
        <f>IF(INDEX(eQuest_Schedule_Importer[#All],MATCH('eQuest Schedules'!$D$7,eQuest_Schedule_Importer[[#All],[Schedule Name]],0),MATCH('eQuest Schedules'!$C24,eQuest_Schedule_Importer[#Headers],0))="TRUE",INDEX(eQuest_Schedule_Importer[#All],MATCH('eQuest Schedules'!$D$7,eQuest_Schedule_Importer[[#All],[Schedule Name]],0),MATCH(H$22,eQuest_Schedule_Importer[#Headers],0)),"")</f>
        <v>#N/A</v>
      </c>
      <c r="I24" s="191" t="e">
        <f>IF(INDEX(eQuest_Schedule_Importer[#All],MATCH('eQuest Schedules'!$D$7,eQuest_Schedule_Importer[[#All],[Schedule Name]],0),MATCH('eQuest Schedules'!$C24,eQuest_Schedule_Importer[#Headers],0))="TRUE",INDEX(eQuest_Schedule_Importer[#All],MATCH('eQuest Schedules'!$D$7,eQuest_Schedule_Importer[[#All],[Schedule Name]],0),MATCH(I$22,eQuest_Schedule_Importer[#Headers],0)),"")</f>
        <v>#N/A</v>
      </c>
      <c r="J24" s="191" t="e">
        <f>IF(INDEX(eQuest_Schedule_Importer[#All],MATCH('eQuest Schedules'!$D$7,eQuest_Schedule_Importer[[#All],[Schedule Name]],0),MATCH('eQuest Schedules'!$C24,eQuest_Schedule_Importer[#Headers],0))="TRUE",INDEX(eQuest_Schedule_Importer[#All],MATCH('eQuest Schedules'!$D$7,eQuest_Schedule_Importer[[#All],[Schedule Name]],0),MATCH(J$22,eQuest_Schedule_Importer[#Headers],0)),"")</f>
        <v>#N/A</v>
      </c>
      <c r="K24" s="191" t="e">
        <f>IF(INDEX(eQuest_Schedule_Importer[#All],MATCH('eQuest Schedules'!$D$7,eQuest_Schedule_Importer[[#All],[Schedule Name]],0),MATCH('eQuest Schedules'!$C24,eQuest_Schedule_Importer[#Headers],0))="TRUE",INDEX(eQuest_Schedule_Importer[#All],MATCH('eQuest Schedules'!$D$7,eQuest_Schedule_Importer[[#All],[Schedule Name]],0),MATCH(K$22,eQuest_Schedule_Importer[#Headers],0)),"")</f>
        <v>#N/A</v>
      </c>
      <c r="L24" s="191" t="e">
        <f>IF(INDEX(eQuest_Schedule_Importer[#All],MATCH('eQuest Schedules'!$D$7,eQuest_Schedule_Importer[[#All],[Schedule Name]],0),MATCH('eQuest Schedules'!$C24,eQuest_Schedule_Importer[#Headers],0))="TRUE",INDEX(eQuest_Schedule_Importer[#All],MATCH('eQuest Schedules'!$D$7,eQuest_Schedule_Importer[[#All],[Schedule Name]],0),MATCH(L$22,eQuest_Schedule_Importer[#Headers],0)),"")</f>
        <v>#N/A</v>
      </c>
      <c r="M24" s="191" t="e">
        <f>IF(INDEX(eQuest_Schedule_Importer[#All],MATCH('eQuest Schedules'!$D$7,eQuest_Schedule_Importer[[#All],[Schedule Name]],0),MATCH('eQuest Schedules'!$C24,eQuest_Schedule_Importer[#Headers],0))="TRUE",INDEX(eQuest_Schedule_Importer[#All],MATCH('eQuest Schedules'!$D$7,eQuest_Schedule_Importer[[#All],[Schedule Name]],0),MATCH(M$22,eQuest_Schedule_Importer[#Headers],0)),"")</f>
        <v>#N/A</v>
      </c>
      <c r="N24" s="191" t="e">
        <f>IF(INDEX(eQuest_Schedule_Importer[#All],MATCH('eQuest Schedules'!$D$7,eQuest_Schedule_Importer[[#All],[Schedule Name]],0),MATCH('eQuest Schedules'!$C24,eQuest_Schedule_Importer[#Headers],0))="TRUE",INDEX(eQuest_Schedule_Importer[#All],MATCH('eQuest Schedules'!$D$7,eQuest_Schedule_Importer[[#All],[Schedule Name]],0),MATCH(N$22,eQuest_Schedule_Importer[#Headers],0)),"")</f>
        <v>#N/A</v>
      </c>
      <c r="O24" s="191" t="e">
        <f>IF(INDEX(eQuest_Schedule_Importer[#All],MATCH('eQuest Schedules'!$D$7,eQuest_Schedule_Importer[[#All],[Schedule Name]],0),MATCH('eQuest Schedules'!$C24,eQuest_Schedule_Importer[#Headers],0))="TRUE",INDEX(eQuest_Schedule_Importer[#All],MATCH('eQuest Schedules'!$D$7,eQuest_Schedule_Importer[[#All],[Schedule Name]],0),MATCH(O$22,eQuest_Schedule_Importer[#Headers],0)),"")</f>
        <v>#N/A</v>
      </c>
      <c r="P24" s="191" t="e">
        <f>IF(INDEX(eQuest_Schedule_Importer[#All],MATCH('eQuest Schedules'!$D$7,eQuest_Schedule_Importer[[#All],[Schedule Name]],0),MATCH('eQuest Schedules'!$C24,eQuest_Schedule_Importer[#Headers],0))="TRUE",INDEX(eQuest_Schedule_Importer[#All],MATCH('eQuest Schedules'!$D$7,eQuest_Schedule_Importer[[#All],[Schedule Name]],0),MATCH(P$22,eQuest_Schedule_Importer[#Headers],0)),"")</f>
        <v>#N/A</v>
      </c>
      <c r="Q24" s="191" t="e">
        <f>IF(INDEX(eQuest_Schedule_Importer[#All],MATCH('eQuest Schedules'!$D$7,eQuest_Schedule_Importer[[#All],[Schedule Name]],0),MATCH('eQuest Schedules'!$C24,eQuest_Schedule_Importer[#Headers],0))="TRUE",INDEX(eQuest_Schedule_Importer[#All],MATCH('eQuest Schedules'!$D$7,eQuest_Schedule_Importer[[#All],[Schedule Name]],0),MATCH(Q$22,eQuest_Schedule_Importer[#Headers],0)),"")</f>
        <v>#N/A</v>
      </c>
      <c r="R24" s="191" t="e">
        <f>IF(INDEX(eQuest_Schedule_Importer[#All],MATCH('eQuest Schedules'!$D$7,eQuest_Schedule_Importer[[#All],[Schedule Name]],0),MATCH('eQuest Schedules'!$C24,eQuest_Schedule_Importer[#Headers],0))="TRUE",INDEX(eQuest_Schedule_Importer[#All],MATCH('eQuest Schedules'!$D$7,eQuest_Schedule_Importer[[#All],[Schedule Name]],0),MATCH(R$22,eQuest_Schedule_Importer[#Headers],0)),"")</f>
        <v>#N/A</v>
      </c>
      <c r="S24" s="191" t="e">
        <f>IF(INDEX(eQuest_Schedule_Importer[#All],MATCH('eQuest Schedules'!$D$7,eQuest_Schedule_Importer[[#All],[Schedule Name]],0),MATCH('eQuest Schedules'!$C24,eQuest_Schedule_Importer[#Headers],0))="TRUE",INDEX(eQuest_Schedule_Importer[#All],MATCH('eQuest Schedules'!$D$7,eQuest_Schedule_Importer[[#All],[Schedule Name]],0),MATCH(S$22,eQuest_Schedule_Importer[#Headers],0)),"")</f>
        <v>#N/A</v>
      </c>
      <c r="T24" s="191" t="e">
        <f>IF(INDEX(eQuest_Schedule_Importer[#All],MATCH('eQuest Schedules'!$D$7,eQuest_Schedule_Importer[[#All],[Schedule Name]],0),MATCH('eQuest Schedules'!$C24,eQuest_Schedule_Importer[#Headers],0))="TRUE",INDEX(eQuest_Schedule_Importer[#All],MATCH('eQuest Schedules'!$D$7,eQuest_Schedule_Importer[[#All],[Schedule Name]],0),MATCH(T$22,eQuest_Schedule_Importer[#Headers],0)),"")</f>
        <v>#N/A</v>
      </c>
      <c r="U24" s="191" t="e">
        <f>IF(INDEX(eQuest_Schedule_Importer[#All],MATCH('eQuest Schedules'!$D$7,eQuest_Schedule_Importer[[#All],[Schedule Name]],0),MATCH('eQuest Schedules'!$C24,eQuest_Schedule_Importer[#Headers],0))="TRUE",INDEX(eQuest_Schedule_Importer[#All],MATCH('eQuest Schedules'!$D$7,eQuest_Schedule_Importer[[#All],[Schedule Name]],0),MATCH(U$22,eQuest_Schedule_Importer[#Headers],0)),"")</f>
        <v>#N/A</v>
      </c>
      <c r="V24" s="191" t="e">
        <f>IF(INDEX(eQuest_Schedule_Importer[#All],MATCH('eQuest Schedules'!$D$7,eQuest_Schedule_Importer[[#All],[Schedule Name]],0),MATCH('eQuest Schedules'!$C24,eQuest_Schedule_Importer[#Headers],0))="TRUE",INDEX(eQuest_Schedule_Importer[#All],MATCH('eQuest Schedules'!$D$7,eQuest_Schedule_Importer[[#All],[Schedule Name]],0),MATCH(V$22,eQuest_Schedule_Importer[#Headers],0)),"")</f>
        <v>#N/A</v>
      </c>
      <c r="W24" s="191" t="e">
        <f>IF(INDEX(eQuest_Schedule_Importer[#All],MATCH('eQuest Schedules'!$D$7,eQuest_Schedule_Importer[[#All],[Schedule Name]],0),MATCH('eQuest Schedules'!$C24,eQuest_Schedule_Importer[#Headers],0))="TRUE",INDEX(eQuest_Schedule_Importer[#All],MATCH('eQuest Schedules'!$D$7,eQuest_Schedule_Importer[[#All],[Schedule Name]],0),MATCH(W$22,eQuest_Schedule_Importer[#Headers],0)),"")</f>
        <v>#N/A</v>
      </c>
      <c r="X24" s="191" t="e">
        <f>IF(INDEX(eQuest_Schedule_Importer[#All],MATCH('eQuest Schedules'!$D$7,eQuest_Schedule_Importer[[#All],[Schedule Name]],0),MATCH('eQuest Schedules'!$C24,eQuest_Schedule_Importer[#Headers],0))="TRUE",INDEX(eQuest_Schedule_Importer[#All],MATCH('eQuest Schedules'!$D$7,eQuest_Schedule_Importer[[#All],[Schedule Name]],0),MATCH(X$22,eQuest_Schedule_Importer[#Headers],0)),"")</f>
        <v>#N/A</v>
      </c>
      <c r="Y24" s="191" t="e">
        <f>IF(INDEX(eQuest_Schedule_Importer[#All],MATCH('eQuest Schedules'!$D$7,eQuest_Schedule_Importer[[#All],[Schedule Name]],0),MATCH('eQuest Schedules'!$C24,eQuest_Schedule_Importer[#Headers],0))="TRUE",INDEX(eQuest_Schedule_Importer[#All],MATCH('eQuest Schedules'!$D$7,eQuest_Schedule_Importer[[#All],[Schedule Name]],0),MATCH(Y$22,eQuest_Schedule_Importer[#Headers],0)),"")</f>
        <v>#N/A</v>
      </c>
      <c r="Z24" s="191" t="e">
        <f>IF(INDEX(eQuest_Schedule_Importer[#All],MATCH('eQuest Schedules'!$D$7,eQuest_Schedule_Importer[[#All],[Schedule Name]],0),MATCH('eQuest Schedules'!$C24,eQuest_Schedule_Importer[#Headers],0))="TRUE",INDEX(eQuest_Schedule_Importer[#All],MATCH('eQuest Schedules'!$D$7,eQuest_Schedule_Importer[[#All],[Schedule Name]],0),MATCH(Z$22,eQuest_Schedule_Importer[#Headers],0)),"")</f>
        <v>#N/A</v>
      </c>
      <c r="AA24" s="191" t="e">
        <f>IF(INDEX(eQuest_Schedule_Importer[#All],MATCH('eQuest Schedules'!$D$7,eQuest_Schedule_Importer[[#All],[Schedule Name]],0),MATCH('eQuest Schedules'!$C24,eQuest_Schedule_Importer[#Headers],0))="TRUE",INDEX(eQuest_Schedule_Importer[#All],MATCH('eQuest Schedules'!$D$7,eQuest_Schedule_Importer[[#All],[Schedule Name]],0),MATCH(AA$22,eQuest_Schedule_Importer[#Headers],0)),"")</f>
        <v>#N/A</v>
      </c>
    </row>
    <row r="25" spans="1:29" x14ac:dyDescent="0.25">
      <c r="C25" t="s">
        <v>2077</v>
      </c>
      <c r="D25" s="191" t="e">
        <f>IF(INDEX(eQuest_Schedule_Importer[#All],MATCH('eQuest Schedules'!$D$7,eQuest_Schedule_Importer[[#All],[Schedule Name]],0),MATCH('eQuest Schedules'!$C25,eQuest_Schedule_Importer[#Headers],0))="TRUE",INDEX(eQuest_Schedule_Importer[#All],MATCH('eQuest Schedules'!$D$7,eQuest_Schedule_Importer[[#All],[Schedule Name]],0),MATCH(D$22,eQuest_Schedule_Importer[#Headers],0)),"")</f>
        <v>#N/A</v>
      </c>
      <c r="E25" s="191" t="e">
        <f>IF(INDEX(eQuest_Schedule_Importer[#All],MATCH('eQuest Schedules'!$D$7,eQuest_Schedule_Importer[[#All],[Schedule Name]],0),MATCH('eQuest Schedules'!$C25,eQuest_Schedule_Importer[#Headers],0))="TRUE",INDEX(eQuest_Schedule_Importer[#All],MATCH('eQuest Schedules'!$D$7,eQuest_Schedule_Importer[[#All],[Schedule Name]],0),MATCH(E$22,eQuest_Schedule_Importer[#Headers],0)),"")</f>
        <v>#N/A</v>
      </c>
      <c r="F25" s="191" t="e">
        <f>IF(INDEX(eQuest_Schedule_Importer[#All],MATCH('eQuest Schedules'!$D$7,eQuest_Schedule_Importer[[#All],[Schedule Name]],0),MATCH('eQuest Schedules'!$C25,eQuest_Schedule_Importer[#Headers],0))="TRUE",INDEX(eQuest_Schedule_Importer[#All],MATCH('eQuest Schedules'!$D$7,eQuest_Schedule_Importer[[#All],[Schedule Name]],0),MATCH(F$22,eQuest_Schedule_Importer[#Headers],0)),"")</f>
        <v>#N/A</v>
      </c>
      <c r="G25" s="191" t="e">
        <f>IF(INDEX(eQuest_Schedule_Importer[#All],MATCH('eQuest Schedules'!$D$7,eQuest_Schedule_Importer[[#All],[Schedule Name]],0),MATCH('eQuest Schedules'!$C25,eQuest_Schedule_Importer[#Headers],0))="TRUE",INDEX(eQuest_Schedule_Importer[#All],MATCH('eQuest Schedules'!$D$7,eQuest_Schedule_Importer[[#All],[Schedule Name]],0),MATCH(G$22,eQuest_Schedule_Importer[#Headers],0)),"")</f>
        <v>#N/A</v>
      </c>
      <c r="H25" s="191" t="e">
        <f>IF(INDEX(eQuest_Schedule_Importer[#All],MATCH('eQuest Schedules'!$D$7,eQuest_Schedule_Importer[[#All],[Schedule Name]],0),MATCH('eQuest Schedules'!$C25,eQuest_Schedule_Importer[#Headers],0))="TRUE",INDEX(eQuest_Schedule_Importer[#All],MATCH('eQuest Schedules'!$D$7,eQuest_Schedule_Importer[[#All],[Schedule Name]],0),MATCH(H$22,eQuest_Schedule_Importer[#Headers],0)),"")</f>
        <v>#N/A</v>
      </c>
      <c r="I25" s="191" t="e">
        <f>IF(INDEX(eQuest_Schedule_Importer[#All],MATCH('eQuest Schedules'!$D$7,eQuest_Schedule_Importer[[#All],[Schedule Name]],0),MATCH('eQuest Schedules'!$C25,eQuest_Schedule_Importer[#Headers],0))="TRUE",INDEX(eQuest_Schedule_Importer[#All],MATCH('eQuest Schedules'!$D$7,eQuest_Schedule_Importer[[#All],[Schedule Name]],0),MATCH(I$22,eQuest_Schedule_Importer[#Headers],0)),"")</f>
        <v>#N/A</v>
      </c>
      <c r="J25" s="191" t="e">
        <f>IF(INDEX(eQuest_Schedule_Importer[#All],MATCH('eQuest Schedules'!$D$7,eQuest_Schedule_Importer[[#All],[Schedule Name]],0),MATCH('eQuest Schedules'!$C25,eQuest_Schedule_Importer[#Headers],0))="TRUE",INDEX(eQuest_Schedule_Importer[#All],MATCH('eQuest Schedules'!$D$7,eQuest_Schedule_Importer[[#All],[Schedule Name]],0),MATCH(J$22,eQuest_Schedule_Importer[#Headers],0)),"")</f>
        <v>#N/A</v>
      </c>
      <c r="K25" s="191" t="e">
        <f>IF(INDEX(eQuest_Schedule_Importer[#All],MATCH('eQuest Schedules'!$D$7,eQuest_Schedule_Importer[[#All],[Schedule Name]],0),MATCH('eQuest Schedules'!$C25,eQuest_Schedule_Importer[#Headers],0))="TRUE",INDEX(eQuest_Schedule_Importer[#All],MATCH('eQuest Schedules'!$D$7,eQuest_Schedule_Importer[[#All],[Schedule Name]],0),MATCH(K$22,eQuest_Schedule_Importer[#Headers],0)),"")</f>
        <v>#N/A</v>
      </c>
      <c r="L25" s="191" t="e">
        <f>IF(INDEX(eQuest_Schedule_Importer[#All],MATCH('eQuest Schedules'!$D$7,eQuest_Schedule_Importer[[#All],[Schedule Name]],0),MATCH('eQuest Schedules'!$C25,eQuest_Schedule_Importer[#Headers],0))="TRUE",INDEX(eQuest_Schedule_Importer[#All],MATCH('eQuest Schedules'!$D$7,eQuest_Schedule_Importer[[#All],[Schedule Name]],0),MATCH(L$22,eQuest_Schedule_Importer[#Headers],0)),"")</f>
        <v>#N/A</v>
      </c>
      <c r="M25" s="191" t="e">
        <f>IF(INDEX(eQuest_Schedule_Importer[#All],MATCH('eQuest Schedules'!$D$7,eQuest_Schedule_Importer[[#All],[Schedule Name]],0),MATCH('eQuest Schedules'!$C25,eQuest_Schedule_Importer[#Headers],0))="TRUE",INDEX(eQuest_Schedule_Importer[#All],MATCH('eQuest Schedules'!$D$7,eQuest_Schedule_Importer[[#All],[Schedule Name]],0),MATCH(M$22,eQuest_Schedule_Importer[#Headers],0)),"")</f>
        <v>#N/A</v>
      </c>
      <c r="N25" s="191" t="e">
        <f>IF(INDEX(eQuest_Schedule_Importer[#All],MATCH('eQuest Schedules'!$D$7,eQuest_Schedule_Importer[[#All],[Schedule Name]],0),MATCH('eQuest Schedules'!$C25,eQuest_Schedule_Importer[#Headers],0))="TRUE",INDEX(eQuest_Schedule_Importer[#All],MATCH('eQuest Schedules'!$D$7,eQuest_Schedule_Importer[[#All],[Schedule Name]],0),MATCH(N$22,eQuest_Schedule_Importer[#Headers],0)),"")</f>
        <v>#N/A</v>
      </c>
      <c r="O25" s="191" t="e">
        <f>IF(INDEX(eQuest_Schedule_Importer[#All],MATCH('eQuest Schedules'!$D$7,eQuest_Schedule_Importer[[#All],[Schedule Name]],0),MATCH('eQuest Schedules'!$C25,eQuest_Schedule_Importer[#Headers],0))="TRUE",INDEX(eQuest_Schedule_Importer[#All],MATCH('eQuest Schedules'!$D$7,eQuest_Schedule_Importer[[#All],[Schedule Name]],0),MATCH(O$22,eQuest_Schedule_Importer[#Headers],0)),"")</f>
        <v>#N/A</v>
      </c>
      <c r="P25" s="191" t="e">
        <f>IF(INDEX(eQuest_Schedule_Importer[#All],MATCH('eQuest Schedules'!$D$7,eQuest_Schedule_Importer[[#All],[Schedule Name]],0),MATCH('eQuest Schedules'!$C25,eQuest_Schedule_Importer[#Headers],0))="TRUE",INDEX(eQuest_Schedule_Importer[#All],MATCH('eQuest Schedules'!$D$7,eQuest_Schedule_Importer[[#All],[Schedule Name]],0),MATCH(P$22,eQuest_Schedule_Importer[#Headers],0)),"")</f>
        <v>#N/A</v>
      </c>
      <c r="Q25" s="191" t="e">
        <f>IF(INDEX(eQuest_Schedule_Importer[#All],MATCH('eQuest Schedules'!$D$7,eQuest_Schedule_Importer[[#All],[Schedule Name]],0),MATCH('eQuest Schedules'!$C25,eQuest_Schedule_Importer[#Headers],0))="TRUE",INDEX(eQuest_Schedule_Importer[#All],MATCH('eQuest Schedules'!$D$7,eQuest_Schedule_Importer[[#All],[Schedule Name]],0),MATCH(Q$22,eQuest_Schedule_Importer[#Headers],0)),"")</f>
        <v>#N/A</v>
      </c>
      <c r="R25" s="191" t="e">
        <f>IF(INDEX(eQuest_Schedule_Importer[#All],MATCH('eQuest Schedules'!$D$7,eQuest_Schedule_Importer[[#All],[Schedule Name]],0),MATCH('eQuest Schedules'!$C25,eQuest_Schedule_Importer[#Headers],0))="TRUE",INDEX(eQuest_Schedule_Importer[#All],MATCH('eQuest Schedules'!$D$7,eQuest_Schedule_Importer[[#All],[Schedule Name]],0),MATCH(R$22,eQuest_Schedule_Importer[#Headers],0)),"")</f>
        <v>#N/A</v>
      </c>
      <c r="S25" s="191" t="e">
        <f>IF(INDEX(eQuest_Schedule_Importer[#All],MATCH('eQuest Schedules'!$D$7,eQuest_Schedule_Importer[[#All],[Schedule Name]],0),MATCH('eQuest Schedules'!$C25,eQuest_Schedule_Importer[#Headers],0))="TRUE",INDEX(eQuest_Schedule_Importer[#All],MATCH('eQuest Schedules'!$D$7,eQuest_Schedule_Importer[[#All],[Schedule Name]],0),MATCH(S$22,eQuest_Schedule_Importer[#Headers],0)),"")</f>
        <v>#N/A</v>
      </c>
      <c r="T25" s="191" t="e">
        <f>IF(INDEX(eQuest_Schedule_Importer[#All],MATCH('eQuest Schedules'!$D$7,eQuest_Schedule_Importer[[#All],[Schedule Name]],0),MATCH('eQuest Schedules'!$C25,eQuest_Schedule_Importer[#Headers],0))="TRUE",INDEX(eQuest_Schedule_Importer[#All],MATCH('eQuest Schedules'!$D$7,eQuest_Schedule_Importer[[#All],[Schedule Name]],0),MATCH(T$22,eQuest_Schedule_Importer[#Headers],0)),"")</f>
        <v>#N/A</v>
      </c>
      <c r="U25" s="191" t="e">
        <f>IF(INDEX(eQuest_Schedule_Importer[#All],MATCH('eQuest Schedules'!$D$7,eQuest_Schedule_Importer[[#All],[Schedule Name]],0),MATCH('eQuest Schedules'!$C25,eQuest_Schedule_Importer[#Headers],0))="TRUE",INDEX(eQuest_Schedule_Importer[#All],MATCH('eQuest Schedules'!$D$7,eQuest_Schedule_Importer[[#All],[Schedule Name]],0),MATCH(U$22,eQuest_Schedule_Importer[#Headers],0)),"")</f>
        <v>#N/A</v>
      </c>
      <c r="V25" s="191" t="e">
        <f>IF(INDEX(eQuest_Schedule_Importer[#All],MATCH('eQuest Schedules'!$D$7,eQuest_Schedule_Importer[[#All],[Schedule Name]],0),MATCH('eQuest Schedules'!$C25,eQuest_Schedule_Importer[#Headers],0))="TRUE",INDEX(eQuest_Schedule_Importer[#All],MATCH('eQuest Schedules'!$D$7,eQuest_Schedule_Importer[[#All],[Schedule Name]],0),MATCH(V$22,eQuest_Schedule_Importer[#Headers],0)),"")</f>
        <v>#N/A</v>
      </c>
      <c r="W25" s="191" t="e">
        <f>IF(INDEX(eQuest_Schedule_Importer[#All],MATCH('eQuest Schedules'!$D$7,eQuest_Schedule_Importer[[#All],[Schedule Name]],0),MATCH('eQuest Schedules'!$C25,eQuest_Schedule_Importer[#Headers],0))="TRUE",INDEX(eQuest_Schedule_Importer[#All],MATCH('eQuest Schedules'!$D$7,eQuest_Schedule_Importer[[#All],[Schedule Name]],0),MATCH(W$22,eQuest_Schedule_Importer[#Headers],0)),"")</f>
        <v>#N/A</v>
      </c>
      <c r="X25" s="191" t="e">
        <f>IF(INDEX(eQuest_Schedule_Importer[#All],MATCH('eQuest Schedules'!$D$7,eQuest_Schedule_Importer[[#All],[Schedule Name]],0),MATCH('eQuest Schedules'!$C25,eQuest_Schedule_Importer[#Headers],0))="TRUE",INDEX(eQuest_Schedule_Importer[#All],MATCH('eQuest Schedules'!$D$7,eQuest_Schedule_Importer[[#All],[Schedule Name]],0),MATCH(X$22,eQuest_Schedule_Importer[#Headers],0)),"")</f>
        <v>#N/A</v>
      </c>
      <c r="Y25" s="191" t="e">
        <f>IF(INDEX(eQuest_Schedule_Importer[#All],MATCH('eQuest Schedules'!$D$7,eQuest_Schedule_Importer[[#All],[Schedule Name]],0),MATCH('eQuest Schedules'!$C25,eQuest_Schedule_Importer[#Headers],0))="TRUE",INDEX(eQuest_Schedule_Importer[#All],MATCH('eQuest Schedules'!$D$7,eQuest_Schedule_Importer[[#All],[Schedule Name]],0),MATCH(Y$22,eQuest_Schedule_Importer[#Headers],0)),"")</f>
        <v>#N/A</v>
      </c>
      <c r="Z25" s="191" t="e">
        <f>IF(INDEX(eQuest_Schedule_Importer[#All],MATCH('eQuest Schedules'!$D$7,eQuest_Schedule_Importer[[#All],[Schedule Name]],0),MATCH('eQuest Schedules'!$C25,eQuest_Schedule_Importer[#Headers],0))="TRUE",INDEX(eQuest_Schedule_Importer[#All],MATCH('eQuest Schedules'!$D$7,eQuest_Schedule_Importer[[#All],[Schedule Name]],0),MATCH(Z$22,eQuest_Schedule_Importer[#Headers],0)),"")</f>
        <v>#N/A</v>
      </c>
      <c r="AA25" s="191" t="e">
        <f>IF(INDEX(eQuest_Schedule_Importer[#All],MATCH('eQuest Schedules'!$D$7,eQuest_Schedule_Importer[[#All],[Schedule Name]],0),MATCH('eQuest Schedules'!$C25,eQuest_Schedule_Importer[#Headers],0))="TRUE",INDEX(eQuest_Schedule_Importer[#All],MATCH('eQuest Schedules'!$D$7,eQuest_Schedule_Importer[[#All],[Schedule Name]],0),MATCH(AA$22,eQuest_Schedule_Importer[#Headers],0)),"")</f>
        <v>#N/A</v>
      </c>
    </row>
    <row r="27" spans="1:29" x14ac:dyDescent="0.25">
      <c r="A27" s="192"/>
      <c r="B27" s="192"/>
      <c r="C27" s="192"/>
      <c r="D27" s="192"/>
      <c r="E27" s="192"/>
      <c r="F27" s="192"/>
      <c r="G27" s="192"/>
      <c r="H27" s="192"/>
      <c r="I27" s="192"/>
      <c r="J27" s="192"/>
      <c r="K27" s="192"/>
      <c r="L27" s="192"/>
      <c r="M27" s="192"/>
      <c r="N27" s="192"/>
      <c r="O27" s="192"/>
      <c r="P27" s="192"/>
      <c r="Q27" s="192"/>
      <c r="R27" s="192"/>
      <c r="S27" s="192"/>
      <c r="T27" s="192"/>
      <c r="U27" s="192"/>
      <c r="V27" s="192"/>
      <c r="W27" s="192"/>
      <c r="X27" s="192"/>
      <c r="Y27" s="192"/>
      <c r="Z27" s="192"/>
      <c r="AA27" s="192"/>
      <c r="AB27" s="192"/>
      <c r="AC27" s="192"/>
    </row>
    <row r="28" spans="1:29" ht="15.75" customHeight="1" x14ac:dyDescent="0.25">
      <c r="D28" s="764"/>
      <c r="E28" s="764"/>
      <c r="F28" s="764"/>
      <c r="G28" s="764"/>
      <c r="H28" s="764"/>
      <c r="I28" s="764"/>
      <c r="J28" s="764"/>
      <c r="K28" s="764"/>
      <c r="L28" s="764"/>
      <c r="M28" s="764"/>
    </row>
    <row r="44" spans="1:29" x14ac:dyDescent="0.25">
      <c r="C44" t="s">
        <v>1025</v>
      </c>
      <c r="D44" s="191" t="e">
        <f>IF(INDEX(eQuest_Schedule_Importer[#All],MATCH('eQuest Schedules'!$D$28,eQuest_Schedule_Importer[[#All],[Schedule Name]],0),MATCH('eQuest Schedules'!$C44,eQuest_Schedule_Importer[#Headers],0))="TRUE",INDEX(eQuest_Schedule_Importer[#All],MATCH('eQuest Schedules'!$D$28,eQuest_Schedule_Importer[[#All],[Schedule Name]],0),MATCH(D$22,eQuest_Schedule_Importer[#Headers],0)),"")</f>
        <v>#N/A</v>
      </c>
      <c r="E44" s="191" t="e">
        <f>IF(INDEX(eQuest_Schedule_Importer[#All],MATCH('eQuest Schedules'!$D$28,eQuest_Schedule_Importer[[#All],[Schedule Name]],0),MATCH('eQuest Schedules'!$C44,eQuest_Schedule_Importer[#Headers],0))="TRUE",INDEX(eQuest_Schedule_Importer[#All],MATCH('eQuest Schedules'!$D$28,eQuest_Schedule_Importer[[#All],[Schedule Name]],0),MATCH(E$22,eQuest_Schedule_Importer[#Headers],0)),"")</f>
        <v>#N/A</v>
      </c>
      <c r="F44" s="191" t="e">
        <f>IF(INDEX(eQuest_Schedule_Importer[#All],MATCH('eQuest Schedules'!$D$28,eQuest_Schedule_Importer[[#All],[Schedule Name]],0),MATCH('eQuest Schedules'!$C44,eQuest_Schedule_Importer[#Headers],0))="TRUE",INDEX(eQuest_Schedule_Importer[#All],MATCH('eQuest Schedules'!$D$28,eQuest_Schedule_Importer[[#All],[Schedule Name]],0),MATCH(F$22,eQuest_Schedule_Importer[#Headers],0)),"")</f>
        <v>#N/A</v>
      </c>
      <c r="G44" s="191" t="e">
        <f>IF(INDEX(eQuest_Schedule_Importer[#All],MATCH('eQuest Schedules'!$D$28,eQuest_Schedule_Importer[[#All],[Schedule Name]],0),MATCH('eQuest Schedules'!$C44,eQuest_Schedule_Importer[#Headers],0))="TRUE",INDEX(eQuest_Schedule_Importer[#All],MATCH('eQuest Schedules'!$D$28,eQuest_Schedule_Importer[[#All],[Schedule Name]],0),MATCH(G$22,eQuest_Schedule_Importer[#Headers],0)),"")</f>
        <v>#N/A</v>
      </c>
      <c r="H44" s="191" t="e">
        <f>IF(INDEX(eQuest_Schedule_Importer[#All],MATCH('eQuest Schedules'!$D$28,eQuest_Schedule_Importer[[#All],[Schedule Name]],0),MATCH('eQuest Schedules'!$C44,eQuest_Schedule_Importer[#Headers],0))="TRUE",INDEX(eQuest_Schedule_Importer[#All],MATCH('eQuest Schedules'!$D$28,eQuest_Schedule_Importer[[#All],[Schedule Name]],0),MATCH(H$22,eQuest_Schedule_Importer[#Headers],0)),"")</f>
        <v>#N/A</v>
      </c>
      <c r="I44" s="191" t="e">
        <f>IF(INDEX(eQuest_Schedule_Importer[#All],MATCH('eQuest Schedules'!$D$28,eQuest_Schedule_Importer[[#All],[Schedule Name]],0),MATCH('eQuest Schedules'!$C44,eQuest_Schedule_Importer[#Headers],0))="TRUE",INDEX(eQuest_Schedule_Importer[#All],MATCH('eQuest Schedules'!$D$28,eQuest_Schedule_Importer[[#All],[Schedule Name]],0),MATCH(I$22,eQuest_Schedule_Importer[#Headers],0)),"")</f>
        <v>#N/A</v>
      </c>
      <c r="J44" s="191" t="e">
        <f>IF(INDEX(eQuest_Schedule_Importer[#All],MATCH('eQuest Schedules'!$D$28,eQuest_Schedule_Importer[[#All],[Schedule Name]],0),MATCH('eQuest Schedules'!$C44,eQuest_Schedule_Importer[#Headers],0))="TRUE",INDEX(eQuest_Schedule_Importer[#All],MATCH('eQuest Schedules'!$D$28,eQuest_Schedule_Importer[[#All],[Schedule Name]],0),MATCH(J$22,eQuest_Schedule_Importer[#Headers],0)),"")</f>
        <v>#N/A</v>
      </c>
      <c r="K44" s="191" t="e">
        <f>IF(INDEX(eQuest_Schedule_Importer[#All],MATCH('eQuest Schedules'!$D$28,eQuest_Schedule_Importer[[#All],[Schedule Name]],0),MATCH('eQuest Schedules'!$C44,eQuest_Schedule_Importer[#Headers],0))="TRUE",INDEX(eQuest_Schedule_Importer[#All],MATCH('eQuest Schedules'!$D$28,eQuest_Schedule_Importer[[#All],[Schedule Name]],0),MATCH(K$22,eQuest_Schedule_Importer[#Headers],0)),"")</f>
        <v>#N/A</v>
      </c>
      <c r="L44" s="191" t="e">
        <f>IF(INDEX(eQuest_Schedule_Importer[#All],MATCH('eQuest Schedules'!$D$28,eQuest_Schedule_Importer[[#All],[Schedule Name]],0),MATCH('eQuest Schedules'!$C44,eQuest_Schedule_Importer[#Headers],0))="TRUE",INDEX(eQuest_Schedule_Importer[#All],MATCH('eQuest Schedules'!$D$28,eQuest_Schedule_Importer[[#All],[Schedule Name]],0),MATCH(L$22,eQuest_Schedule_Importer[#Headers],0)),"")</f>
        <v>#N/A</v>
      </c>
      <c r="M44" s="191" t="e">
        <f>IF(INDEX(eQuest_Schedule_Importer[#All],MATCH('eQuest Schedules'!$D$28,eQuest_Schedule_Importer[[#All],[Schedule Name]],0),MATCH('eQuest Schedules'!$C44,eQuest_Schedule_Importer[#Headers],0))="TRUE",INDEX(eQuest_Schedule_Importer[#All],MATCH('eQuest Schedules'!$D$28,eQuest_Schedule_Importer[[#All],[Schedule Name]],0),MATCH(M$22,eQuest_Schedule_Importer[#Headers],0)),"")</f>
        <v>#N/A</v>
      </c>
      <c r="N44" s="191" t="e">
        <f>IF(INDEX(eQuest_Schedule_Importer[#All],MATCH('eQuest Schedules'!$D$28,eQuest_Schedule_Importer[[#All],[Schedule Name]],0),MATCH('eQuest Schedules'!$C44,eQuest_Schedule_Importer[#Headers],0))="TRUE",INDEX(eQuest_Schedule_Importer[#All],MATCH('eQuest Schedules'!$D$28,eQuest_Schedule_Importer[[#All],[Schedule Name]],0),MATCH(N$22,eQuest_Schedule_Importer[#Headers],0)),"")</f>
        <v>#N/A</v>
      </c>
      <c r="O44" s="191" t="e">
        <f>IF(INDEX(eQuest_Schedule_Importer[#All],MATCH('eQuest Schedules'!$D$28,eQuest_Schedule_Importer[[#All],[Schedule Name]],0),MATCH('eQuest Schedules'!$C44,eQuest_Schedule_Importer[#Headers],0))="TRUE",INDEX(eQuest_Schedule_Importer[#All],MATCH('eQuest Schedules'!$D$28,eQuest_Schedule_Importer[[#All],[Schedule Name]],0),MATCH(O$22,eQuest_Schedule_Importer[#Headers],0)),"")</f>
        <v>#N/A</v>
      </c>
      <c r="P44" s="191" t="e">
        <f>IF(INDEX(eQuest_Schedule_Importer[#All],MATCH('eQuest Schedules'!$D$28,eQuest_Schedule_Importer[[#All],[Schedule Name]],0),MATCH('eQuest Schedules'!$C44,eQuest_Schedule_Importer[#Headers],0))="TRUE",INDEX(eQuest_Schedule_Importer[#All],MATCH('eQuest Schedules'!$D$28,eQuest_Schedule_Importer[[#All],[Schedule Name]],0),MATCH(P$22,eQuest_Schedule_Importer[#Headers],0)),"")</f>
        <v>#N/A</v>
      </c>
      <c r="Q44" s="191" t="e">
        <f>IF(INDEX(eQuest_Schedule_Importer[#All],MATCH('eQuest Schedules'!$D$28,eQuest_Schedule_Importer[[#All],[Schedule Name]],0),MATCH('eQuest Schedules'!$C44,eQuest_Schedule_Importer[#Headers],0))="TRUE",INDEX(eQuest_Schedule_Importer[#All],MATCH('eQuest Schedules'!$D$28,eQuest_Schedule_Importer[[#All],[Schedule Name]],0),MATCH(Q$22,eQuest_Schedule_Importer[#Headers],0)),"")</f>
        <v>#N/A</v>
      </c>
      <c r="R44" s="191" t="e">
        <f>IF(INDEX(eQuest_Schedule_Importer[#All],MATCH('eQuest Schedules'!$D$28,eQuest_Schedule_Importer[[#All],[Schedule Name]],0),MATCH('eQuest Schedules'!$C44,eQuest_Schedule_Importer[#Headers],0))="TRUE",INDEX(eQuest_Schedule_Importer[#All],MATCH('eQuest Schedules'!$D$28,eQuest_Schedule_Importer[[#All],[Schedule Name]],0),MATCH(R$22,eQuest_Schedule_Importer[#Headers],0)),"")</f>
        <v>#N/A</v>
      </c>
      <c r="S44" s="191" t="e">
        <f>IF(INDEX(eQuest_Schedule_Importer[#All],MATCH('eQuest Schedules'!$D$28,eQuest_Schedule_Importer[[#All],[Schedule Name]],0),MATCH('eQuest Schedules'!$C44,eQuest_Schedule_Importer[#Headers],0))="TRUE",INDEX(eQuest_Schedule_Importer[#All],MATCH('eQuest Schedules'!$D$28,eQuest_Schedule_Importer[[#All],[Schedule Name]],0),MATCH(S$22,eQuest_Schedule_Importer[#Headers],0)),"")</f>
        <v>#N/A</v>
      </c>
      <c r="T44" s="191" t="e">
        <f>IF(INDEX(eQuest_Schedule_Importer[#All],MATCH('eQuest Schedules'!$D$28,eQuest_Schedule_Importer[[#All],[Schedule Name]],0),MATCH('eQuest Schedules'!$C44,eQuest_Schedule_Importer[#Headers],0))="TRUE",INDEX(eQuest_Schedule_Importer[#All],MATCH('eQuest Schedules'!$D$28,eQuest_Schedule_Importer[[#All],[Schedule Name]],0),MATCH(T$22,eQuest_Schedule_Importer[#Headers],0)),"")</f>
        <v>#N/A</v>
      </c>
      <c r="U44" s="191" t="e">
        <f>IF(INDEX(eQuest_Schedule_Importer[#All],MATCH('eQuest Schedules'!$D$28,eQuest_Schedule_Importer[[#All],[Schedule Name]],0),MATCH('eQuest Schedules'!$C44,eQuest_Schedule_Importer[#Headers],0))="TRUE",INDEX(eQuest_Schedule_Importer[#All],MATCH('eQuest Schedules'!$D$28,eQuest_Schedule_Importer[[#All],[Schedule Name]],0),MATCH(U$22,eQuest_Schedule_Importer[#Headers],0)),"")</f>
        <v>#N/A</v>
      </c>
      <c r="V44" s="191" t="e">
        <f>IF(INDEX(eQuest_Schedule_Importer[#All],MATCH('eQuest Schedules'!$D$28,eQuest_Schedule_Importer[[#All],[Schedule Name]],0),MATCH('eQuest Schedules'!$C44,eQuest_Schedule_Importer[#Headers],0))="TRUE",INDEX(eQuest_Schedule_Importer[#All],MATCH('eQuest Schedules'!$D$28,eQuest_Schedule_Importer[[#All],[Schedule Name]],0),MATCH(V$22,eQuest_Schedule_Importer[#Headers],0)),"")</f>
        <v>#N/A</v>
      </c>
      <c r="W44" s="191" t="e">
        <f>IF(INDEX(eQuest_Schedule_Importer[#All],MATCH('eQuest Schedules'!$D$28,eQuest_Schedule_Importer[[#All],[Schedule Name]],0),MATCH('eQuest Schedules'!$C44,eQuest_Schedule_Importer[#Headers],0))="TRUE",INDEX(eQuest_Schedule_Importer[#All],MATCH('eQuest Schedules'!$D$28,eQuest_Schedule_Importer[[#All],[Schedule Name]],0),MATCH(W$22,eQuest_Schedule_Importer[#Headers],0)),"")</f>
        <v>#N/A</v>
      </c>
      <c r="X44" s="191" t="e">
        <f>IF(INDEX(eQuest_Schedule_Importer[#All],MATCH('eQuest Schedules'!$D$28,eQuest_Schedule_Importer[[#All],[Schedule Name]],0),MATCH('eQuest Schedules'!$C44,eQuest_Schedule_Importer[#Headers],0))="TRUE",INDEX(eQuest_Schedule_Importer[#All],MATCH('eQuest Schedules'!$D$28,eQuest_Schedule_Importer[[#All],[Schedule Name]],0),MATCH(X$22,eQuest_Schedule_Importer[#Headers],0)),"")</f>
        <v>#N/A</v>
      </c>
      <c r="Y44" s="191" t="e">
        <f>IF(INDEX(eQuest_Schedule_Importer[#All],MATCH('eQuest Schedules'!$D$28,eQuest_Schedule_Importer[[#All],[Schedule Name]],0),MATCH('eQuest Schedules'!$C44,eQuest_Schedule_Importer[#Headers],0))="TRUE",INDEX(eQuest_Schedule_Importer[#All],MATCH('eQuest Schedules'!$D$28,eQuest_Schedule_Importer[[#All],[Schedule Name]],0),MATCH(Y$22,eQuest_Schedule_Importer[#Headers],0)),"")</f>
        <v>#N/A</v>
      </c>
      <c r="Z44" s="191" t="e">
        <f>IF(INDEX(eQuest_Schedule_Importer[#All],MATCH('eQuest Schedules'!$D$28,eQuest_Schedule_Importer[[#All],[Schedule Name]],0),MATCH('eQuest Schedules'!$C44,eQuest_Schedule_Importer[#Headers],0))="TRUE",INDEX(eQuest_Schedule_Importer[#All],MATCH('eQuest Schedules'!$D$28,eQuest_Schedule_Importer[[#All],[Schedule Name]],0),MATCH(Z$22,eQuest_Schedule_Importer[#Headers],0)),"")</f>
        <v>#N/A</v>
      </c>
      <c r="AA44" s="191" t="e">
        <f>IF(INDEX(eQuest_Schedule_Importer[#All],MATCH('eQuest Schedules'!$D$28,eQuest_Schedule_Importer[[#All],[Schedule Name]],0),MATCH('eQuest Schedules'!$C44,eQuest_Schedule_Importer[#Headers],0))="TRUE",INDEX(eQuest_Schedule_Importer[#All],MATCH('eQuest Schedules'!$D$28,eQuest_Schedule_Importer[[#All],[Schedule Name]],0),MATCH(AA$22,eQuest_Schedule_Importer[#Headers],0)),"")</f>
        <v>#N/A</v>
      </c>
    </row>
    <row r="45" spans="1:29" x14ac:dyDescent="0.25">
      <c r="C45" t="s">
        <v>1026</v>
      </c>
      <c r="D45" s="191" t="e">
        <f>IF(INDEX(eQuest_Schedule_Importer[#All],MATCH('eQuest Schedules'!$D$28,eQuest_Schedule_Importer[[#All],[Schedule Name]],0),MATCH('eQuest Schedules'!$C45,eQuest_Schedule_Importer[#Headers],0))="TRUE",INDEX(eQuest_Schedule_Importer[#All],MATCH('eQuest Schedules'!$D$28,eQuest_Schedule_Importer[[#All],[Schedule Name]],0),MATCH(D$22,eQuest_Schedule_Importer[#Headers],0)),"")</f>
        <v>#N/A</v>
      </c>
      <c r="E45" s="191" t="e">
        <f>IF(INDEX(eQuest_Schedule_Importer[#All],MATCH('eQuest Schedules'!$D$28,eQuest_Schedule_Importer[[#All],[Schedule Name]],0),MATCH('eQuest Schedules'!$C45,eQuest_Schedule_Importer[#Headers],0))="TRUE",INDEX(eQuest_Schedule_Importer[#All],MATCH('eQuest Schedules'!$D$28,eQuest_Schedule_Importer[[#All],[Schedule Name]],0),MATCH(E$22,eQuest_Schedule_Importer[#Headers],0)),"")</f>
        <v>#N/A</v>
      </c>
      <c r="F45" s="191" t="e">
        <f>IF(INDEX(eQuest_Schedule_Importer[#All],MATCH('eQuest Schedules'!$D$28,eQuest_Schedule_Importer[[#All],[Schedule Name]],0),MATCH('eQuest Schedules'!$C45,eQuest_Schedule_Importer[#Headers],0))="TRUE",INDEX(eQuest_Schedule_Importer[#All],MATCH('eQuest Schedules'!$D$28,eQuest_Schedule_Importer[[#All],[Schedule Name]],0),MATCH(F$22,eQuest_Schedule_Importer[#Headers],0)),"")</f>
        <v>#N/A</v>
      </c>
      <c r="G45" s="191" t="e">
        <f>IF(INDEX(eQuest_Schedule_Importer[#All],MATCH('eQuest Schedules'!$D$28,eQuest_Schedule_Importer[[#All],[Schedule Name]],0),MATCH('eQuest Schedules'!$C45,eQuest_Schedule_Importer[#Headers],0))="TRUE",INDEX(eQuest_Schedule_Importer[#All],MATCH('eQuest Schedules'!$D$28,eQuest_Schedule_Importer[[#All],[Schedule Name]],0),MATCH(G$22,eQuest_Schedule_Importer[#Headers],0)),"")</f>
        <v>#N/A</v>
      </c>
      <c r="H45" s="191" t="e">
        <f>IF(INDEX(eQuest_Schedule_Importer[#All],MATCH('eQuest Schedules'!$D$28,eQuest_Schedule_Importer[[#All],[Schedule Name]],0),MATCH('eQuest Schedules'!$C45,eQuest_Schedule_Importer[#Headers],0))="TRUE",INDEX(eQuest_Schedule_Importer[#All],MATCH('eQuest Schedules'!$D$28,eQuest_Schedule_Importer[[#All],[Schedule Name]],0),MATCH(H$22,eQuest_Schedule_Importer[#Headers],0)),"")</f>
        <v>#N/A</v>
      </c>
      <c r="I45" s="191" t="e">
        <f>IF(INDEX(eQuest_Schedule_Importer[#All],MATCH('eQuest Schedules'!$D$28,eQuest_Schedule_Importer[[#All],[Schedule Name]],0),MATCH('eQuest Schedules'!$C45,eQuest_Schedule_Importer[#Headers],0))="TRUE",INDEX(eQuest_Schedule_Importer[#All],MATCH('eQuest Schedules'!$D$28,eQuest_Schedule_Importer[[#All],[Schedule Name]],0),MATCH(I$22,eQuest_Schedule_Importer[#Headers],0)),"")</f>
        <v>#N/A</v>
      </c>
      <c r="J45" s="191" t="e">
        <f>IF(INDEX(eQuest_Schedule_Importer[#All],MATCH('eQuest Schedules'!$D$28,eQuest_Schedule_Importer[[#All],[Schedule Name]],0),MATCH('eQuest Schedules'!$C45,eQuest_Schedule_Importer[#Headers],0))="TRUE",INDEX(eQuest_Schedule_Importer[#All],MATCH('eQuest Schedules'!$D$28,eQuest_Schedule_Importer[[#All],[Schedule Name]],0),MATCH(J$22,eQuest_Schedule_Importer[#Headers],0)),"")</f>
        <v>#N/A</v>
      </c>
      <c r="K45" s="191" t="e">
        <f>IF(INDEX(eQuest_Schedule_Importer[#All],MATCH('eQuest Schedules'!$D$28,eQuest_Schedule_Importer[[#All],[Schedule Name]],0),MATCH('eQuest Schedules'!$C45,eQuest_Schedule_Importer[#Headers],0))="TRUE",INDEX(eQuest_Schedule_Importer[#All],MATCH('eQuest Schedules'!$D$28,eQuest_Schedule_Importer[[#All],[Schedule Name]],0),MATCH(K$22,eQuest_Schedule_Importer[#Headers],0)),"")</f>
        <v>#N/A</v>
      </c>
      <c r="L45" s="191" t="e">
        <f>IF(INDEX(eQuest_Schedule_Importer[#All],MATCH('eQuest Schedules'!$D$28,eQuest_Schedule_Importer[[#All],[Schedule Name]],0),MATCH('eQuest Schedules'!$C45,eQuest_Schedule_Importer[#Headers],0))="TRUE",INDEX(eQuest_Schedule_Importer[#All],MATCH('eQuest Schedules'!$D$28,eQuest_Schedule_Importer[[#All],[Schedule Name]],0),MATCH(L$22,eQuest_Schedule_Importer[#Headers],0)),"")</f>
        <v>#N/A</v>
      </c>
      <c r="M45" s="191" t="e">
        <f>IF(INDEX(eQuest_Schedule_Importer[#All],MATCH('eQuest Schedules'!$D$28,eQuest_Schedule_Importer[[#All],[Schedule Name]],0),MATCH('eQuest Schedules'!$C45,eQuest_Schedule_Importer[#Headers],0))="TRUE",INDEX(eQuest_Schedule_Importer[#All],MATCH('eQuest Schedules'!$D$28,eQuest_Schedule_Importer[[#All],[Schedule Name]],0),MATCH(M$22,eQuest_Schedule_Importer[#Headers],0)),"")</f>
        <v>#N/A</v>
      </c>
      <c r="N45" s="191" t="e">
        <f>IF(INDEX(eQuest_Schedule_Importer[#All],MATCH('eQuest Schedules'!$D$28,eQuest_Schedule_Importer[[#All],[Schedule Name]],0),MATCH('eQuest Schedules'!$C45,eQuest_Schedule_Importer[#Headers],0))="TRUE",INDEX(eQuest_Schedule_Importer[#All],MATCH('eQuest Schedules'!$D$28,eQuest_Schedule_Importer[[#All],[Schedule Name]],0),MATCH(N$22,eQuest_Schedule_Importer[#Headers],0)),"")</f>
        <v>#N/A</v>
      </c>
      <c r="O45" s="191" t="e">
        <f>IF(INDEX(eQuest_Schedule_Importer[#All],MATCH('eQuest Schedules'!$D$28,eQuest_Schedule_Importer[[#All],[Schedule Name]],0),MATCH('eQuest Schedules'!$C45,eQuest_Schedule_Importer[#Headers],0))="TRUE",INDEX(eQuest_Schedule_Importer[#All],MATCH('eQuest Schedules'!$D$28,eQuest_Schedule_Importer[[#All],[Schedule Name]],0),MATCH(O$22,eQuest_Schedule_Importer[#Headers],0)),"")</f>
        <v>#N/A</v>
      </c>
      <c r="P45" s="191" t="e">
        <f>IF(INDEX(eQuest_Schedule_Importer[#All],MATCH('eQuest Schedules'!$D$28,eQuest_Schedule_Importer[[#All],[Schedule Name]],0),MATCH('eQuest Schedules'!$C45,eQuest_Schedule_Importer[#Headers],0))="TRUE",INDEX(eQuest_Schedule_Importer[#All],MATCH('eQuest Schedules'!$D$28,eQuest_Schedule_Importer[[#All],[Schedule Name]],0),MATCH(P$22,eQuest_Schedule_Importer[#Headers],0)),"")</f>
        <v>#N/A</v>
      </c>
      <c r="Q45" s="191" t="e">
        <f>IF(INDEX(eQuest_Schedule_Importer[#All],MATCH('eQuest Schedules'!$D$28,eQuest_Schedule_Importer[[#All],[Schedule Name]],0),MATCH('eQuest Schedules'!$C45,eQuest_Schedule_Importer[#Headers],0))="TRUE",INDEX(eQuest_Schedule_Importer[#All],MATCH('eQuest Schedules'!$D$28,eQuest_Schedule_Importer[[#All],[Schedule Name]],0),MATCH(Q$22,eQuest_Schedule_Importer[#Headers],0)),"")</f>
        <v>#N/A</v>
      </c>
      <c r="R45" s="191" t="e">
        <f>IF(INDEX(eQuest_Schedule_Importer[#All],MATCH('eQuest Schedules'!$D$28,eQuest_Schedule_Importer[[#All],[Schedule Name]],0),MATCH('eQuest Schedules'!$C45,eQuest_Schedule_Importer[#Headers],0))="TRUE",INDEX(eQuest_Schedule_Importer[#All],MATCH('eQuest Schedules'!$D$28,eQuest_Schedule_Importer[[#All],[Schedule Name]],0),MATCH(R$22,eQuest_Schedule_Importer[#Headers],0)),"")</f>
        <v>#N/A</v>
      </c>
      <c r="S45" s="191" t="e">
        <f>IF(INDEX(eQuest_Schedule_Importer[#All],MATCH('eQuest Schedules'!$D$28,eQuest_Schedule_Importer[[#All],[Schedule Name]],0),MATCH('eQuest Schedules'!$C45,eQuest_Schedule_Importer[#Headers],0))="TRUE",INDEX(eQuest_Schedule_Importer[#All],MATCH('eQuest Schedules'!$D$28,eQuest_Schedule_Importer[[#All],[Schedule Name]],0),MATCH(S$22,eQuest_Schedule_Importer[#Headers],0)),"")</f>
        <v>#N/A</v>
      </c>
      <c r="T45" s="191" t="e">
        <f>IF(INDEX(eQuest_Schedule_Importer[#All],MATCH('eQuest Schedules'!$D$28,eQuest_Schedule_Importer[[#All],[Schedule Name]],0),MATCH('eQuest Schedules'!$C45,eQuest_Schedule_Importer[#Headers],0))="TRUE",INDEX(eQuest_Schedule_Importer[#All],MATCH('eQuest Schedules'!$D$28,eQuest_Schedule_Importer[[#All],[Schedule Name]],0),MATCH(T$22,eQuest_Schedule_Importer[#Headers],0)),"")</f>
        <v>#N/A</v>
      </c>
      <c r="U45" s="191" t="e">
        <f>IF(INDEX(eQuest_Schedule_Importer[#All],MATCH('eQuest Schedules'!$D$28,eQuest_Schedule_Importer[[#All],[Schedule Name]],0),MATCH('eQuest Schedules'!$C45,eQuest_Schedule_Importer[#Headers],0))="TRUE",INDEX(eQuest_Schedule_Importer[#All],MATCH('eQuest Schedules'!$D$28,eQuest_Schedule_Importer[[#All],[Schedule Name]],0),MATCH(U$22,eQuest_Schedule_Importer[#Headers],0)),"")</f>
        <v>#N/A</v>
      </c>
      <c r="V45" s="191" t="e">
        <f>IF(INDEX(eQuest_Schedule_Importer[#All],MATCH('eQuest Schedules'!$D$28,eQuest_Schedule_Importer[[#All],[Schedule Name]],0),MATCH('eQuest Schedules'!$C45,eQuest_Schedule_Importer[#Headers],0))="TRUE",INDEX(eQuest_Schedule_Importer[#All],MATCH('eQuest Schedules'!$D$28,eQuest_Schedule_Importer[[#All],[Schedule Name]],0),MATCH(V$22,eQuest_Schedule_Importer[#Headers],0)),"")</f>
        <v>#N/A</v>
      </c>
      <c r="W45" s="191" t="e">
        <f>IF(INDEX(eQuest_Schedule_Importer[#All],MATCH('eQuest Schedules'!$D$28,eQuest_Schedule_Importer[[#All],[Schedule Name]],0),MATCH('eQuest Schedules'!$C45,eQuest_Schedule_Importer[#Headers],0))="TRUE",INDEX(eQuest_Schedule_Importer[#All],MATCH('eQuest Schedules'!$D$28,eQuest_Schedule_Importer[[#All],[Schedule Name]],0),MATCH(W$22,eQuest_Schedule_Importer[#Headers],0)),"")</f>
        <v>#N/A</v>
      </c>
      <c r="X45" s="191" t="e">
        <f>IF(INDEX(eQuest_Schedule_Importer[#All],MATCH('eQuest Schedules'!$D$28,eQuest_Schedule_Importer[[#All],[Schedule Name]],0),MATCH('eQuest Schedules'!$C45,eQuest_Schedule_Importer[#Headers],0))="TRUE",INDEX(eQuest_Schedule_Importer[#All],MATCH('eQuest Schedules'!$D$28,eQuest_Schedule_Importer[[#All],[Schedule Name]],0),MATCH(X$22,eQuest_Schedule_Importer[#Headers],0)),"")</f>
        <v>#N/A</v>
      </c>
      <c r="Y45" s="191" t="e">
        <f>IF(INDEX(eQuest_Schedule_Importer[#All],MATCH('eQuest Schedules'!$D$28,eQuest_Schedule_Importer[[#All],[Schedule Name]],0),MATCH('eQuest Schedules'!$C45,eQuest_Schedule_Importer[#Headers],0))="TRUE",INDEX(eQuest_Schedule_Importer[#All],MATCH('eQuest Schedules'!$D$28,eQuest_Schedule_Importer[[#All],[Schedule Name]],0),MATCH(Y$22,eQuest_Schedule_Importer[#Headers],0)),"")</f>
        <v>#N/A</v>
      </c>
      <c r="Z45" s="191" t="e">
        <f>IF(INDEX(eQuest_Schedule_Importer[#All],MATCH('eQuest Schedules'!$D$28,eQuest_Schedule_Importer[[#All],[Schedule Name]],0),MATCH('eQuest Schedules'!$C45,eQuest_Schedule_Importer[#Headers],0))="TRUE",INDEX(eQuest_Schedule_Importer[#All],MATCH('eQuest Schedules'!$D$28,eQuest_Schedule_Importer[[#All],[Schedule Name]],0),MATCH(Z$22,eQuest_Schedule_Importer[#Headers],0)),"")</f>
        <v>#N/A</v>
      </c>
      <c r="AA45" s="191" t="e">
        <f>IF(INDEX(eQuest_Schedule_Importer[#All],MATCH('eQuest Schedules'!$D$28,eQuest_Schedule_Importer[[#All],[Schedule Name]],0),MATCH('eQuest Schedules'!$C45,eQuest_Schedule_Importer[#Headers],0))="TRUE",INDEX(eQuest_Schedule_Importer[#All],MATCH('eQuest Schedules'!$D$28,eQuest_Schedule_Importer[[#All],[Schedule Name]],0),MATCH(AA$22,eQuest_Schedule_Importer[#Headers],0)),"")</f>
        <v>#N/A</v>
      </c>
    </row>
    <row r="46" spans="1:29" x14ac:dyDescent="0.25">
      <c r="C46" t="s">
        <v>2077</v>
      </c>
      <c r="D46" s="191" t="e">
        <f>IF(INDEX(eQuest_Schedule_Importer[#All],MATCH('eQuest Schedules'!$D$28,eQuest_Schedule_Importer[[#All],[Schedule Name]],0),MATCH('eQuest Schedules'!$C46,eQuest_Schedule_Importer[#Headers],0))="TRUE",INDEX(eQuest_Schedule_Importer[#All],MATCH('eQuest Schedules'!$D$28,eQuest_Schedule_Importer[[#All],[Schedule Name]],0),MATCH(D$22,eQuest_Schedule_Importer[#Headers],0)),"")</f>
        <v>#N/A</v>
      </c>
      <c r="E46" s="191" t="e">
        <f>IF(INDEX(eQuest_Schedule_Importer[#All],MATCH('eQuest Schedules'!$D$28,eQuest_Schedule_Importer[[#All],[Schedule Name]],0),MATCH('eQuest Schedules'!$C46,eQuest_Schedule_Importer[#Headers],0))="TRUE",INDEX(eQuest_Schedule_Importer[#All],MATCH('eQuest Schedules'!$D$28,eQuest_Schedule_Importer[[#All],[Schedule Name]],0),MATCH(E$22,eQuest_Schedule_Importer[#Headers],0)),"")</f>
        <v>#N/A</v>
      </c>
      <c r="F46" s="191" t="e">
        <f>IF(INDEX(eQuest_Schedule_Importer[#All],MATCH('eQuest Schedules'!$D$28,eQuest_Schedule_Importer[[#All],[Schedule Name]],0),MATCH('eQuest Schedules'!$C46,eQuest_Schedule_Importer[#Headers],0))="TRUE",INDEX(eQuest_Schedule_Importer[#All],MATCH('eQuest Schedules'!$D$28,eQuest_Schedule_Importer[[#All],[Schedule Name]],0),MATCH(F$22,eQuest_Schedule_Importer[#Headers],0)),"")</f>
        <v>#N/A</v>
      </c>
      <c r="G46" s="191" t="e">
        <f>IF(INDEX(eQuest_Schedule_Importer[#All],MATCH('eQuest Schedules'!$D$28,eQuest_Schedule_Importer[[#All],[Schedule Name]],0),MATCH('eQuest Schedules'!$C46,eQuest_Schedule_Importer[#Headers],0))="TRUE",INDEX(eQuest_Schedule_Importer[#All],MATCH('eQuest Schedules'!$D$28,eQuest_Schedule_Importer[[#All],[Schedule Name]],0),MATCH(G$22,eQuest_Schedule_Importer[#Headers],0)),"")</f>
        <v>#N/A</v>
      </c>
      <c r="H46" s="191" t="e">
        <f>IF(INDEX(eQuest_Schedule_Importer[#All],MATCH('eQuest Schedules'!$D$28,eQuest_Schedule_Importer[[#All],[Schedule Name]],0),MATCH('eQuest Schedules'!$C46,eQuest_Schedule_Importer[#Headers],0))="TRUE",INDEX(eQuest_Schedule_Importer[#All],MATCH('eQuest Schedules'!$D$28,eQuest_Schedule_Importer[[#All],[Schedule Name]],0),MATCH(H$22,eQuest_Schedule_Importer[#Headers],0)),"")</f>
        <v>#N/A</v>
      </c>
      <c r="I46" s="191" t="e">
        <f>IF(INDEX(eQuest_Schedule_Importer[#All],MATCH('eQuest Schedules'!$D$28,eQuest_Schedule_Importer[[#All],[Schedule Name]],0),MATCH('eQuest Schedules'!$C46,eQuest_Schedule_Importer[#Headers],0))="TRUE",INDEX(eQuest_Schedule_Importer[#All],MATCH('eQuest Schedules'!$D$28,eQuest_Schedule_Importer[[#All],[Schedule Name]],0),MATCH(I$22,eQuest_Schedule_Importer[#Headers],0)),"")</f>
        <v>#N/A</v>
      </c>
      <c r="J46" s="191" t="e">
        <f>IF(INDEX(eQuest_Schedule_Importer[#All],MATCH('eQuest Schedules'!$D$28,eQuest_Schedule_Importer[[#All],[Schedule Name]],0),MATCH('eQuest Schedules'!$C46,eQuest_Schedule_Importer[#Headers],0))="TRUE",INDEX(eQuest_Schedule_Importer[#All],MATCH('eQuest Schedules'!$D$28,eQuest_Schedule_Importer[[#All],[Schedule Name]],0),MATCH(J$22,eQuest_Schedule_Importer[#Headers],0)),"")</f>
        <v>#N/A</v>
      </c>
      <c r="K46" s="191" t="e">
        <f>IF(INDEX(eQuest_Schedule_Importer[#All],MATCH('eQuest Schedules'!$D$28,eQuest_Schedule_Importer[[#All],[Schedule Name]],0),MATCH('eQuest Schedules'!$C46,eQuest_Schedule_Importer[#Headers],0))="TRUE",INDEX(eQuest_Schedule_Importer[#All],MATCH('eQuest Schedules'!$D$28,eQuest_Schedule_Importer[[#All],[Schedule Name]],0),MATCH(K$22,eQuest_Schedule_Importer[#Headers],0)),"")</f>
        <v>#N/A</v>
      </c>
      <c r="L46" s="191" t="e">
        <f>IF(INDEX(eQuest_Schedule_Importer[#All],MATCH('eQuest Schedules'!$D$28,eQuest_Schedule_Importer[[#All],[Schedule Name]],0),MATCH('eQuest Schedules'!$C46,eQuest_Schedule_Importer[#Headers],0))="TRUE",INDEX(eQuest_Schedule_Importer[#All],MATCH('eQuest Schedules'!$D$28,eQuest_Schedule_Importer[[#All],[Schedule Name]],0),MATCH(L$22,eQuest_Schedule_Importer[#Headers],0)),"")</f>
        <v>#N/A</v>
      </c>
      <c r="M46" s="191" t="e">
        <f>IF(INDEX(eQuest_Schedule_Importer[#All],MATCH('eQuest Schedules'!$D$28,eQuest_Schedule_Importer[[#All],[Schedule Name]],0),MATCH('eQuest Schedules'!$C46,eQuest_Schedule_Importer[#Headers],0))="TRUE",INDEX(eQuest_Schedule_Importer[#All],MATCH('eQuest Schedules'!$D$28,eQuest_Schedule_Importer[[#All],[Schedule Name]],0),MATCH(M$22,eQuest_Schedule_Importer[#Headers],0)),"")</f>
        <v>#N/A</v>
      </c>
      <c r="N46" s="191" t="e">
        <f>IF(INDEX(eQuest_Schedule_Importer[#All],MATCH('eQuest Schedules'!$D$28,eQuest_Schedule_Importer[[#All],[Schedule Name]],0),MATCH('eQuest Schedules'!$C46,eQuest_Schedule_Importer[#Headers],0))="TRUE",INDEX(eQuest_Schedule_Importer[#All],MATCH('eQuest Schedules'!$D$28,eQuest_Schedule_Importer[[#All],[Schedule Name]],0),MATCH(N$22,eQuest_Schedule_Importer[#Headers],0)),"")</f>
        <v>#N/A</v>
      </c>
      <c r="O46" s="191" t="e">
        <f>IF(INDEX(eQuest_Schedule_Importer[#All],MATCH('eQuest Schedules'!$D$28,eQuest_Schedule_Importer[[#All],[Schedule Name]],0),MATCH('eQuest Schedules'!$C46,eQuest_Schedule_Importer[#Headers],0))="TRUE",INDEX(eQuest_Schedule_Importer[#All],MATCH('eQuest Schedules'!$D$28,eQuest_Schedule_Importer[[#All],[Schedule Name]],0),MATCH(O$22,eQuest_Schedule_Importer[#Headers],0)),"")</f>
        <v>#N/A</v>
      </c>
      <c r="P46" s="191" t="e">
        <f>IF(INDEX(eQuest_Schedule_Importer[#All],MATCH('eQuest Schedules'!$D$28,eQuest_Schedule_Importer[[#All],[Schedule Name]],0),MATCH('eQuest Schedules'!$C46,eQuest_Schedule_Importer[#Headers],0))="TRUE",INDEX(eQuest_Schedule_Importer[#All],MATCH('eQuest Schedules'!$D$28,eQuest_Schedule_Importer[[#All],[Schedule Name]],0),MATCH(P$22,eQuest_Schedule_Importer[#Headers],0)),"")</f>
        <v>#N/A</v>
      </c>
      <c r="Q46" s="191" t="e">
        <f>IF(INDEX(eQuest_Schedule_Importer[#All],MATCH('eQuest Schedules'!$D$28,eQuest_Schedule_Importer[[#All],[Schedule Name]],0),MATCH('eQuest Schedules'!$C46,eQuest_Schedule_Importer[#Headers],0))="TRUE",INDEX(eQuest_Schedule_Importer[#All],MATCH('eQuest Schedules'!$D$28,eQuest_Schedule_Importer[[#All],[Schedule Name]],0),MATCH(Q$22,eQuest_Schedule_Importer[#Headers],0)),"")</f>
        <v>#N/A</v>
      </c>
      <c r="R46" s="191" t="e">
        <f>IF(INDEX(eQuest_Schedule_Importer[#All],MATCH('eQuest Schedules'!$D$28,eQuest_Schedule_Importer[[#All],[Schedule Name]],0),MATCH('eQuest Schedules'!$C46,eQuest_Schedule_Importer[#Headers],0))="TRUE",INDEX(eQuest_Schedule_Importer[#All],MATCH('eQuest Schedules'!$D$28,eQuest_Schedule_Importer[[#All],[Schedule Name]],0),MATCH(R$22,eQuest_Schedule_Importer[#Headers],0)),"")</f>
        <v>#N/A</v>
      </c>
      <c r="S46" s="191" t="e">
        <f>IF(INDEX(eQuest_Schedule_Importer[#All],MATCH('eQuest Schedules'!$D$28,eQuest_Schedule_Importer[[#All],[Schedule Name]],0),MATCH('eQuest Schedules'!$C46,eQuest_Schedule_Importer[#Headers],0))="TRUE",INDEX(eQuest_Schedule_Importer[#All],MATCH('eQuest Schedules'!$D$28,eQuest_Schedule_Importer[[#All],[Schedule Name]],0),MATCH(S$22,eQuest_Schedule_Importer[#Headers],0)),"")</f>
        <v>#N/A</v>
      </c>
      <c r="T46" s="191" t="e">
        <f>IF(INDEX(eQuest_Schedule_Importer[#All],MATCH('eQuest Schedules'!$D$28,eQuest_Schedule_Importer[[#All],[Schedule Name]],0),MATCH('eQuest Schedules'!$C46,eQuest_Schedule_Importer[#Headers],0))="TRUE",INDEX(eQuest_Schedule_Importer[#All],MATCH('eQuest Schedules'!$D$28,eQuest_Schedule_Importer[[#All],[Schedule Name]],0),MATCH(T$22,eQuest_Schedule_Importer[#Headers],0)),"")</f>
        <v>#N/A</v>
      </c>
      <c r="U46" s="191" t="e">
        <f>IF(INDEX(eQuest_Schedule_Importer[#All],MATCH('eQuest Schedules'!$D$28,eQuest_Schedule_Importer[[#All],[Schedule Name]],0),MATCH('eQuest Schedules'!$C46,eQuest_Schedule_Importer[#Headers],0))="TRUE",INDEX(eQuest_Schedule_Importer[#All],MATCH('eQuest Schedules'!$D$28,eQuest_Schedule_Importer[[#All],[Schedule Name]],0),MATCH(U$22,eQuest_Schedule_Importer[#Headers],0)),"")</f>
        <v>#N/A</v>
      </c>
      <c r="V46" s="191" t="e">
        <f>IF(INDEX(eQuest_Schedule_Importer[#All],MATCH('eQuest Schedules'!$D$28,eQuest_Schedule_Importer[[#All],[Schedule Name]],0),MATCH('eQuest Schedules'!$C46,eQuest_Schedule_Importer[#Headers],0))="TRUE",INDEX(eQuest_Schedule_Importer[#All],MATCH('eQuest Schedules'!$D$28,eQuest_Schedule_Importer[[#All],[Schedule Name]],0),MATCH(V$22,eQuest_Schedule_Importer[#Headers],0)),"")</f>
        <v>#N/A</v>
      </c>
      <c r="W46" s="191" t="e">
        <f>IF(INDEX(eQuest_Schedule_Importer[#All],MATCH('eQuest Schedules'!$D$28,eQuest_Schedule_Importer[[#All],[Schedule Name]],0),MATCH('eQuest Schedules'!$C46,eQuest_Schedule_Importer[#Headers],0))="TRUE",INDEX(eQuest_Schedule_Importer[#All],MATCH('eQuest Schedules'!$D$28,eQuest_Schedule_Importer[[#All],[Schedule Name]],0),MATCH(W$22,eQuest_Schedule_Importer[#Headers],0)),"")</f>
        <v>#N/A</v>
      </c>
      <c r="X46" s="191" t="e">
        <f>IF(INDEX(eQuest_Schedule_Importer[#All],MATCH('eQuest Schedules'!$D$28,eQuest_Schedule_Importer[[#All],[Schedule Name]],0),MATCH('eQuest Schedules'!$C46,eQuest_Schedule_Importer[#Headers],0))="TRUE",INDEX(eQuest_Schedule_Importer[#All],MATCH('eQuest Schedules'!$D$28,eQuest_Schedule_Importer[[#All],[Schedule Name]],0),MATCH(X$22,eQuest_Schedule_Importer[#Headers],0)),"")</f>
        <v>#N/A</v>
      </c>
      <c r="Y46" s="191" t="e">
        <f>IF(INDEX(eQuest_Schedule_Importer[#All],MATCH('eQuest Schedules'!$D$28,eQuest_Schedule_Importer[[#All],[Schedule Name]],0),MATCH('eQuest Schedules'!$C46,eQuest_Schedule_Importer[#Headers],0))="TRUE",INDEX(eQuest_Schedule_Importer[#All],MATCH('eQuest Schedules'!$D$28,eQuest_Schedule_Importer[[#All],[Schedule Name]],0),MATCH(Y$22,eQuest_Schedule_Importer[#Headers],0)),"")</f>
        <v>#N/A</v>
      </c>
      <c r="Z46" s="191" t="e">
        <f>IF(INDEX(eQuest_Schedule_Importer[#All],MATCH('eQuest Schedules'!$D$28,eQuest_Schedule_Importer[[#All],[Schedule Name]],0),MATCH('eQuest Schedules'!$C46,eQuest_Schedule_Importer[#Headers],0))="TRUE",INDEX(eQuest_Schedule_Importer[#All],MATCH('eQuest Schedules'!$D$28,eQuest_Schedule_Importer[[#All],[Schedule Name]],0),MATCH(Z$22,eQuest_Schedule_Importer[#Headers],0)),"")</f>
        <v>#N/A</v>
      </c>
      <c r="AA46" s="191" t="e">
        <f>IF(INDEX(eQuest_Schedule_Importer[#All],MATCH('eQuest Schedules'!$D$28,eQuest_Schedule_Importer[[#All],[Schedule Name]],0),MATCH('eQuest Schedules'!$C46,eQuest_Schedule_Importer[#Headers],0))="TRUE",INDEX(eQuest_Schedule_Importer[#All],MATCH('eQuest Schedules'!$D$28,eQuest_Schedule_Importer[[#All],[Schedule Name]],0),MATCH(AA$22,eQuest_Schedule_Importer[#Headers],0)),"")</f>
        <v>#N/A</v>
      </c>
    </row>
    <row r="48" spans="1:29" x14ac:dyDescent="0.25">
      <c r="A48" s="192"/>
      <c r="B48" s="192"/>
      <c r="C48" s="192"/>
      <c r="D48" s="192"/>
      <c r="E48" s="192"/>
      <c r="F48" s="192"/>
      <c r="G48" s="192"/>
      <c r="H48" s="192"/>
      <c r="I48" s="192"/>
      <c r="J48" s="192"/>
      <c r="K48" s="192"/>
      <c r="L48" s="192"/>
      <c r="M48" s="192"/>
      <c r="N48" s="192"/>
      <c r="O48" s="192"/>
      <c r="P48" s="192"/>
      <c r="Q48" s="192"/>
      <c r="R48" s="192"/>
      <c r="S48" s="192"/>
      <c r="T48" s="192"/>
      <c r="U48" s="192"/>
      <c r="V48" s="192"/>
      <c r="W48" s="192"/>
      <c r="X48" s="192"/>
      <c r="Y48" s="192"/>
      <c r="Z48" s="192"/>
      <c r="AA48" s="192"/>
      <c r="AB48" s="192"/>
      <c r="AC48" s="192"/>
    </row>
    <row r="49" spans="4:13" ht="15.75" customHeight="1" x14ac:dyDescent="0.25">
      <c r="D49" s="764"/>
      <c r="E49" s="764"/>
      <c r="F49" s="764"/>
      <c r="G49" s="764"/>
      <c r="H49" s="764"/>
      <c r="I49" s="764"/>
      <c r="J49" s="764"/>
      <c r="K49" s="764"/>
      <c r="L49" s="764"/>
      <c r="M49" s="764"/>
    </row>
    <row r="65" spans="1:29" x14ac:dyDescent="0.25">
      <c r="C65" t="s">
        <v>1025</v>
      </c>
      <c r="D65" s="191" t="e">
        <f>IF(INDEX(eQuest_Schedule_Importer[#All],MATCH('eQuest Schedules'!$D$49,eQuest_Schedule_Importer[[#All],[Schedule Name]],0),MATCH('eQuest Schedules'!$C65,eQuest_Schedule_Importer[#Headers],0))="TRUE",INDEX(eQuest_Schedule_Importer[#All],MATCH('eQuest Schedules'!$D$49,eQuest_Schedule_Importer[[#All],[Schedule Name]],0),MATCH(D$22,eQuest_Schedule_Importer[#Headers],0)),"")</f>
        <v>#N/A</v>
      </c>
      <c r="E65" s="191" t="e">
        <f>IF(INDEX(eQuest_Schedule_Importer[#All],MATCH('eQuest Schedules'!$D$49,eQuest_Schedule_Importer[[#All],[Schedule Name]],0),MATCH('eQuest Schedules'!$C65,eQuest_Schedule_Importer[#Headers],0))="TRUE",INDEX(eQuest_Schedule_Importer[#All],MATCH('eQuest Schedules'!$D$49,eQuest_Schedule_Importer[[#All],[Schedule Name]],0),MATCH(E$22,eQuest_Schedule_Importer[#Headers],0)),"")</f>
        <v>#N/A</v>
      </c>
      <c r="F65" s="191" t="e">
        <f>IF(INDEX(eQuest_Schedule_Importer[#All],MATCH('eQuest Schedules'!$D$49,eQuest_Schedule_Importer[[#All],[Schedule Name]],0),MATCH('eQuest Schedules'!$C65,eQuest_Schedule_Importer[#Headers],0))="TRUE",INDEX(eQuest_Schedule_Importer[#All],MATCH('eQuest Schedules'!$D$49,eQuest_Schedule_Importer[[#All],[Schedule Name]],0),MATCH(F$22,eQuest_Schedule_Importer[#Headers],0)),"")</f>
        <v>#N/A</v>
      </c>
      <c r="G65" s="191" t="e">
        <f>IF(INDEX(eQuest_Schedule_Importer[#All],MATCH('eQuest Schedules'!$D$49,eQuest_Schedule_Importer[[#All],[Schedule Name]],0),MATCH('eQuest Schedules'!$C65,eQuest_Schedule_Importer[#Headers],0))="TRUE",INDEX(eQuest_Schedule_Importer[#All],MATCH('eQuest Schedules'!$D$49,eQuest_Schedule_Importer[[#All],[Schedule Name]],0),MATCH(G$22,eQuest_Schedule_Importer[#Headers],0)),"")</f>
        <v>#N/A</v>
      </c>
      <c r="H65" s="191" t="e">
        <f>IF(INDEX(eQuest_Schedule_Importer[#All],MATCH('eQuest Schedules'!$D$49,eQuest_Schedule_Importer[[#All],[Schedule Name]],0),MATCH('eQuest Schedules'!$C65,eQuest_Schedule_Importer[#Headers],0))="TRUE",INDEX(eQuest_Schedule_Importer[#All],MATCH('eQuest Schedules'!$D$49,eQuest_Schedule_Importer[[#All],[Schedule Name]],0),MATCH(H$22,eQuest_Schedule_Importer[#Headers],0)),"")</f>
        <v>#N/A</v>
      </c>
      <c r="I65" s="191" t="e">
        <f>IF(INDEX(eQuest_Schedule_Importer[#All],MATCH('eQuest Schedules'!$D$49,eQuest_Schedule_Importer[[#All],[Schedule Name]],0),MATCH('eQuest Schedules'!$C65,eQuest_Schedule_Importer[#Headers],0))="TRUE",INDEX(eQuest_Schedule_Importer[#All],MATCH('eQuest Schedules'!$D$49,eQuest_Schedule_Importer[[#All],[Schedule Name]],0),MATCH(I$22,eQuest_Schedule_Importer[#Headers],0)),"")</f>
        <v>#N/A</v>
      </c>
      <c r="J65" s="191" t="e">
        <f>IF(INDEX(eQuest_Schedule_Importer[#All],MATCH('eQuest Schedules'!$D$49,eQuest_Schedule_Importer[[#All],[Schedule Name]],0),MATCH('eQuest Schedules'!$C65,eQuest_Schedule_Importer[#Headers],0))="TRUE",INDEX(eQuest_Schedule_Importer[#All],MATCH('eQuest Schedules'!$D$49,eQuest_Schedule_Importer[[#All],[Schedule Name]],0),MATCH(J$22,eQuest_Schedule_Importer[#Headers],0)),"")</f>
        <v>#N/A</v>
      </c>
      <c r="K65" s="191" t="e">
        <f>IF(INDEX(eQuest_Schedule_Importer[#All],MATCH('eQuest Schedules'!$D$49,eQuest_Schedule_Importer[[#All],[Schedule Name]],0),MATCH('eQuest Schedules'!$C65,eQuest_Schedule_Importer[#Headers],0))="TRUE",INDEX(eQuest_Schedule_Importer[#All],MATCH('eQuest Schedules'!$D$49,eQuest_Schedule_Importer[[#All],[Schedule Name]],0),MATCH(K$22,eQuest_Schedule_Importer[#Headers],0)),"")</f>
        <v>#N/A</v>
      </c>
      <c r="L65" s="191" t="e">
        <f>IF(INDEX(eQuest_Schedule_Importer[#All],MATCH('eQuest Schedules'!$D$49,eQuest_Schedule_Importer[[#All],[Schedule Name]],0),MATCH('eQuest Schedules'!$C65,eQuest_Schedule_Importer[#Headers],0))="TRUE",INDEX(eQuest_Schedule_Importer[#All],MATCH('eQuest Schedules'!$D$49,eQuest_Schedule_Importer[[#All],[Schedule Name]],0),MATCH(L$22,eQuest_Schedule_Importer[#Headers],0)),"")</f>
        <v>#N/A</v>
      </c>
      <c r="M65" s="191" t="e">
        <f>IF(INDEX(eQuest_Schedule_Importer[#All],MATCH('eQuest Schedules'!$D$49,eQuest_Schedule_Importer[[#All],[Schedule Name]],0),MATCH('eQuest Schedules'!$C65,eQuest_Schedule_Importer[#Headers],0))="TRUE",INDEX(eQuest_Schedule_Importer[#All],MATCH('eQuest Schedules'!$D$49,eQuest_Schedule_Importer[[#All],[Schedule Name]],0),MATCH(M$22,eQuest_Schedule_Importer[#Headers],0)),"")</f>
        <v>#N/A</v>
      </c>
      <c r="N65" s="191" t="e">
        <f>IF(INDEX(eQuest_Schedule_Importer[#All],MATCH('eQuest Schedules'!$D$49,eQuest_Schedule_Importer[[#All],[Schedule Name]],0),MATCH('eQuest Schedules'!$C65,eQuest_Schedule_Importer[#Headers],0))="TRUE",INDEX(eQuest_Schedule_Importer[#All],MATCH('eQuest Schedules'!$D$49,eQuest_Schedule_Importer[[#All],[Schedule Name]],0),MATCH(N$22,eQuest_Schedule_Importer[#Headers],0)),"")</f>
        <v>#N/A</v>
      </c>
      <c r="O65" s="191" t="e">
        <f>IF(INDEX(eQuest_Schedule_Importer[#All],MATCH('eQuest Schedules'!$D$49,eQuest_Schedule_Importer[[#All],[Schedule Name]],0),MATCH('eQuest Schedules'!$C65,eQuest_Schedule_Importer[#Headers],0))="TRUE",INDEX(eQuest_Schedule_Importer[#All],MATCH('eQuest Schedules'!$D$49,eQuest_Schedule_Importer[[#All],[Schedule Name]],0),MATCH(O$22,eQuest_Schedule_Importer[#Headers],0)),"")</f>
        <v>#N/A</v>
      </c>
      <c r="P65" s="191" t="e">
        <f>IF(INDEX(eQuest_Schedule_Importer[#All],MATCH('eQuest Schedules'!$D$49,eQuest_Schedule_Importer[[#All],[Schedule Name]],0),MATCH('eQuest Schedules'!$C65,eQuest_Schedule_Importer[#Headers],0))="TRUE",INDEX(eQuest_Schedule_Importer[#All],MATCH('eQuest Schedules'!$D$49,eQuest_Schedule_Importer[[#All],[Schedule Name]],0),MATCH(P$22,eQuest_Schedule_Importer[#Headers],0)),"")</f>
        <v>#N/A</v>
      </c>
      <c r="Q65" s="191" t="e">
        <f>IF(INDEX(eQuest_Schedule_Importer[#All],MATCH('eQuest Schedules'!$D$49,eQuest_Schedule_Importer[[#All],[Schedule Name]],0),MATCH('eQuest Schedules'!$C65,eQuest_Schedule_Importer[#Headers],0))="TRUE",INDEX(eQuest_Schedule_Importer[#All],MATCH('eQuest Schedules'!$D$49,eQuest_Schedule_Importer[[#All],[Schedule Name]],0),MATCH(Q$22,eQuest_Schedule_Importer[#Headers],0)),"")</f>
        <v>#N/A</v>
      </c>
      <c r="R65" s="191" t="e">
        <f>IF(INDEX(eQuest_Schedule_Importer[#All],MATCH('eQuest Schedules'!$D$49,eQuest_Schedule_Importer[[#All],[Schedule Name]],0),MATCH('eQuest Schedules'!$C65,eQuest_Schedule_Importer[#Headers],0))="TRUE",INDEX(eQuest_Schedule_Importer[#All],MATCH('eQuest Schedules'!$D$49,eQuest_Schedule_Importer[[#All],[Schedule Name]],0),MATCH(R$22,eQuest_Schedule_Importer[#Headers],0)),"")</f>
        <v>#N/A</v>
      </c>
      <c r="S65" s="191" t="e">
        <f>IF(INDEX(eQuest_Schedule_Importer[#All],MATCH('eQuest Schedules'!$D$49,eQuest_Schedule_Importer[[#All],[Schedule Name]],0),MATCH('eQuest Schedules'!$C65,eQuest_Schedule_Importer[#Headers],0))="TRUE",INDEX(eQuest_Schedule_Importer[#All],MATCH('eQuest Schedules'!$D$49,eQuest_Schedule_Importer[[#All],[Schedule Name]],0),MATCH(S$22,eQuest_Schedule_Importer[#Headers],0)),"")</f>
        <v>#N/A</v>
      </c>
      <c r="T65" s="191" t="e">
        <f>IF(INDEX(eQuest_Schedule_Importer[#All],MATCH('eQuest Schedules'!$D$49,eQuest_Schedule_Importer[[#All],[Schedule Name]],0),MATCH('eQuest Schedules'!$C65,eQuest_Schedule_Importer[#Headers],0))="TRUE",INDEX(eQuest_Schedule_Importer[#All],MATCH('eQuest Schedules'!$D$49,eQuest_Schedule_Importer[[#All],[Schedule Name]],0),MATCH(T$22,eQuest_Schedule_Importer[#Headers],0)),"")</f>
        <v>#N/A</v>
      </c>
      <c r="U65" s="191" t="e">
        <f>IF(INDEX(eQuest_Schedule_Importer[#All],MATCH('eQuest Schedules'!$D$49,eQuest_Schedule_Importer[[#All],[Schedule Name]],0),MATCH('eQuest Schedules'!$C65,eQuest_Schedule_Importer[#Headers],0))="TRUE",INDEX(eQuest_Schedule_Importer[#All],MATCH('eQuest Schedules'!$D$49,eQuest_Schedule_Importer[[#All],[Schedule Name]],0),MATCH(U$22,eQuest_Schedule_Importer[#Headers],0)),"")</f>
        <v>#N/A</v>
      </c>
      <c r="V65" s="191" t="e">
        <f>IF(INDEX(eQuest_Schedule_Importer[#All],MATCH('eQuest Schedules'!$D$49,eQuest_Schedule_Importer[[#All],[Schedule Name]],0),MATCH('eQuest Schedules'!$C65,eQuest_Schedule_Importer[#Headers],0))="TRUE",INDEX(eQuest_Schedule_Importer[#All],MATCH('eQuest Schedules'!$D$49,eQuest_Schedule_Importer[[#All],[Schedule Name]],0),MATCH(V$22,eQuest_Schedule_Importer[#Headers],0)),"")</f>
        <v>#N/A</v>
      </c>
      <c r="W65" s="191" t="e">
        <f>IF(INDEX(eQuest_Schedule_Importer[#All],MATCH('eQuest Schedules'!$D$49,eQuest_Schedule_Importer[[#All],[Schedule Name]],0),MATCH('eQuest Schedules'!$C65,eQuest_Schedule_Importer[#Headers],0))="TRUE",INDEX(eQuest_Schedule_Importer[#All],MATCH('eQuest Schedules'!$D$49,eQuest_Schedule_Importer[[#All],[Schedule Name]],0),MATCH(W$22,eQuest_Schedule_Importer[#Headers],0)),"")</f>
        <v>#N/A</v>
      </c>
      <c r="X65" s="191" t="e">
        <f>IF(INDEX(eQuest_Schedule_Importer[#All],MATCH('eQuest Schedules'!$D$49,eQuest_Schedule_Importer[[#All],[Schedule Name]],0),MATCH('eQuest Schedules'!$C65,eQuest_Schedule_Importer[#Headers],0))="TRUE",INDEX(eQuest_Schedule_Importer[#All],MATCH('eQuest Schedules'!$D$49,eQuest_Schedule_Importer[[#All],[Schedule Name]],0),MATCH(X$22,eQuest_Schedule_Importer[#Headers],0)),"")</f>
        <v>#N/A</v>
      </c>
      <c r="Y65" s="191" t="e">
        <f>IF(INDEX(eQuest_Schedule_Importer[#All],MATCH('eQuest Schedules'!$D$49,eQuest_Schedule_Importer[[#All],[Schedule Name]],0),MATCH('eQuest Schedules'!$C65,eQuest_Schedule_Importer[#Headers],0))="TRUE",INDEX(eQuest_Schedule_Importer[#All],MATCH('eQuest Schedules'!$D$49,eQuest_Schedule_Importer[[#All],[Schedule Name]],0),MATCH(Y$22,eQuest_Schedule_Importer[#Headers],0)),"")</f>
        <v>#N/A</v>
      </c>
      <c r="Z65" s="191" t="e">
        <f>IF(INDEX(eQuest_Schedule_Importer[#All],MATCH('eQuest Schedules'!$D$49,eQuest_Schedule_Importer[[#All],[Schedule Name]],0),MATCH('eQuest Schedules'!$C65,eQuest_Schedule_Importer[#Headers],0))="TRUE",INDEX(eQuest_Schedule_Importer[#All],MATCH('eQuest Schedules'!$D$49,eQuest_Schedule_Importer[[#All],[Schedule Name]],0),MATCH(Z$22,eQuest_Schedule_Importer[#Headers],0)),"")</f>
        <v>#N/A</v>
      </c>
      <c r="AA65" s="191" t="e">
        <f>IF(INDEX(eQuest_Schedule_Importer[#All],MATCH('eQuest Schedules'!$D$49,eQuest_Schedule_Importer[[#All],[Schedule Name]],0),MATCH('eQuest Schedules'!$C65,eQuest_Schedule_Importer[#Headers],0))="TRUE",INDEX(eQuest_Schedule_Importer[#All],MATCH('eQuest Schedules'!$D$49,eQuest_Schedule_Importer[[#All],[Schedule Name]],0),MATCH(AA$22,eQuest_Schedule_Importer[#Headers],0)),"")</f>
        <v>#N/A</v>
      </c>
    </row>
    <row r="66" spans="1:29" x14ac:dyDescent="0.25">
      <c r="C66" t="s">
        <v>1026</v>
      </c>
      <c r="D66" s="191" t="e">
        <f>IF(INDEX(eQuest_Schedule_Importer[#All],MATCH('eQuest Schedules'!$D$49,eQuest_Schedule_Importer[[#All],[Schedule Name]],0),MATCH('eQuest Schedules'!$C66,eQuest_Schedule_Importer[#Headers],0))="TRUE",INDEX(eQuest_Schedule_Importer[#All],MATCH('eQuest Schedules'!$D$49,eQuest_Schedule_Importer[[#All],[Schedule Name]],0),MATCH(D$22,eQuest_Schedule_Importer[#Headers],0)),"")</f>
        <v>#N/A</v>
      </c>
      <c r="E66" s="191" t="e">
        <f>IF(INDEX(eQuest_Schedule_Importer[#All],MATCH('eQuest Schedules'!$D$49,eQuest_Schedule_Importer[[#All],[Schedule Name]],0),MATCH('eQuest Schedules'!$C66,eQuest_Schedule_Importer[#Headers],0))="TRUE",INDEX(eQuest_Schedule_Importer[#All],MATCH('eQuest Schedules'!$D$49,eQuest_Schedule_Importer[[#All],[Schedule Name]],0),MATCH(E$22,eQuest_Schedule_Importer[#Headers],0)),"")</f>
        <v>#N/A</v>
      </c>
      <c r="F66" s="191" t="e">
        <f>IF(INDEX(eQuest_Schedule_Importer[#All],MATCH('eQuest Schedules'!$D$49,eQuest_Schedule_Importer[[#All],[Schedule Name]],0),MATCH('eQuest Schedules'!$C66,eQuest_Schedule_Importer[#Headers],0))="TRUE",INDEX(eQuest_Schedule_Importer[#All],MATCH('eQuest Schedules'!$D$49,eQuest_Schedule_Importer[[#All],[Schedule Name]],0),MATCH(F$22,eQuest_Schedule_Importer[#Headers],0)),"")</f>
        <v>#N/A</v>
      </c>
      <c r="G66" s="191" t="e">
        <f>IF(INDEX(eQuest_Schedule_Importer[#All],MATCH('eQuest Schedules'!$D$49,eQuest_Schedule_Importer[[#All],[Schedule Name]],0),MATCH('eQuest Schedules'!$C66,eQuest_Schedule_Importer[#Headers],0))="TRUE",INDEX(eQuest_Schedule_Importer[#All],MATCH('eQuest Schedules'!$D$49,eQuest_Schedule_Importer[[#All],[Schedule Name]],0),MATCH(G$22,eQuest_Schedule_Importer[#Headers],0)),"")</f>
        <v>#N/A</v>
      </c>
      <c r="H66" s="191" t="e">
        <f>IF(INDEX(eQuest_Schedule_Importer[#All],MATCH('eQuest Schedules'!$D$49,eQuest_Schedule_Importer[[#All],[Schedule Name]],0),MATCH('eQuest Schedules'!$C66,eQuest_Schedule_Importer[#Headers],0))="TRUE",INDEX(eQuest_Schedule_Importer[#All],MATCH('eQuest Schedules'!$D$49,eQuest_Schedule_Importer[[#All],[Schedule Name]],0),MATCH(H$22,eQuest_Schedule_Importer[#Headers],0)),"")</f>
        <v>#N/A</v>
      </c>
      <c r="I66" s="191" t="e">
        <f>IF(INDEX(eQuest_Schedule_Importer[#All],MATCH('eQuest Schedules'!$D$49,eQuest_Schedule_Importer[[#All],[Schedule Name]],0),MATCH('eQuest Schedules'!$C66,eQuest_Schedule_Importer[#Headers],0))="TRUE",INDEX(eQuest_Schedule_Importer[#All],MATCH('eQuest Schedules'!$D$49,eQuest_Schedule_Importer[[#All],[Schedule Name]],0),MATCH(I$22,eQuest_Schedule_Importer[#Headers],0)),"")</f>
        <v>#N/A</v>
      </c>
      <c r="J66" s="191" t="e">
        <f>IF(INDEX(eQuest_Schedule_Importer[#All],MATCH('eQuest Schedules'!$D$49,eQuest_Schedule_Importer[[#All],[Schedule Name]],0),MATCH('eQuest Schedules'!$C66,eQuest_Schedule_Importer[#Headers],0))="TRUE",INDEX(eQuest_Schedule_Importer[#All],MATCH('eQuest Schedules'!$D$49,eQuest_Schedule_Importer[[#All],[Schedule Name]],0),MATCH(J$22,eQuest_Schedule_Importer[#Headers],0)),"")</f>
        <v>#N/A</v>
      </c>
      <c r="K66" s="191" t="e">
        <f>IF(INDEX(eQuest_Schedule_Importer[#All],MATCH('eQuest Schedules'!$D$49,eQuest_Schedule_Importer[[#All],[Schedule Name]],0),MATCH('eQuest Schedules'!$C66,eQuest_Schedule_Importer[#Headers],0))="TRUE",INDEX(eQuest_Schedule_Importer[#All],MATCH('eQuest Schedules'!$D$49,eQuest_Schedule_Importer[[#All],[Schedule Name]],0),MATCH(K$22,eQuest_Schedule_Importer[#Headers],0)),"")</f>
        <v>#N/A</v>
      </c>
      <c r="L66" s="191" t="e">
        <f>IF(INDEX(eQuest_Schedule_Importer[#All],MATCH('eQuest Schedules'!$D$49,eQuest_Schedule_Importer[[#All],[Schedule Name]],0),MATCH('eQuest Schedules'!$C66,eQuest_Schedule_Importer[#Headers],0))="TRUE",INDEX(eQuest_Schedule_Importer[#All],MATCH('eQuest Schedules'!$D$49,eQuest_Schedule_Importer[[#All],[Schedule Name]],0),MATCH(L$22,eQuest_Schedule_Importer[#Headers],0)),"")</f>
        <v>#N/A</v>
      </c>
      <c r="M66" s="191" t="e">
        <f>IF(INDEX(eQuest_Schedule_Importer[#All],MATCH('eQuest Schedules'!$D$49,eQuest_Schedule_Importer[[#All],[Schedule Name]],0),MATCH('eQuest Schedules'!$C66,eQuest_Schedule_Importer[#Headers],0))="TRUE",INDEX(eQuest_Schedule_Importer[#All],MATCH('eQuest Schedules'!$D$49,eQuest_Schedule_Importer[[#All],[Schedule Name]],0),MATCH(M$22,eQuest_Schedule_Importer[#Headers],0)),"")</f>
        <v>#N/A</v>
      </c>
      <c r="N66" s="191" t="e">
        <f>IF(INDEX(eQuest_Schedule_Importer[#All],MATCH('eQuest Schedules'!$D$49,eQuest_Schedule_Importer[[#All],[Schedule Name]],0),MATCH('eQuest Schedules'!$C66,eQuest_Schedule_Importer[#Headers],0))="TRUE",INDEX(eQuest_Schedule_Importer[#All],MATCH('eQuest Schedules'!$D$49,eQuest_Schedule_Importer[[#All],[Schedule Name]],0),MATCH(N$22,eQuest_Schedule_Importer[#Headers],0)),"")</f>
        <v>#N/A</v>
      </c>
      <c r="O66" s="191" t="e">
        <f>IF(INDEX(eQuest_Schedule_Importer[#All],MATCH('eQuest Schedules'!$D$49,eQuest_Schedule_Importer[[#All],[Schedule Name]],0),MATCH('eQuest Schedules'!$C66,eQuest_Schedule_Importer[#Headers],0))="TRUE",INDEX(eQuest_Schedule_Importer[#All],MATCH('eQuest Schedules'!$D$49,eQuest_Schedule_Importer[[#All],[Schedule Name]],0),MATCH(O$22,eQuest_Schedule_Importer[#Headers],0)),"")</f>
        <v>#N/A</v>
      </c>
      <c r="P66" s="191" t="e">
        <f>IF(INDEX(eQuest_Schedule_Importer[#All],MATCH('eQuest Schedules'!$D$49,eQuest_Schedule_Importer[[#All],[Schedule Name]],0),MATCH('eQuest Schedules'!$C66,eQuest_Schedule_Importer[#Headers],0))="TRUE",INDEX(eQuest_Schedule_Importer[#All],MATCH('eQuest Schedules'!$D$49,eQuest_Schedule_Importer[[#All],[Schedule Name]],0),MATCH(P$22,eQuest_Schedule_Importer[#Headers],0)),"")</f>
        <v>#N/A</v>
      </c>
      <c r="Q66" s="191" t="e">
        <f>IF(INDEX(eQuest_Schedule_Importer[#All],MATCH('eQuest Schedules'!$D$49,eQuest_Schedule_Importer[[#All],[Schedule Name]],0),MATCH('eQuest Schedules'!$C66,eQuest_Schedule_Importer[#Headers],0))="TRUE",INDEX(eQuest_Schedule_Importer[#All],MATCH('eQuest Schedules'!$D$49,eQuest_Schedule_Importer[[#All],[Schedule Name]],0),MATCH(Q$22,eQuest_Schedule_Importer[#Headers],0)),"")</f>
        <v>#N/A</v>
      </c>
      <c r="R66" s="191" t="e">
        <f>IF(INDEX(eQuest_Schedule_Importer[#All],MATCH('eQuest Schedules'!$D$49,eQuest_Schedule_Importer[[#All],[Schedule Name]],0),MATCH('eQuest Schedules'!$C66,eQuest_Schedule_Importer[#Headers],0))="TRUE",INDEX(eQuest_Schedule_Importer[#All],MATCH('eQuest Schedules'!$D$49,eQuest_Schedule_Importer[[#All],[Schedule Name]],0),MATCH(R$22,eQuest_Schedule_Importer[#Headers],0)),"")</f>
        <v>#N/A</v>
      </c>
      <c r="S66" s="191" t="e">
        <f>IF(INDEX(eQuest_Schedule_Importer[#All],MATCH('eQuest Schedules'!$D$49,eQuest_Schedule_Importer[[#All],[Schedule Name]],0),MATCH('eQuest Schedules'!$C66,eQuest_Schedule_Importer[#Headers],0))="TRUE",INDEX(eQuest_Schedule_Importer[#All],MATCH('eQuest Schedules'!$D$49,eQuest_Schedule_Importer[[#All],[Schedule Name]],0),MATCH(S$22,eQuest_Schedule_Importer[#Headers],0)),"")</f>
        <v>#N/A</v>
      </c>
      <c r="T66" s="191" t="e">
        <f>IF(INDEX(eQuest_Schedule_Importer[#All],MATCH('eQuest Schedules'!$D$49,eQuest_Schedule_Importer[[#All],[Schedule Name]],0),MATCH('eQuest Schedules'!$C66,eQuest_Schedule_Importer[#Headers],0))="TRUE",INDEX(eQuest_Schedule_Importer[#All],MATCH('eQuest Schedules'!$D$49,eQuest_Schedule_Importer[[#All],[Schedule Name]],0),MATCH(T$22,eQuest_Schedule_Importer[#Headers],0)),"")</f>
        <v>#N/A</v>
      </c>
      <c r="U66" s="191" t="e">
        <f>IF(INDEX(eQuest_Schedule_Importer[#All],MATCH('eQuest Schedules'!$D$49,eQuest_Schedule_Importer[[#All],[Schedule Name]],0),MATCH('eQuest Schedules'!$C66,eQuest_Schedule_Importer[#Headers],0))="TRUE",INDEX(eQuest_Schedule_Importer[#All],MATCH('eQuest Schedules'!$D$49,eQuest_Schedule_Importer[[#All],[Schedule Name]],0),MATCH(U$22,eQuest_Schedule_Importer[#Headers],0)),"")</f>
        <v>#N/A</v>
      </c>
      <c r="V66" s="191" t="e">
        <f>IF(INDEX(eQuest_Schedule_Importer[#All],MATCH('eQuest Schedules'!$D$49,eQuest_Schedule_Importer[[#All],[Schedule Name]],0),MATCH('eQuest Schedules'!$C66,eQuest_Schedule_Importer[#Headers],0))="TRUE",INDEX(eQuest_Schedule_Importer[#All],MATCH('eQuest Schedules'!$D$49,eQuest_Schedule_Importer[[#All],[Schedule Name]],0),MATCH(V$22,eQuest_Schedule_Importer[#Headers],0)),"")</f>
        <v>#N/A</v>
      </c>
      <c r="W66" s="191" t="e">
        <f>IF(INDEX(eQuest_Schedule_Importer[#All],MATCH('eQuest Schedules'!$D$49,eQuest_Schedule_Importer[[#All],[Schedule Name]],0),MATCH('eQuest Schedules'!$C66,eQuest_Schedule_Importer[#Headers],0))="TRUE",INDEX(eQuest_Schedule_Importer[#All],MATCH('eQuest Schedules'!$D$49,eQuest_Schedule_Importer[[#All],[Schedule Name]],0),MATCH(W$22,eQuest_Schedule_Importer[#Headers],0)),"")</f>
        <v>#N/A</v>
      </c>
      <c r="X66" s="191" t="e">
        <f>IF(INDEX(eQuest_Schedule_Importer[#All],MATCH('eQuest Schedules'!$D$49,eQuest_Schedule_Importer[[#All],[Schedule Name]],0),MATCH('eQuest Schedules'!$C66,eQuest_Schedule_Importer[#Headers],0))="TRUE",INDEX(eQuest_Schedule_Importer[#All],MATCH('eQuest Schedules'!$D$49,eQuest_Schedule_Importer[[#All],[Schedule Name]],0),MATCH(X$22,eQuest_Schedule_Importer[#Headers],0)),"")</f>
        <v>#N/A</v>
      </c>
      <c r="Y66" s="191" t="e">
        <f>IF(INDEX(eQuest_Schedule_Importer[#All],MATCH('eQuest Schedules'!$D$49,eQuest_Schedule_Importer[[#All],[Schedule Name]],0),MATCH('eQuest Schedules'!$C66,eQuest_Schedule_Importer[#Headers],0))="TRUE",INDEX(eQuest_Schedule_Importer[#All],MATCH('eQuest Schedules'!$D$49,eQuest_Schedule_Importer[[#All],[Schedule Name]],0),MATCH(Y$22,eQuest_Schedule_Importer[#Headers],0)),"")</f>
        <v>#N/A</v>
      </c>
      <c r="Z66" s="191" t="e">
        <f>IF(INDEX(eQuest_Schedule_Importer[#All],MATCH('eQuest Schedules'!$D$49,eQuest_Schedule_Importer[[#All],[Schedule Name]],0),MATCH('eQuest Schedules'!$C66,eQuest_Schedule_Importer[#Headers],0))="TRUE",INDEX(eQuest_Schedule_Importer[#All],MATCH('eQuest Schedules'!$D$49,eQuest_Schedule_Importer[[#All],[Schedule Name]],0),MATCH(Z$22,eQuest_Schedule_Importer[#Headers],0)),"")</f>
        <v>#N/A</v>
      </c>
      <c r="AA66" s="191" t="e">
        <f>IF(INDEX(eQuest_Schedule_Importer[#All],MATCH('eQuest Schedules'!$D$49,eQuest_Schedule_Importer[[#All],[Schedule Name]],0),MATCH('eQuest Schedules'!$C66,eQuest_Schedule_Importer[#Headers],0))="TRUE",INDEX(eQuest_Schedule_Importer[#All],MATCH('eQuest Schedules'!$D$49,eQuest_Schedule_Importer[[#All],[Schedule Name]],0),MATCH(AA$22,eQuest_Schedule_Importer[#Headers],0)),"")</f>
        <v>#N/A</v>
      </c>
    </row>
    <row r="67" spans="1:29" x14ac:dyDescent="0.25">
      <c r="C67" t="s">
        <v>2077</v>
      </c>
      <c r="D67" s="191" t="e">
        <f>IF(INDEX(eQuest_Schedule_Importer[#All],MATCH('eQuest Schedules'!$D$49,eQuest_Schedule_Importer[[#All],[Schedule Name]],0),MATCH('eQuest Schedules'!$C67,eQuest_Schedule_Importer[#Headers],0))="TRUE",INDEX(eQuest_Schedule_Importer[#All],MATCH('eQuest Schedules'!$D$49,eQuest_Schedule_Importer[[#All],[Schedule Name]],0),MATCH(D$22,eQuest_Schedule_Importer[#Headers],0)),"")</f>
        <v>#N/A</v>
      </c>
      <c r="E67" s="191" t="e">
        <f>IF(INDEX(eQuest_Schedule_Importer[#All],MATCH('eQuest Schedules'!$D$49,eQuest_Schedule_Importer[[#All],[Schedule Name]],0),MATCH('eQuest Schedules'!$C67,eQuest_Schedule_Importer[#Headers],0))="TRUE",INDEX(eQuest_Schedule_Importer[#All],MATCH('eQuest Schedules'!$D$49,eQuest_Schedule_Importer[[#All],[Schedule Name]],0),MATCH(E$22,eQuest_Schedule_Importer[#Headers],0)),"")</f>
        <v>#N/A</v>
      </c>
      <c r="F67" s="191" t="e">
        <f>IF(INDEX(eQuest_Schedule_Importer[#All],MATCH('eQuest Schedules'!$D$49,eQuest_Schedule_Importer[[#All],[Schedule Name]],0),MATCH('eQuest Schedules'!$C67,eQuest_Schedule_Importer[#Headers],0))="TRUE",INDEX(eQuest_Schedule_Importer[#All],MATCH('eQuest Schedules'!$D$49,eQuest_Schedule_Importer[[#All],[Schedule Name]],0),MATCH(F$22,eQuest_Schedule_Importer[#Headers],0)),"")</f>
        <v>#N/A</v>
      </c>
      <c r="G67" s="191" t="e">
        <f>IF(INDEX(eQuest_Schedule_Importer[#All],MATCH('eQuest Schedules'!$D$49,eQuest_Schedule_Importer[[#All],[Schedule Name]],0),MATCH('eQuest Schedules'!$C67,eQuest_Schedule_Importer[#Headers],0))="TRUE",INDEX(eQuest_Schedule_Importer[#All],MATCH('eQuest Schedules'!$D$49,eQuest_Schedule_Importer[[#All],[Schedule Name]],0),MATCH(G$22,eQuest_Schedule_Importer[#Headers],0)),"")</f>
        <v>#N/A</v>
      </c>
      <c r="H67" s="191" t="e">
        <f>IF(INDEX(eQuest_Schedule_Importer[#All],MATCH('eQuest Schedules'!$D$49,eQuest_Schedule_Importer[[#All],[Schedule Name]],0),MATCH('eQuest Schedules'!$C67,eQuest_Schedule_Importer[#Headers],0))="TRUE",INDEX(eQuest_Schedule_Importer[#All],MATCH('eQuest Schedules'!$D$49,eQuest_Schedule_Importer[[#All],[Schedule Name]],0),MATCH(H$22,eQuest_Schedule_Importer[#Headers],0)),"")</f>
        <v>#N/A</v>
      </c>
      <c r="I67" s="191" t="e">
        <f>IF(INDEX(eQuest_Schedule_Importer[#All],MATCH('eQuest Schedules'!$D$49,eQuest_Schedule_Importer[[#All],[Schedule Name]],0),MATCH('eQuest Schedules'!$C67,eQuest_Schedule_Importer[#Headers],0))="TRUE",INDEX(eQuest_Schedule_Importer[#All],MATCH('eQuest Schedules'!$D$49,eQuest_Schedule_Importer[[#All],[Schedule Name]],0),MATCH(I$22,eQuest_Schedule_Importer[#Headers],0)),"")</f>
        <v>#N/A</v>
      </c>
      <c r="J67" s="191" t="e">
        <f>IF(INDEX(eQuest_Schedule_Importer[#All],MATCH('eQuest Schedules'!$D$49,eQuest_Schedule_Importer[[#All],[Schedule Name]],0),MATCH('eQuest Schedules'!$C67,eQuest_Schedule_Importer[#Headers],0))="TRUE",INDEX(eQuest_Schedule_Importer[#All],MATCH('eQuest Schedules'!$D$49,eQuest_Schedule_Importer[[#All],[Schedule Name]],0),MATCH(J$22,eQuest_Schedule_Importer[#Headers],0)),"")</f>
        <v>#N/A</v>
      </c>
      <c r="K67" s="191" t="e">
        <f>IF(INDEX(eQuest_Schedule_Importer[#All],MATCH('eQuest Schedules'!$D$49,eQuest_Schedule_Importer[[#All],[Schedule Name]],0),MATCH('eQuest Schedules'!$C67,eQuest_Schedule_Importer[#Headers],0))="TRUE",INDEX(eQuest_Schedule_Importer[#All],MATCH('eQuest Schedules'!$D$49,eQuest_Schedule_Importer[[#All],[Schedule Name]],0),MATCH(K$22,eQuest_Schedule_Importer[#Headers],0)),"")</f>
        <v>#N/A</v>
      </c>
      <c r="L67" s="191" t="e">
        <f>IF(INDEX(eQuest_Schedule_Importer[#All],MATCH('eQuest Schedules'!$D$49,eQuest_Schedule_Importer[[#All],[Schedule Name]],0),MATCH('eQuest Schedules'!$C67,eQuest_Schedule_Importer[#Headers],0))="TRUE",INDEX(eQuest_Schedule_Importer[#All],MATCH('eQuest Schedules'!$D$49,eQuest_Schedule_Importer[[#All],[Schedule Name]],0),MATCH(L$22,eQuest_Schedule_Importer[#Headers],0)),"")</f>
        <v>#N/A</v>
      </c>
      <c r="M67" s="191" t="e">
        <f>IF(INDEX(eQuest_Schedule_Importer[#All],MATCH('eQuest Schedules'!$D$49,eQuest_Schedule_Importer[[#All],[Schedule Name]],0),MATCH('eQuest Schedules'!$C67,eQuest_Schedule_Importer[#Headers],0))="TRUE",INDEX(eQuest_Schedule_Importer[#All],MATCH('eQuest Schedules'!$D$49,eQuest_Schedule_Importer[[#All],[Schedule Name]],0),MATCH(M$22,eQuest_Schedule_Importer[#Headers],0)),"")</f>
        <v>#N/A</v>
      </c>
      <c r="N67" s="191" t="e">
        <f>IF(INDEX(eQuest_Schedule_Importer[#All],MATCH('eQuest Schedules'!$D$49,eQuest_Schedule_Importer[[#All],[Schedule Name]],0),MATCH('eQuest Schedules'!$C67,eQuest_Schedule_Importer[#Headers],0))="TRUE",INDEX(eQuest_Schedule_Importer[#All],MATCH('eQuest Schedules'!$D$49,eQuest_Schedule_Importer[[#All],[Schedule Name]],0),MATCH(N$22,eQuest_Schedule_Importer[#Headers],0)),"")</f>
        <v>#N/A</v>
      </c>
      <c r="O67" s="191" t="e">
        <f>IF(INDEX(eQuest_Schedule_Importer[#All],MATCH('eQuest Schedules'!$D$49,eQuest_Schedule_Importer[[#All],[Schedule Name]],0),MATCH('eQuest Schedules'!$C67,eQuest_Schedule_Importer[#Headers],0))="TRUE",INDEX(eQuest_Schedule_Importer[#All],MATCH('eQuest Schedules'!$D$49,eQuest_Schedule_Importer[[#All],[Schedule Name]],0),MATCH(O$22,eQuest_Schedule_Importer[#Headers],0)),"")</f>
        <v>#N/A</v>
      </c>
      <c r="P67" s="191" t="e">
        <f>IF(INDEX(eQuest_Schedule_Importer[#All],MATCH('eQuest Schedules'!$D$49,eQuest_Schedule_Importer[[#All],[Schedule Name]],0),MATCH('eQuest Schedules'!$C67,eQuest_Schedule_Importer[#Headers],0))="TRUE",INDEX(eQuest_Schedule_Importer[#All],MATCH('eQuest Schedules'!$D$49,eQuest_Schedule_Importer[[#All],[Schedule Name]],0),MATCH(P$22,eQuest_Schedule_Importer[#Headers],0)),"")</f>
        <v>#N/A</v>
      </c>
      <c r="Q67" s="191" t="e">
        <f>IF(INDEX(eQuest_Schedule_Importer[#All],MATCH('eQuest Schedules'!$D$49,eQuest_Schedule_Importer[[#All],[Schedule Name]],0),MATCH('eQuest Schedules'!$C67,eQuest_Schedule_Importer[#Headers],0))="TRUE",INDEX(eQuest_Schedule_Importer[#All],MATCH('eQuest Schedules'!$D$49,eQuest_Schedule_Importer[[#All],[Schedule Name]],0),MATCH(Q$22,eQuest_Schedule_Importer[#Headers],0)),"")</f>
        <v>#N/A</v>
      </c>
      <c r="R67" s="191" t="e">
        <f>IF(INDEX(eQuest_Schedule_Importer[#All],MATCH('eQuest Schedules'!$D$49,eQuest_Schedule_Importer[[#All],[Schedule Name]],0),MATCH('eQuest Schedules'!$C67,eQuest_Schedule_Importer[#Headers],0))="TRUE",INDEX(eQuest_Schedule_Importer[#All],MATCH('eQuest Schedules'!$D$49,eQuest_Schedule_Importer[[#All],[Schedule Name]],0),MATCH(R$22,eQuest_Schedule_Importer[#Headers],0)),"")</f>
        <v>#N/A</v>
      </c>
      <c r="S67" s="191" t="e">
        <f>IF(INDEX(eQuest_Schedule_Importer[#All],MATCH('eQuest Schedules'!$D$49,eQuest_Schedule_Importer[[#All],[Schedule Name]],0),MATCH('eQuest Schedules'!$C67,eQuest_Schedule_Importer[#Headers],0))="TRUE",INDEX(eQuest_Schedule_Importer[#All],MATCH('eQuest Schedules'!$D$49,eQuest_Schedule_Importer[[#All],[Schedule Name]],0),MATCH(S$22,eQuest_Schedule_Importer[#Headers],0)),"")</f>
        <v>#N/A</v>
      </c>
      <c r="T67" s="191" t="e">
        <f>IF(INDEX(eQuest_Schedule_Importer[#All],MATCH('eQuest Schedules'!$D$49,eQuest_Schedule_Importer[[#All],[Schedule Name]],0),MATCH('eQuest Schedules'!$C67,eQuest_Schedule_Importer[#Headers],0))="TRUE",INDEX(eQuest_Schedule_Importer[#All],MATCH('eQuest Schedules'!$D$49,eQuest_Schedule_Importer[[#All],[Schedule Name]],0),MATCH(T$22,eQuest_Schedule_Importer[#Headers],0)),"")</f>
        <v>#N/A</v>
      </c>
      <c r="U67" s="191" t="e">
        <f>IF(INDEX(eQuest_Schedule_Importer[#All],MATCH('eQuest Schedules'!$D$49,eQuest_Schedule_Importer[[#All],[Schedule Name]],0),MATCH('eQuest Schedules'!$C67,eQuest_Schedule_Importer[#Headers],0))="TRUE",INDEX(eQuest_Schedule_Importer[#All],MATCH('eQuest Schedules'!$D$49,eQuest_Schedule_Importer[[#All],[Schedule Name]],0),MATCH(U$22,eQuest_Schedule_Importer[#Headers],0)),"")</f>
        <v>#N/A</v>
      </c>
      <c r="V67" s="191" t="e">
        <f>IF(INDEX(eQuest_Schedule_Importer[#All],MATCH('eQuest Schedules'!$D$49,eQuest_Schedule_Importer[[#All],[Schedule Name]],0),MATCH('eQuest Schedules'!$C67,eQuest_Schedule_Importer[#Headers],0))="TRUE",INDEX(eQuest_Schedule_Importer[#All],MATCH('eQuest Schedules'!$D$49,eQuest_Schedule_Importer[[#All],[Schedule Name]],0),MATCH(V$22,eQuest_Schedule_Importer[#Headers],0)),"")</f>
        <v>#N/A</v>
      </c>
      <c r="W67" s="191" t="e">
        <f>IF(INDEX(eQuest_Schedule_Importer[#All],MATCH('eQuest Schedules'!$D$49,eQuest_Schedule_Importer[[#All],[Schedule Name]],0),MATCH('eQuest Schedules'!$C67,eQuest_Schedule_Importer[#Headers],0))="TRUE",INDEX(eQuest_Schedule_Importer[#All],MATCH('eQuest Schedules'!$D$49,eQuest_Schedule_Importer[[#All],[Schedule Name]],0),MATCH(W$22,eQuest_Schedule_Importer[#Headers],0)),"")</f>
        <v>#N/A</v>
      </c>
      <c r="X67" s="191" t="e">
        <f>IF(INDEX(eQuest_Schedule_Importer[#All],MATCH('eQuest Schedules'!$D$49,eQuest_Schedule_Importer[[#All],[Schedule Name]],0),MATCH('eQuest Schedules'!$C67,eQuest_Schedule_Importer[#Headers],0))="TRUE",INDEX(eQuest_Schedule_Importer[#All],MATCH('eQuest Schedules'!$D$49,eQuest_Schedule_Importer[[#All],[Schedule Name]],0),MATCH(X$22,eQuest_Schedule_Importer[#Headers],0)),"")</f>
        <v>#N/A</v>
      </c>
      <c r="Y67" s="191" t="e">
        <f>IF(INDEX(eQuest_Schedule_Importer[#All],MATCH('eQuest Schedules'!$D$49,eQuest_Schedule_Importer[[#All],[Schedule Name]],0),MATCH('eQuest Schedules'!$C67,eQuest_Schedule_Importer[#Headers],0))="TRUE",INDEX(eQuest_Schedule_Importer[#All],MATCH('eQuest Schedules'!$D$49,eQuest_Schedule_Importer[[#All],[Schedule Name]],0),MATCH(Y$22,eQuest_Schedule_Importer[#Headers],0)),"")</f>
        <v>#N/A</v>
      </c>
      <c r="Z67" s="191" t="e">
        <f>IF(INDEX(eQuest_Schedule_Importer[#All],MATCH('eQuest Schedules'!$D$49,eQuest_Schedule_Importer[[#All],[Schedule Name]],0),MATCH('eQuest Schedules'!$C67,eQuest_Schedule_Importer[#Headers],0))="TRUE",INDEX(eQuest_Schedule_Importer[#All],MATCH('eQuest Schedules'!$D$49,eQuest_Schedule_Importer[[#All],[Schedule Name]],0),MATCH(Z$22,eQuest_Schedule_Importer[#Headers],0)),"")</f>
        <v>#N/A</v>
      </c>
      <c r="AA67" s="191" t="e">
        <f>IF(INDEX(eQuest_Schedule_Importer[#All],MATCH('eQuest Schedules'!$D$49,eQuest_Schedule_Importer[[#All],[Schedule Name]],0),MATCH('eQuest Schedules'!$C67,eQuest_Schedule_Importer[#Headers],0))="TRUE",INDEX(eQuest_Schedule_Importer[#All],MATCH('eQuest Schedules'!$D$49,eQuest_Schedule_Importer[[#All],[Schedule Name]],0),MATCH(AA$22,eQuest_Schedule_Importer[#Headers],0)),"")</f>
        <v>#N/A</v>
      </c>
    </row>
    <row r="69" spans="1:29" x14ac:dyDescent="0.25">
      <c r="A69" s="192"/>
      <c r="B69" s="192"/>
      <c r="C69" s="192"/>
      <c r="D69" s="192"/>
      <c r="E69" s="192"/>
      <c r="F69" s="192"/>
      <c r="G69" s="192"/>
      <c r="H69" s="192"/>
      <c r="I69" s="192"/>
      <c r="J69" s="192"/>
      <c r="K69" s="192"/>
      <c r="L69" s="192"/>
      <c r="M69" s="192"/>
      <c r="N69" s="192"/>
      <c r="O69" s="192"/>
      <c r="P69" s="192"/>
      <c r="Q69" s="192"/>
      <c r="R69" s="192"/>
      <c r="S69" s="192"/>
      <c r="T69" s="192"/>
      <c r="U69" s="192"/>
      <c r="V69" s="192"/>
      <c r="W69" s="192"/>
      <c r="X69" s="192"/>
      <c r="Y69" s="192"/>
      <c r="Z69" s="192"/>
      <c r="AA69" s="192"/>
      <c r="AB69" s="192"/>
      <c r="AC69" s="192"/>
    </row>
    <row r="70" spans="1:29" ht="15.75" x14ac:dyDescent="0.25">
      <c r="D70" s="764"/>
      <c r="E70" s="764"/>
      <c r="F70" s="764"/>
      <c r="G70" s="764"/>
      <c r="H70" s="764"/>
      <c r="I70" s="764"/>
      <c r="J70" s="764"/>
      <c r="K70" s="764"/>
      <c r="L70" s="764"/>
      <c r="M70" s="764"/>
    </row>
    <row r="86" spans="1:29" x14ac:dyDescent="0.25">
      <c r="C86" t="s">
        <v>1025</v>
      </c>
      <c r="D86" s="191" t="e">
        <f>IF(INDEX(eQuest_Schedule_Importer[#All],MATCH('eQuest Schedules'!$D$70,eQuest_Schedule_Importer[[#All],[Schedule Name]],0),MATCH('eQuest Schedules'!$C86,eQuest_Schedule_Importer[#Headers],0))="TRUE",INDEX(eQuest_Schedule_Importer[#All],MATCH('eQuest Schedules'!$D$70,eQuest_Schedule_Importer[[#All],[Schedule Name]],0),MATCH(D$22,eQuest_Schedule_Importer[#Headers],0)),"")</f>
        <v>#N/A</v>
      </c>
      <c r="E86" s="191" t="e">
        <f>IF(INDEX(eQuest_Schedule_Importer[#All],MATCH('eQuest Schedules'!$D$70,eQuest_Schedule_Importer[[#All],[Schedule Name]],0),MATCH('eQuest Schedules'!$C86,eQuest_Schedule_Importer[#Headers],0))="TRUE",INDEX(eQuest_Schedule_Importer[#All],MATCH('eQuest Schedules'!$D$70,eQuest_Schedule_Importer[[#All],[Schedule Name]],0),MATCH(E$22,eQuest_Schedule_Importer[#Headers],0)),"")</f>
        <v>#N/A</v>
      </c>
      <c r="F86" s="191" t="e">
        <f>IF(INDEX(eQuest_Schedule_Importer[#All],MATCH('eQuest Schedules'!$D$70,eQuest_Schedule_Importer[[#All],[Schedule Name]],0),MATCH('eQuest Schedules'!$C86,eQuest_Schedule_Importer[#Headers],0))="TRUE",INDEX(eQuest_Schedule_Importer[#All],MATCH('eQuest Schedules'!$D$70,eQuest_Schedule_Importer[[#All],[Schedule Name]],0),MATCH(F$22,eQuest_Schedule_Importer[#Headers],0)),"")</f>
        <v>#N/A</v>
      </c>
      <c r="G86" s="191" t="e">
        <f>IF(INDEX(eQuest_Schedule_Importer[#All],MATCH('eQuest Schedules'!$D$70,eQuest_Schedule_Importer[[#All],[Schedule Name]],0),MATCH('eQuest Schedules'!$C86,eQuest_Schedule_Importer[#Headers],0))="TRUE",INDEX(eQuest_Schedule_Importer[#All],MATCH('eQuest Schedules'!$D$70,eQuest_Schedule_Importer[[#All],[Schedule Name]],0),MATCH(G$22,eQuest_Schedule_Importer[#Headers],0)),"")</f>
        <v>#N/A</v>
      </c>
      <c r="H86" s="191" t="e">
        <f>IF(INDEX(eQuest_Schedule_Importer[#All],MATCH('eQuest Schedules'!$D$70,eQuest_Schedule_Importer[[#All],[Schedule Name]],0),MATCH('eQuest Schedules'!$C86,eQuest_Schedule_Importer[#Headers],0))="TRUE",INDEX(eQuest_Schedule_Importer[#All],MATCH('eQuest Schedules'!$D$70,eQuest_Schedule_Importer[[#All],[Schedule Name]],0),MATCH(H$22,eQuest_Schedule_Importer[#Headers],0)),"")</f>
        <v>#N/A</v>
      </c>
      <c r="I86" s="191" t="e">
        <f>IF(INDEX(eQuest_Schedule_Importer[#All],MATCH('eQuest Schedules'!$D$70,eQuest_Schedule_Importer[[#All],[Schedule Name]],0),MATCH('eQuest Schedules'!$C86,eQuest_Schedule_Importer[#Headers],0))="TRUE",INDEX(eQuest_Schedule_Importer[#All],MATCH('eQuest Schedules'!$D$70,eQuest_Schedule_Importer[[#All],[Schedule Name]],0),MATCH(I$22,eQuest_Schedule_Importer[#Headers],0)),"")</f>
        <v>#N/A</v>
      </c>
      <c r="J86" s="191" t="e">
        <f>IF(INDEX(eQuest_Schedule_Importer[#All],MATCH('eQuest Schedules'!$D$70,eQuest_Schedule_Importer[[#All],[Schedule Name]],0),MATCH('eQuest Schedules'!$C86,eQuest_Schedule_Importer[#Headers],0))="TRUE",INDEX(eQuest_Schedule_Importer[#All],MATCH('eQuest Schedules'!$D$70,eQuest_Schedule_Importer[[#All],[Schedule Name]],0),MATCH(J$22,eQuest_Schedule_Importer[#Headers],0)),"")</f>
        <v>#N/A</v>
      </c>
      <c r="K86" s="191" t="e">
        <f>IF(INDEX(eQuest_Schedule_Importer[#All],MATCH('eQuest Schedules'!$D$70,eQuest_Schedule_Importer[[#All],[Schedule Name]],0),MATCH('eQuest Schedules'!$C86,eQuest_Schedule_Importer[#Headers],0))="TRUE",INDEX(eQuest_Schedule_Importer[#All],MATCH('eQuest Schedules'!$D$70,eQuest_Schedule_Importer[[#All],[Schedule Name]],0),MATCH(K$22,eQuest_Schedule_Importer[#Headers],0)),"")</f>
        <v>#N/A</v>
      </c>
      <c r="L86" s="191" t="e">
        <f>IF(INDEX(eQuest_Schedule_Importer[#All],MATCH('eQuest Schedules'!$D$70,eQuest_Schedule_Importer[[#All],[Schedule Name]],0),MATCH('eQuest Schedules'!$C86,eQuest_Schedule_Importer[#Headers],0))="TRUE",INDEX(eQuest_Schedule_Importer[#All],MATCH('eQuest Schedules'!$D$70,eQuest_Schedule_Importer[[#All],[Schedule Name]],0),MATCH(L$22,eQuest_Schedule_Importer[#Headers],0)),"")</f>
        <v>#N/A</v>
      </c>
      <c r="M86" s="191" t="e">
        <f>IF(INDEX(eQuest_Schedule_Importer[#All],MATCH('eQuest Schedules'!$D$70,eQuest_Schedule_Importer[[#All],[Schedule Name]],0),MATCH('eQuest Schedules'!$C86,eQuest_Schedule_Importer[#Headers],0))="TRUE",INDEX(eQuest_Schedule_Importer[#All],MATCH('eQuest Schedules'!$D$70,eQuest_Schedule_Importer[[#All],[Schedule Name]],0),MATCH(M$22,eQuest_Schedule_Importer[#Headers],0)),"")</f>
        <v>#N/A</v>
      </c>
      <c r="N86" s="191" t="e">
        <f>IF(INDEX(eQuest_Schedule_Importer[#All],MATCH('eQuest Schedules'!$D$70,eQuest_Schedule_Importer[[#All],[Schedule Name]],0),MATCH('eQuest Schedules'!$C86,eQuest_Schedule_Importer[#Headers],0))="TRUE",INDEX(eQuest_Schedule_Importer[#All],MATCH('eQuest Schedules'!$D$70,eQuest_Schedule_Importer[[#All],[Schedule Name]],0),MATCH(N$22,eQuest_Schedule_Importer[#Headers],0)),"")</f>
        <v>#N/A</v>
      </c>
      <c r="O86" s="191" t="e">
        <f>IF(INDEX(eQuest_Schedule_Importer[#All],MATCH('eQuest Schedules'!$D$70,eQuest_Schedule_Importer[[#All],[Schedule Name]],0),MATCH('eQuest Schedules'!$C86,eQuest_Schedule_Importer[#Headers],0))="TRUE",INDEX(eQuest_Schedule_Importer[#All],MATCH('eQuest Schedules'!$D$70,eQuest_Schedule_Importer[[#All],[Schedule Name]],0),MATCH(O$22,eQuest_Schedule_Importer[#Headers],0)),"")</f>
        <v>#N/A</v>
      </c>
      <c r="P86" s="191" t="e">
        <f>IF(INDEX(eQuest_Schedule_Importer[#All],MATCH('eQuest Schedules'!$D$70,eQuest_Schedule_Importer[[#All],[Schedule Name]],0),MATCH('eQuest Schedules'!$C86,eQuest_Schedule_Importer[#Headers],0))="TRUE",INDEX(eQuest_Schedule_Importer[#All],MATCH('eQuest Schedules'!$D$70,eQuest_Schedule_Importer[[#All],[Schedule Name]],0),MATCH(P$22,eQuest_Schedule_Importer[#Headers],0)),"")</f>
        <v>#N/A</v>
      </c>
      <c r="Q86" s="191" t="e">
        <f>IF(INDEX(eQuest_Schedule_Importer[#All],MATCH('eQuest Schedules'!$D$70,eQuest_Schedule_Importer[[#All],[Schedule Name]],0),MATCH('eQuest Schedules'!$C86,eQuest_Schedule_Importer[#Headers],0))="TRUE",INDEX(eQuest_Schedule_Importer[#All],MATCH('eQuest Schedules'!$D$70,eQuest_Schedule_Importer[[#All],[Schedule Name]],0),MATCH(Q$22,eQuest_Schedule_Importer[#Headers],0)),"")</f>
        <v>#N/A</v>
      </c>
      <c r="R86" s="191" t="e">
        <f>IF(INDEX(eQuest_Schedule_Importer[#All],MATCH('eQuest Schedules'!$D$70,eQuest_Schedule_Importer[[#All],[Schedule Name]],0),MATCH('eQuest Schedules'!$C86,eQuest_Schedule_Importer[#Headers],0))="TRUE",INDEX(eQuest_Schedule_Importer[#All],MATCH('eQuest Schedules'!$D$70,eQuest_Schedule_Importer[[#All],[Schedule Name]],0),MATCH(R$22,eQuest_Schedule_Importer[#Headers],0)),"")</f>
        <v>#N/A</v>
      </c>
      <c r="S86" s="191" t="e">
        <f>IF(INDEX(eQuest_Schedule_Importer[#All],MATCH('eQuest Schedules'!$D$70,eQuest_Schedule_Importer[[#All],[Schedule Name]],0),MATCH('eQuest Schedules'!$C86,eQuest_Schedule_Importer[#Headers],0))="TRUE",INDEX(eQuest_Schedule_Importer[#All],MATCH('eQuest Schedules'!$D$70,eQuest_Schedule_Importer[[#All],[Schedule Name]],0),MATCH(S$22,eQuest_Schedule_Importer[#Headers],0)),"")</f>
        <v>#N/A</v>
      </c>
      <c r="T86" s="191" t="e">
        <f>IF(INDEX(eQuest_Schedule_Importer[#All],MATCH('eQuest Schedules'!$D$70,eQuest_Schedule_Importer[[#All],[Schedule Name]],0),MATCH('eQuest Schedules'!$C86,eQuest_Schedule_Importer[#Headers],0))="TRUE",INDEX(eQuest_Schedule_Importer[#All],MATCH('eQuest Schedules'!$D$70,eQuest_Schedule_Importer[[#All],[Schedule Name]],0),MATCH(T$22,eQuest_Schedule_Importer[#Headers],0)),"")</f>
        <v>#N/A</v>
      </c>
      <c r="U86" s="191" t="e">
        <f>IF(INDEX(eQuest_Schedule_Importer[#All],MATCH('eQuest Schedules'!$D$70,eQuest_Schedule_Importer[[#All],[Schedule Name]],0),MATCH('eQuest Schedules'!$C86,eQuest_Schedule_Importer[#Headers],0))="TRUE",INDEX(eQuest_Schedule_Importer[#All],MATCH('eQuest Schedules'!$D$70,eQuest_Schedule_Importer[[#All],[Schedule Name]],0),MATCH(U$22,eQuest_Schedule_Importer[#Headers],0)),"")</f>
        <v>#N/A</v>
      </c>
      <c r="V86" s="191" t="e">
        <f>IF(INDEX(eQuest_Schedule_Importer[#All],MATCH('eQuest Schedules'!$D$70,eQuest_Schedule_Importer[[#All],[Schedule Name]],0),MATCH('eQuest Schedules'!$C86,eQuest_Schedule_Importer[#Headers],0))="TRUE",INDEX(eQuest_Schedule_Importer[#All],MATCH('eQuest Schedules'!$D$70,eQuest_Schedule_Importer[[#All],[Schedule Name]],0),MATCH(V$22,eQuest_Schedule_Importer[#Headers],0)),"")</f>
        <v>#N/A</v>
      </c>
      <c r="W86" s="191" t="e">
        <f>IF(INDEX(eQuest_Schedule_Importer[#All],MATCH('eQuest Schedules'!$D$70,eQuest_Schedule_Importer[[#All],[Schedule Name]],0),MATCH('eQuest Schedules'!$C86,eQuest_Schedule_Importer[#Headers],0))="TRUE",INDEX(eQuest_Schedule_Importer[#All],MATCH('eQuest Schedules'!$D$70,eQuest_Schedule_Importer[[#All],[Schedule Name]],0),MATCH(W$22,eQuest_Schedule_Importer[#Headers],0)),"")</f>
        <v>#N/A</v>
      </c>
      <c r="X86" s="191" t="e">
        <f>IF(INDEX(eQuest_Schedule_Importer[#All],MATCH('eQuest Schedules'!$D$70,eQuest_Schedule_Importer[[#All],[Schedule Name]],0),MATCH('eQuest Schedules'!$C86,eQuest_Schedule_Importer[#Headers],0))="TRUE",INDEX(eQuest_Schedule_Importer[#All],MATCH('eQuest Schedules'!$D$70,eQuest_Schedule_Importer[[#All],[Schedule Name]],0),MATCH(X$22,eQuest_Schedule_Importer[#Headers],0)),"")</f>
        <v>#N/A</v>
      </c>
      <c r="Y86" s="191" t="e">
        <f>IF(INDEX(eQuest_Schedule_Importer[#All],MATCH('eQuest Schedules'!$D$70,eQuest_Schedule_Importer[[#All],[Schedule Name]],0),MATCH('eQuest Schedules'!$C86,eQuest_Schedule_Importer[#Headers],0))="TRUE",INDEX(eQuest_Schedule_Importer[#All],MATCH('eQuest Schedules'!$D$70,eQuest_Schedule_Importer[[#All],[Schedule Name]],0),MATCH(Y$22,eQuest_Schedule_Importer[#Headers],0)),"")</f>
        <v>#N/A</v>
      </c>
      <c r="Z86" s="191" t="e">
        <f>IF(INDEX(eQuest_Schedule_Importer[#All],MATCH('eQuest Schedules'!$D$70,eQuest_Schedule_Importer[[#All],[Schedule Name]],0),MATCH('eQuest Schedules'!$C86,eQuest_Schedule_Importer[#Headers],0))="TRUE",INDEX(eQuest_Schedule_Importer[#All],MATCH('eQuest Schedules'!$D$70,eQuest_Schedule_Importer[[#All],[Schedule Name]],0),MATCH(Z$22,eQuest_Schedule_Importer[#Headers],0)),"")</f>
        <v>#N/A</v>
      </c>
      <c r="AA86" s="191" t="e">
        <f>IF(INDEX(eQuest_Schedule_Importer[#All],MATCH('eQuest Schedules'!$D$70,eQuest_Schedule_Importer[[#All],[Schedule Name]],0),MATCH('eQuest Schedules'!$C86,eQuest_Schedule_Importer[#Headers],0))="TRUE",INDEX(eQuest_Schedule_Importer[#All],MATCH('eQuest Schedules'!$D$70,eQuest_Schedule_Importer[[#All],[Schedule Name]],0),MATCH(AA$22,eQuest_Schedule_Importer[#Headers],0)),"")</f>
        <v>#N/A</v>
      </c>
    </row>
    <row r="87" spans="1:29" x14ac:dyDescent="0.25">
      <c r="C87" t="s">
        <v>1026</v>
      </c>
      <c r="D87" s="191" t="e">
        <f>IF(INDEX(eQuest_Schedule_Importer[#All],MATCH('eQuest Schedules'!$D$70,eQuest_Schedule_Importer[[#All],[Schedule Name]],0),MATCH('eQuest Schedules'!$C87,eQuest_Schedule_Importer[#Headers],0))="TRUE",INDEX(eQuest_Schedule_Importer[#All],MATCH('eQuest Schedules'!$D$70,eQuest_Schedule_Importer[[#All],[Schedule Name]],0),MATCH(D$22,eQuest_Schedule_Importer[#Headers],0)),"")</f>
        <v>#N/A</v>
      </c>
      <c r="E87" s="191" t="e">
        <f>IF(INDEX(eQuest_Schedule_Importer[#All],MATCH('eQuest Schedules'!$D$70,eQuest_Schedule_Importer[[#All],[Schedule Name]],0),MATCH('eQuest Schedules'!$C87,eQuest_Schedule_Importer[#Headers],0))="TRUE",INDEX(eQuest_Schedule_Importer[#All],MATCH('eQuest Schedules'!$D$70,eQuest_Schedule_Importer[[#All],[Schedule Name]],0),MATCH(E$22,eQuest_Schedule_Importer[#Headers],0)),"")</f>
        <v>#N/A</v>
      </c>
      <c r="F87" s="191" t="e">
        <f>IF(INDEX(eQuest_Schedule_Importer[#All],MATCH('eQuest Schedules'!$D$70,eQuest_Schedule_Importer[[#All],[Schedule Name]],0),MATCH('eQuest Schedules'!$C87,eQuest_Schedule_Importer[#Headers],0))="TRUE",INDEX(eQuest_Schedule_Importer[#All],MATCH('eQuest Schedules'!$D$70,eQuest_Schedule_Importer[[#All],[Schedule Name]],0),MATCH(F$22,eQuest_Schedule_Importer[#Headers],0)),"")</f>
        <v>#N/A</v>
      </c>
      <c r="G87" s="191" t="e">
        <f>IF(INDEX(eQuest_Schedule_Importer[#All],MATCH('eQuest Schedules'!$D$70,eQuest_Schedule_Importer[[#All],[Schedule Name]],0),MATCH('eQuest Schedules'!$C87,eQuest_Schedule_Importer[#Headers],0))="TRUE",INDEX(eQuest_Schedule_Importer[#All],MATCH('eQuest Schedules'!$D$70,eQuest_Schedule_Importer[[#All],[Schedule Name]],0),MATCH(G$22,eQuest_Schedule_Importer[#Headers],0)),"")</f>
        <v>#N/A</v>
      </c>
      <c r="H87" s="191" t="e">
        <f>IF(INDEX(eQuest_Schedule_Importer[#All],MATCH('eQuest Schedules'!$D$70,eQuest_Schedule_Importer[[#All],[Schedule Name]],0),MATCH('eQuest Schedules'!$C87,eQuest_Schedule_Importer[#Headers],0))="TRUE",INDEX(eQuest_Schedule_Importer[#All],MATCH('eQuest Schedules'!$D$70,eQuest_Schedule_Importer[[#All],[Schedule Name]],0),MATCH(H$22,eQuest_Schedule_Importer[#Headers],0)),"")</f>
        <v>#N/A</v>
      </c>
      <c r="I87" s="191" t="e">
        <f>IF(INDEX(eQuest_Schedule_Importer[#All],MATCH('eQuest Schedules'!$D$70,eQuest_Schedule_Importer[[#All],[Schedule Name]],0),MATCH('eQuest Schedules'!$C87,eQuest_Schedule_Importer[#Headers],0))="TRUE",INDEX(eQuest_Schedule_Importer[#All],MATCH('eQuest Schedules'!$D$70,eQuest_Schedule_Importer[[#All],[Schedule Name]],0),MATCH(I$22,eQuest_Schedule_Importer[#Headers],0)),"")</f>
        <v>#N/A</v>
      </c>
      <c r="J87" s="191" t="e">
        <f>IF(INDEX(eQuest_Schedule_Importer[#All],MATCH('eQuest Schedules'!$D$70,eQuest_Schedule_Importer[[#All],[Schedule Name]],0),MATCH('eQuest Schedules'!$C87,eQuest_Schedule_Importer[#Headers],0))="TRUE",INDEX(eQuest_Schedule_Importer[#All],MATCH('eQuest Schedules'!$D$70,eQuest_Schedule_Importer[[#All],[Schedule Name]],0),MATCH(J$22,eQuest_Schedule_Importer[#Headers],0)),"")</f>
        <v>#N/A</v>
      </c>
      <c r="K87" s="191" t="e">
        <f>IF(INDEX(eQuest_Schedule_Importer[#All],MATCH('eQuest Schedules'!$D$70,eQuest_Schedule_Importer[[#All],[Schedule Name]],0),MATCH('eQuest Schedules'!$C87,eQuest_Schedule_Importer[#Headers],0))="TRUE",INDEX(eQuest_Schedule_Importer[#All],MATCH('eQuest Schedules'!$D$70,eQuest_Schedule_Importer[[#All],[Schedule Name]],0),MATCH(K$22,eQuest_Schedule_Importer[#Headers],0)),"")</f>
        <v>#N/A</v>
      </c>
      <c r="L87" s="191" t="e">
        <f>IF(INDEX(eQuest_Schedule_Importer[#All],MATCH('eQuest Schedules'!$D$70,eQuest_Schedule_Importer[[#All],[Schedule Name]],0),MATCH('eQuest Schedules'!$C87,eQuest_Schedule_Importer[#Headers],0))="TRUE",INDEX(eQuest_Schedule_Importer[#All],MATCH('eQuest Schedules'!$D$70,eQuest_Schedule_Importer[[#All],[Schedule Name]],0),MATCH(L$22,eQuest_Schedule_Importer[#Headers],0)),"")</f>
        <v>#N/A</v>
      </c>
      <c r="M87" s="191" t="e">
        <f>IF(INDEX(eQuest_Schedule_Importer[#All],MATCH('eQuest Schedules'!$D$70,eQuest_Schedule_Importer[[#All],[Schedule Name]],0),MATCH('eQuest Schedules'!$C87,eQuest_Schedule_Importer[#Headers],0))="TRUE",INDEX(eQuest_Schedule_Importer[#All],MATCH('eQuest Schedules'!$D$70,eQuest_Schedule_Importer[[#All],[Schedule Name]],0),MATCH(M$22,eQuest_Schedule_Importer[#Headers],0)),"")</f>
        <v>#N/A</v>
      </c>
      <c r="N87" s="191" t="e">
        <f>IF(INDEX(eQuest_Schedule_Importer[#All],MATCH('eQuest Schedules'!$D$70,eQuest_Schedule_Importer[[#All],[Schedule Name]],0),MATCH('eQuest Schedules'!$C87,eQuest_Schedule_Importer[#Headers],0))="TRUE",INDEX(eQuest_Schedule_Importer[#All],MATCH('eQuest Schedules'!$D$70,eQuest_Schedule_Importer[[#All],[Schedule Name]],0),MATCH(N$22,eQuest_Schedule_Importer[#Headers],0)),"")</f>
        <v>#N/A</v>
      </c>
      <c r="O87" s="191" t="e">
        <f>IF(INDEX(eQuest_Schedule_Importer[#All],MATCH('eQuest Schedules'!$D$70,eQuest_Schedule_Importer[[#All],[Schedule Name]],0),MATCH('eQuest Schedules'!$C87,eQuest_Schedule_Importer[#Headers],0))="TRUE",INDEX(eQuest_Schedule_Importer[#All],MATCH('eQuest Schedules'!$D$70,eQuest_Schedule_Importer[[#All],[Schedule Name]],0),MATCH(O$22,eQuest_Schedule_Importer[#Headers],0)),"")</f>
        <v>#N/A</v>
      </c>
      <c r="P87" s="191" t="e">
        <f>IF(INDEX(eQuest_Schedule_Importer[#All],MATCH('eQuest Schedules'!$D$70,eQuest_Schedule_Importer[[#All],[Schedule Name]],0),MATCH('eQuest Schedules'!$C87,eQuest_Schedule_Importer[#Headers],0))="TRUE",INDEX(eQuest_Schedule_Importer[#All],MATCH('eQuest Schedules'!$D$70,eQuest_Schedule_Importer[[#All],[Schedule Name]],0),MATCH(P$22,eQuest_Schedule_Importer[#Headers],0)),"")</f>
        <v>#N/A</v>
      </c>
      <c r="Q87" s="191" t="e">
        <f>IF(INDEX(eQuest_Schedule_Importer[#All],MATCH('eQuest Schedules'!$D$70,eQuest_Schedule_Importer[[#All],[Schedule Name]],0),MATCH('eQuest Schedules'!$C87,eQuest_Schedule_Importer[#Headers],0))="TRUE",INDEX(eQuest_Schedule_Importer[#All],MATCH('eQuest Schedules'!$D$70,eQuest_Schedule_Importer[[#All],[Schedule Name]],0),MATCH(Q$22,eQuest_Schedule_Importer[#Headers],0)),"")</f>
        <v>#N/A</v>
      </c>
      <c r="R87" s="191" t="e">
        <f>IF(INDEX(eQuest_Schedule_Importer[#All],MATCH('eQuest Schedules'!$D$70,eQuest_Schedule_Importer[[#All],[Schedule Name]],0),MATCH('eQuest Schedules'!$C87,eQuest_Schedule_Importer[#Headers],0))="TRUE",INDEX(eQuest_Schedule_Importer[#All],MATCH('eQuest Schedules'!$D$70,eQuest_Schedule_Importer[[#All],[Schedule Name]],0),MATCH(R$22,eQuest_Schedule_Importer[#Headers],0)),"")</f>
        <v>#N/A</v>
      </c>
      <c r="S87" s="191" t="e">
        <f>IF(INDEX(eQuest_Schedule_Importer[#All],MATCH('eQuest Schedules'!$D$70,eQuest_Schedule_Importer[[#All],[Schedule Name]],0),MATCH('eQuest Schedules'!$C87,eQuest_Schedule_Importer[#Headers],0))="TRUE",INDEX(eQuest_Schedule_Importer[#All],MATCH('eQuest Schedules'!$D$70,eQuest_Schedule_Importer[[#All],[Schedule Name]],0),MATCH(S$22,eQuest_Schedule_Importer[#Headers],0)),"")</f>
        <v>#N/A</v>
      </c>
      <c r="T87" s="191" t="e">
        <f>IF(INDEX(eQuest_Schedule_Importer[#All],MATCH('eQuest Schedules'!$D$70,eQuest_Schedule_Importer[[#All],[Schedule Name]],0),MATCH('eQuest Schedules'!$C87,eQuest_Schedule_Importer[#Headers],0))="TRUE",INDEX(eQuest_Schedule_Importer[#All],MATCH('eQuest Schedules'!$D$70,eQuest_Schedule_Importer[[#All],[Schedule Name]],0),MATCH(T$22,eQuest_Schedule_Importer[#Headers],0)),"")</f>
        <v>#N/A</v>
      </c>
      <c r="U87" s="191" t="e">
        <f>IF(INDEX(eQuest_Schedule_Importer[#All],MATCH('eQuest Schedules'!$D$70,eQuest_Schedule_Importer[[#All],[Schedule Name]],0),MATCH('eQuest Schedules'!$C87,eQuest_Schedule_Importer[#Headers],0))="TRUE",INDEX(eQuest_Schedule_Importer[#All],MATCH('eQuest Schedules'!$D$70,eQuest_Schedule_Importer[[#All],[Schedule Name]],0),MATCH(U$22,eQuest_Schedule_Importer[#Headers],0)),"")</f>
        <v>#N/A</v>
      </c>
      <c r="V87" s="191" t="e">
        <f>IF(INDEX(eQuest_Schedule_Importer[#All],MATCH('eQuest Schedules'!$D$70,eQuest_Schedule_Importer[[#All],[Schedule Name]],0),MATCH('eQuest Schedules'!$C87,eQuest_Schedule_Importer[#Headers],0))="TRUE",INDEX(eQuest_Schedule_Importer[#All],MATCH('eQuest Schedules'!$D$70,eQuest_Schedule_Importer[[#All],[Schedule Name]],0),MATCH(V$22,eQuest_Schedule_Importer[#Headers],0)),"")</f>
        <v>#N/A</v>
      </c>
      <c r="W87" s="191" t="e">
        <f>IF(INDEX(eQuest_Schedule_Importer[#All],MATCH('eQuest Schedules'!$D$70,eQuest_Schedule_Importer[[#All],[Schedule Name]],0),MATCH('eQuest Schedules'!$C87,eQuest_Schedule_Importer[#Headers],0))="TRUE",INDEX(eQuest_Schedule_Importer[#All],MATCH('eQuest Schedules'!$D$70,eQuest_Schedule_Importer[[#All],[Schedule Name]],0),MATCH(W$22,eQuest_Schedule_Importer[#Headers],0)),"")</f>
        <v>#N/A</v>
      </c>
      <c r="X87" s="191" t="e">
        <f>IF(INDEX(eQuest_Schedule_Importer[#All],MATCH('eQuest Schedules'!$D$70,eQuest_Schedule_Importer[[#All],[Schedule Name]],0),MATCH('eQuest Schedules'!$C87,eQuest_Schedule_Importer[#Headers],0))="TRUE",INDEX(eQuest_Schedule_Importer[#All],MATCH('eQuest Schedules'!$D$70,eQuest_Schedule_Importer[[#All],[Schedule Name]],0),MATCH(X$22,eQuest_Schedule_Importer[#Headers],0)),"")</f>
        <v>#N/A</v>
      </c>
      <c r="Y87" s="191" t="e">
        <f>IF(INDEX(eQuest_Schedule_Importer[#All],MATCH('eQuest Schedules'!$D$70,eQuest_Schedule_Importer[[#All],[Schedule Name]],0),MATCH('eQuest Schedules'!$C87,eQuest_Schedule_Importer[#Headers],0))="TRUE",INDEX(eQuest_Schedule_Importer[#All],MATCH('eQuest Schedules'!$D$70,eQuest_Schedule_Importer[[#All],[Schedule Name]],0),MATCH(Y$22,eQuest_Schedule_Importer[#Headers],0)),"")</f>
        <v>#N/A</v>
      </c>
      <c r="Z87" s="191" t="e">
        <f>IF(INDEX(eQuest_Schedule_Importer[#All],MATCH('eQuest Schedules'!$D$70,eQuest_Schedule_Importer[[#All],[Schedule Name]],0),MATCH('eQuest Schedules'!$C87,eQuest_Schedule_Importer[#Headers],0))="TRUE",INDEX(eQuest_Schedule_Importer[#All],MATCH('eQuest Schedules'!$D$70,eQuest_Schedule_Importer[[#All],[Schedule Name]],0),MATCH(Z$22,eQuest_Schedule_Importer[#Headers],0)),"")</f>
        <v>#N/A</v>
      </c>
      <c r="AA87" s="191" t="e">
        <f>IF(INDEX(eQuest_Schedule_Importer[#All],MATCH('eQuest Schedules'!$D$70,eQuest_Schedule_Importer[[#All],[Schedule Name]],0),MATCH('eQuest Schedules'!$C87,eQuest_Schedule_Importer[#Headers],0))="TRUE",INDEX(eQuest_Schedule_Importer[#All],MATCH('eQuest Schedules'!$D$70,eQuest_Schedule_Importer[[#All],[Schedule Name]],0),MATCH(AA$22,eQuest_Schedule_Importer[#Headers],0)),"")</f>
        <v>#N/A</v>
      </c>
    </row>
    <row r="88" spans="1:29" x14ac:dyDescent="0.25">
      <c r="C88" t="s">
        <v>2077</v>
      </c>
      <c r="D88" s="191" t="e">
        <f>IF(INDEX(eQuest_Schedule_Importer[#All],MATCH('eQuest Schedules'!$D$70,eQuest_Schedule_Importer[[#All],[Schedule Name]],0),MATCH('eQuest Schedules'!$C88,eQuest_Schedule_Importer[#Headers],0))="TRUE",INDEX(eQuest_Schedule_Importer[#All],MATCH('eQuest Schedules'!$D$70,eQuest_Schedule_Importer[[#All],[Schedule Name]],0),MATCH(D$22,eQuest_Schedule_Importer[#Headers],0)),"")</f>
        <v>#N/A</v>
      </c>
      <c r="E88" s="191" t="e">
        <f>IF(INDEX(eQuest_Schedule_Importer[#All],MATCH('eQuest Schedules'!$D$70,eQuest_Schedule_Importer[[#All],[Schedule Name]],0),MATCH('eQuest Schedules'!$C88,eQuest_Schedule_Importer[#Headers],0))="TRUE",INDEX(eQuest_Schedule_Importer[#All],MATCH('eQuest Schedules'!$D$70,eQuest_Schedule_Importer[[#All],[Schedule Name]],0),MATCH(E$22,eQuest_Schedule_Importer[#Headers],0)),"")</f>
        <v>#N/A</v>
      </c>
      <c r="F88" s="191" t="e">
        <f>IF(INDEX(eQuest_Schedule_Importer[#All],MATCH('eQuest Schedules'!$D$70,eQuest_Schedule_Importer[[#All],[Schedule Name]],0),MATCH('eQuest Schedules'!$C88,eQuest_Schedule_Importer[#Headers],0))="TRUE",INDEX(eQuest_Schedule_Importer[#All],MATCH('eQuest Schedules'!$D$70,eQuest_Schedule_Importer[[#All],[Schedule Name]],0),MATCH(F$22,eQuest_Schedule_Importer[#Headers],0)),"")</f>
        <v>#N/A</v>
      </c>
      <c r="G88" s="191" t="e">
        <f>IF(INDEX(eQuest_Schedule_Importer[#All],MATCH('eQuest Schedules'!$D$70,eQuest_Schedule_Importer[[#All],[Schedule Name]],0),MATCH('eQuest Schedules'!$C88,eQuest_Schedule_Importer[#Headers],0))="TRUE",INDEX(eQuest_Schedule_Importer[#All],MATCH('eQuest Schedules'!$D$70,eQuest_Schedule_Importer[[#All],[Schedule Name]],0),MATCH(G$22,eQuest_Schedule_Importer[#Headers],0)),"")</f>
        <v>#N/A</v>
      </c>
      <c r="H88" s="191" t="e">
        <f>IF(INDEX(eQuest_Schedule_Importer[#All],MATCH('eQuest Schedules'!$D$70,eQuest_Schedule_Importer[[#All],[Schedule Name]],0),MATCH('eQuest Schedules'!$C88,eQuest_Schedule_Importer[#Headers],0))="TRUE",INDEX(eQuest_Schedule_Importer[#All],MATCH('eQuest Schedules'!$D$70,eQuest_Schedule_Importer[[#All],[Schedule Name]],0),MATCH(H$22,eQuest_Schedule_Importer[#Headers],0)),"")</f>
        <v>#N/A</v>
      </c>
      <c r="I88" s="191" t="e">
        <f>IF(INDEX(eQuest_Schedule_Importer[#All],MATCH('eQuest Schedules'!$D$70,eQuest_Schedule_Importer[[#All],[Schedule Name]],0),MATCH('eQuest Schedules'!$C88,eQuest_Schedule_Importer[#Headers],0))="TRUE",INDEX(eQuest_Schedule_Importer[#All],MATCH('eQuest Schedules'!$D$70,eQuest_Schedule_Importer[[#All],[Schedule Name]],0),MATCH(I$22,eQuest_Schedule_Importer[#Headers],0)),"")</f>
        <v>#N/A</v>
      </c>
      <c r="J88" s="191" t="e">
        <f>IF(INDEX(eQuest_Schedule_Importer[#All],MATCH('eQuest Schedules'!$D$70,eQuest_Schedule_Importer[[#All],[Schedule Name]],0),MATCH('eQuest Schedules'!$C88,eQuest_Schedule_Importer[#Headers],0))="TRUE",INDEX(eQuest_Schedule_Importer[#All],MATCH('eQuest Schedules'!$D$70,eQuest_Schedule_Importer[[#All],[Schedule Name]],0),MATCH(J$22,eQuest_Schedule_Importer[#Headers],0)),"")</f>
        <v>#N/A</v>
      </c>
      <c r="K88" s="191" t="e">
        <f>IF(INDEX(eQuest_Schedule_Importer[#All],MATCH('eQuest Schedules'!$D$70,eQuest_Schedule_Importer[[#All],[Schedule Name]],0),MATCH('eQuest Schedules'!$C88,eQuest_Schedule_Importer[#Headers],0))="TRUE",INDEX(eQuest_Schedule_Importer[#All],MATCH('eQuest Schedules'!$D$70,eQuest_Schedule_Importer[[#All],[Schedule Name]],0),MATCH(K$22,eQuest_Schedule_Importer[#Headers],0)),"")</f>
        <v>#N/A</v>
      </c>
      <c r="L88" s="191" t="e">
        <f>IF(INDEX(eQuest_Schedule_Importer[#All],MATCH('eQuest Schedules'!$D$70,eQuest_Schedule_Importer[[#All],[Schedule Name]],0),MATCH('eQuest Schedules'!$C88,eQuest_Schedule_Importer[#Headers],0))="TRUE",INDEX(eQuest_Schedule_Importer[#All],MATCH('eQuest Schedules'!$D$70,eQuest_Schedule_Importer[[#All],[Schedule Name]],0),MATCH(L$22,eQuest_Schedule_Importer[#Headers],0)),"")</f>
        <v>#N/A</v>
      </c>
      <c r="M88" s="191" t="e">
        <f>IF(INDEX(eQuest_Schedule_Importer[#All],MATCH('eQuest Schedules'!$D$70,eQuest_Schedule_Importer[[#All],[Schedule Name]],0),MATCH('eQuest Schedules'!$C88,eQuest_Schedule_Importer[#Headers],0))="TRUE",INDEX(eQuest_Schedule_Importer[#All],MATCH('eQuest Schedules'!$D$70,eQuest_Schedule_Importer[[#All],[Schedule Name]],0),MATCH(M$22,eQuest_Schedule_Importer[#Headers],0)),"")</f>
        <v>#N/A</v>
      </c>
      <c r="N88" s="191" t="e">
        <f>IF(INDEX(eQuest_Schedule_Importer[#All],MATCH('eQuest Schedules'!$D$70,eQuest_Schedule_Importer[[#All],[Schedule Name]],0),MATCH('eQuest Schedules'!$C88,eQuest_Schedule_Importer[#Headers],0))="TRUE",INDEX(eQuest_Schedule_Importer[#All],MATCH('eQuest Schedules'!$D$70,eQuest_Schedule_Importer[[#All],[Schedule Name]],0),MATCH(N$22,eQuest_Schedule_Importer[#Headers],0)),"")</f>
        <v>#N/A</v>
      </c>
      <c r="O88" s="191" t="e">
        <f>IF(INDEX(eQuest_Schedule_Importer[#All],MATCH('eQuest Schedules'!$D$70,eQuest_Schedule_Importer[[#All],[Schedule Name]],0),MATCH('eQuest Schedules'!$C88,eQuest_Schedule_Importer[#Headers],0))="TRUE",INDEX(eQuest_Schedule_Importer[#All],MATCH('eQuest Schedules'!$D$70,eQuest_Schedule_Importer[[#All],[Schedule Name]],0),MATCH(O$22,eQuest_Schedule_Importer[#Headers],0)),"")</f>
        <v>#N/A</v>
      </c>
      <c r="P88" s="191" t="e">
        <f>IF(INDEX(eQuest_Schedule_Importer[#All],MATCH('eQuest Schedules'!$D$70,eQuest_Schedule_Importer[[#All],[Schedule Name]],0),MATCH('eQuest Schedules'!$C88,eQuest_Schedule_Importer[#Headers],0))="TRUE",INDEX(eQuest_Schedule_Importer[#All],MATCH('eQuest Schedules'!$D$70,eQuest_Schedule_Importer[[#All],[Schedule Name]],0),MATCH(P$22,eQuest_Schedule_Importer[#Headers],0)),"")</f>
        <v>#N/A</v>
      </c>
      <c r="Q88" s="191" t="e">
        <f>IF(INDEX(eQuest_Schedule_Importer[#All],MATCH('eQuest Schedules'!$D$70,eQuest_Schedule_Importer[[#All],[Schedule Name]],0),MATCH('eQuest Schedules'!$C88,eQuest_Schedule_Importer[#Headers],0))="TRUE",INDEX(eQuest_Schedule_Importer[#All],MATCH('eQuest Schedules'!$D$70,eQuest_Schedule_Importer[[#All],[Schedule Name]],0),MATCH(Q$22,eQuest_Schedule_Importer[#Headers],0)),"")</f>
        <v>#N/A</v>
      </c>
      <c r="R88" s="191" t="e">
        <f>IF(INDEX(eQuest_Schedule_Importer[#All],MATCH('eQuest Schedules'!$D$70,eQuest_Schedule_Importer[[#All],[Schedule Name]],0),MATCH('eQuest Schedules'!$C88,eQuest_Schedule_Importer[#Headers],0))="TRUE",INDEX(eQuest_Schedule_Importer[#All],MATCH('eQuest Schedules'!$D$70,eQuest_Schedule_Importer[[#All],[Schedule Name]],0),MATCH(R$22,eQuest_Schedule_Importer[#Headers],0)),"")</f>
        <v>#N/A</v>
      </c>
      <c r="S88" s="191" t="e">
        <f>IF(INDEX(eQuest_Schedule_Importer[#All],MATCH('eQuest Schedules'!$D$70,eQuest_Schedule_Importer[[#All],[Schedule Name]],0),MATCH('eQuest Schedules'!$C88,eQuest_Schedule_Importer[#Headers],0))="TRUE",INDEX(eQuest_Schedule_Importer[#All],MATCH('eQuest Schedules'!$D$70,eQuest_Schedule_Importer[[#All],[Schedule Name]],0),MATCH(S$22,eQuest_Schedule_Importer[#Headers],0)),"")</f>
        <v>#N/A</v>
      </c>
      <c r="T88" s="191" t="e">
        <f>IF(INDEX(eQuest_Schedule_Importer[#All],MATCH('eQuest Schedules'!$D$70,eQuest_Schedule_Importer[[#All],[Schedule Name]],0),MATCH('eQuest Schedules'!$C88,eQuest_Schedule_Importer[#Headers],0))="TRUE",INDEX(eQuest_Schedule_Importer[#All],MATCH('eQuest Schedules'!$D$70,eQuest_Schedule_Importer[[#All],[Schedule Name]],0),MATCH(T$22,eQuest_Schedule_Importer[#Headers],0)),"")</f>
        <v>#N/A</v>
      </c>
      <c r="U88" s="191" t="e">
        <f>IF(INDEX(eQuest_Schedule_Importer[#All],MATCH('eQuest Schedules'!$D$70,eQuest_Schedule_Importer[[#All],[Schedule Name]],0),MATCH('eQuest Schedules'!$C88,eQuest_Schedule_Importer[#Headers],0))="TRUE",INDEX(eQuest_Schedule_Importer[#All],MATCH('eQuest Schedules'!$D$70,eQuest_Schedule_Importer[[#All],[Schedule Name]],0),MATCH(U$22,eQuest_Schedule_Importer[#Headers],0)),"")</f>
        <v>#N/A</v>
      </c>
      <c r="V88" s="191" t="e">
        <f>IF(INDEX(eQuest_Schedule_Importer[#All],MATCH('eQuest Schedules'!$D$70,eQuest_Schedule_Importer[[#All],[Schedule Name]],0),MATCH('eQuest Schedules'!$C88,eQuest_Schedule_Importer[#Headers],0))="TRUE",INDEX(eQuest_Schedule_Importer[#All],MATCH('eQuest Schedules'!$D$70,eQuest_Schedule_Importer[[#All],[Schedule Name]],0),MATCH(V$22,eQuest_Schedule_Importer[#Headers],0)),"")</f>
        <v>#N/A</v>
      </c>
      <c r="W88" s="191" t="e">
        <f>IF(INDEX(eQuest_Schedule_Importer[#All],MATCH('eQuest Schedules'!$D$70,eQuest_Schedule_Importer[[#All],[Schedule Name]],0),MATCH('eQuest Schedules'!$C88,eQuest_Schedule_Importer[#Headers],0))="TRUE",INDEX(eQuest_Schedule_Importer[#All],MATCH('eQuest Schedules'!$D$70,eQuest_Schedule_Importer[[#All],[Schedule Name]],0),MATCH(W$22,eQuest_Schedule_Importer[#Headers],0)),"")</f>
        <v>#N/A</v>
      </c>
      <c r="X88" s="191" t="e">
        <f>IF(INDEX(eQuest_Schedule_Importer[#All],MATCH('eQuest Schedules'!$D$70,eQuest_Schedule_Importer[[#All],[Schedule Name]],0),MATCH('eQuest Schedules'!$C88,eQuest_Schedule_Importer[#Headers],0))="TRUE",INDEX(eQuest_Schedule_Importer[#All],MATCH('eQuest Schedules'!$D$70,eQuest_Schedule_Importer[[#All],[Schedule Name]],0),MATCH(X$22,eQuest_Schedule_Importer[#Headers],0)),"")</f>
        <v>#N/A</v>
      </c>
      <c r="Y88" s="191" t="e">
        <f>IF(INDEX(eQuest_Schedule_Importer[#All],MATCH('eQuest Schedules'!$D$70,eQuest_Schedule_Importer[[#All],[Schedule Name]],0),MATCH('eQuest Schedules'!$C88,eQuest_Schedule_Importer[#Headers],0))="TRUE",INDEX(eQuest_Schedule_Importer[#All],MATCH('eQuest Schedules'!$D$70,eQuest_Schedule_Importer[[#All],[Schedule Name]],0),MATCH(Y$22,eQuest_Schedule_Importer[#Headers],0)),"")</f>
        <v>#N/A</v>
      </c>
      <c r="Z88" s="191" t="e">
        <f>IF(INDEX(eQuest_Schedule_Importer[#All],MATCH('eQuest Schedules'!$D$70,eQuest_Schedule_Importer[[#All],[Schedule Name]],0),MATCH('eQuest Schedules'!$C88,eQuest_Schedule_Importer[#Headers],0))="TRUE",INDEX(eQuest_Schedule_Importer[#All],MATCH('eQuest Schedules'!$D$70,eQuest_Schedule_Importer[[#All],[Schedule Name]],0),MATCH(Z$22,eQuest_Schedule_Importer[#Headers],0)),"")</f>
        <v>#N/A</v>
      </c>
      <c r="AA88" s="191" t="e">
        <f>IF(INDEX(eQuest_Schedule_Importer[#All],MATCH('eQuest Schedules'!$D$70,eQuest_Schedule_Importer[[#All],[Schedule Name]],0),MATCH('eQuest Schedules'!$C88,eQuest_Schedule_Importer[#Headers],0))="TRUE",INDEX(eQuest_Schedule_Importer[#All],MATCH('eQuest Schedules'!$D$70,eQuest_Schedule_Importer[[#All],[Schedule Name]],0),MATCH(AA$22,eQuest_Schedule_Importer[#Headers],0)),"")</f>
        <v>#N/A</v>
      </c>
    </row>
    <row r="90" spans="1:29" x14ac:dyDescent="0.25">
      <c r="A90" s="192"/>
      <c r="B90" s="192"/>
      <c r="C90" s="192"/>
      <c r="D90" s="192"/>
      <c r="E90" s="192"/>
      <c r="F90" s="192"/>
      <c r="G90" s="192"/>
      <c r="H90" s="192"/>
      <c r="I90" s="192"/>
      <c r="J90" s="192"/>
      <c r="K90" s="192"/>
      <c r="L90" s="192"/>
      <c r="M90" s="192"/>
      <c r="N90" s="192"/>
      <c r="O90" s="192"/>
      <c r="P90" s="192"/>
      <c r="Q90" s="192"/>
      <c r="R90" s="192"/>
      <c r="S90" s="192"/>
      <c r="T90" s="192"/>
      <c r="U90" s="192"/>
      <c r="V90" s="192"/>
      <c r="W90" s="192"/>
      <c r="X90" s="192"/>
      <c r="Y90" s="192"/>
      <c r="Z90" s="192"/>
      <c r="AA90" s="192"/>
      <c r="AB90" s="192"/>
      <c r="AC90" s="192"/>
    </row>
    <row r="91" spans="1:29" ht="15.75" x14ac:dyDescent="0.25">
      <c r="D91" s="764"/>
      <c r="E91" s="764"/>
      <c r="F91" s="764"/>
      <c r="G91" s="764"/>
      <c r="H91" s="764"/>
      <c r="I91" s="764"/>
      <c r="J91" s="764"/>
      <c r="K91" s="764"/>
      <c r="L91" s="764"/>
      <c r="M91" s="764"/>
    </row>
    <row r="107" spans="1:29" x14ac:dyDescent="0.25">
      <c r="C107" t="s">
        <v>1025</v>
      </c>
      <c r="D107" s="191" t="e">
        <f>IF(INDEX(eQuest_Schedule_Importer[#All],MATCH('eQuest Schedules'!$D$91,eQuest_Schedule_Importer[[#All],[Schedule Name]],0),MATCH('eQuest Schedules'!$C107,eQuest_Schedule_Importer[#Headers],0))="TRUE",INDEX(eQuest_Schedule_Importer[#All],MATCH('eQuest Schedules'!$D$91,eQuest_Schedule_Importer[[#All],[Schedule Name]],0),MATCH(D$22,eQuest_Schedule_Importer[#Headers],0)),"")</f>
        <v>#N/A</v>
      </c>
      <c r="E107" s="191" t="e">
        <f>IF(INDEX(eQuest_Schedule_Importer[#All],MATCH('eQuest Schedules'!$D$91,eQuest_Schedule_Importer[[#All],[Schedule Name]],0),MATCH('eQuest Schedules'!$C107,eQuest_Schedule_Importer[#Headers],0))="TRUE",INDEX(eQuest_Schedule_Importer[#All],MATCH('eQuest Schedules'!$D$91,eQuest_Schedule_Importer[[#All],[Schedule Name]],0),MATCH(E$22,eQuest_Schedule_Importer[#Headers],0)),"")</f>
        <v>#N/A</v>
      </c>
      <c r="F107" s="191" t="e">
        <f>IF(INDEX(eQuest_Schedule_Importer[#All],MATCH('eQuest Schedules'!$D$91,eQuest_Schedule_Importer[[#All],[Schedule Name]],0),MATCH('eQuest Schedules'!$C107,eQuest_Schedule_Importer[#Headers],0))="TRUE",INDEX(eQuest_Schedule_Importer[#All],MATCH('eQuest Schedules'!$D$91,eQuest_Schedule_Importer[[#All],[Schedule Name]],0),MATCH(F$22,eQuest_Schedule_Importer[#Headers],0)),"")</f>
        <v>#N/A</v>
      </c>
      <c r="G107" s="191" t="e">
        <f>IF(INDEX(eQuest_Schedule_Importer[#All],MATCH('eQuest Schedules'!$D$91,eQuest_Schedule_Importer[[#All],[Schedule Name]],0),MATCH('eQuest Schedules'!$C107,eQuest_Schedule_Importer[#Headers],0))="TRUE",INDEX(eQuest_Schedule_Importer[#All],MATCH('eQuest Schedules'!$D$91,eQuest_Schedule_Importer[[#All],[Schedule Name]],0),MATCH(G$22,eQuest_Schedule_Importer[#Headers],0)),"")</f>
        <v>#N/A</v>
      </c>
      <c r="H107" s="191" t="e">
        <f>IF(INDEX(eQuest_Schedule_Importer[#All],MATCH('eQuest Schedules'!$D$91,eQuest_Schedule_Importer[[#All],[Schedule Name]],0),MATCH('eQuest Schedules'!$C107,eQuest_Schedule_Importer[#Headers],0))="TRUE",INDEX(eQuest_Schedule_Importer[#All],MATCH('eQuest Schedules'!$D$91,eQuest_Schedule_Importer[[#All],[Schedule Name]],0),MATCH(H$22,eQuest_Schedule_Importer[#Headers],0)),"")</f>
        <v>#N/A</v>
      </c>
      <c r="I107" s="191" t="e">
        <f>IF(INDEX(eQuest_Schedule_Importer[#All],MATCH('eQuest Schedules'!$D$91,eQuest_Schedule_Importer[[#All],[Schedule Name]],0),MATCH('eQuest Schedules'!$C107,eQuest_Schedule_Importer[#Headers],0))="TRUE",INDEX(eQuest_Schedule_Importer[#All],MATCH('eQuest Schedules'!$D$91,eQuest_Schedule_Importer[[#All],[Schedule Name]],0),MATCH(I$22,eQuest_Schedule_Importer[#Headers],0)),"")</f>
        <v>#N/A</v>
      </c>
      <c r="J107" s="191" t="e">
        <f>IF(INDEX(eQuest_Schedule_Importer[#All],MATCH('eQuest Schedules'!$D$91,eQuest_Schedule_Importer[[#All],[Schedule Name]],0),MATCH('eQuest Schedules'!$C107,eQuest_Schedule_Importer[#Headers],0))="TRUE",INDEX(eQuest_Schedule_Importer[#All],MATCH('eQuest Schedules'!$D$91,eQuest_Schedule_Importer[[#All],[Schedule Name]],0),MATCH(J$22,eQuest_Schedule_Importer[#Headers],0)),"")</f>
        <v>#N/A</v>
      </c>
      <c r="K107" s="191" t="e">
        <f>IF(INDEX(eQuest_Schedule_Importer[#All],MATCH('eQuest Schedules'!$D$91,eQuest_Schedule_Importer[[#All],[Schedule Name]],0),MATCH('eQuest Schedules'!$C107,eQuest_Schedule_Importer[#Headers],0))="TRUE",INDEX(eQuest_Schedule_Importer[#All],MATCH('eQuest Schedules'!$D$91,eQuest_Schedule_Importer[[#All],[Schedule Name]],0),MATCH(K$22,eQuest_Schedule_Importer[#Headers],0)),"")</f>
        <v>#N/A</v>
      </c>
      <c r="L107" s="191" t="e">
        <f>IF(INDEX(eQuest_Schedule_Importer[#All],MATCH('eQuest Schedules'!$D$91,eQuest_Schedule_Importer[[#All],[Schedule Name]],0),MATCH('eQuest Schedules'!$C107,eQuest_Schedule_Importer[#Headers],0))="TRUE",INDEX(eQuest_Schedule_Importer[#All],MATCH('eQuest Schedules'!$D$91,eQuest_Schedule_Importer[[#All],[Schedule Name]],0),MATCH(L$22,eQuest_Schedule_Importer[#Headers],0)),"")</f>
        <v>#N/A</v>
      </c>
      <c r="M107" s="191" t="e">
        <f>IF(INDEX(eQuest_Schedule_Importer[#All],MATCH('eQuest Schedules'!$D$91,eQuest_Schedule_Importer[[#All],[Schedule Name]],0),MATCH('eQuest Schedules'!$C107,eQuest_Schedule_Importer[#Headers],0))="TRUE",INDEX(eQuest_Schedule_Importer[#All],MATCH('eQuest Schedules'!$D$91,eQuest_Schedule_Importer[[#All],[Schedule Name]],0),MATCH(M$22,eQuest_Schedule_Importer[#Headers],0)),"")</f>
        <v>#N/A</v>
      </c>
      <c r="N107" s="191" t="e">
        <f>IF(INDEX(eQuest_Schedule_Importer[#All],MATCH('eQuest Schedules'!$D$91,eQuest_Schedule_Importer[[#All],[Schedule Name]],0),MATCH('eQuest Schedules'!$C107,eQuest_Schedule_Importer[#Headers],0))="TRUE",INDEX(eQuest_Schedule_Importer[#All],MATCH('eQuest Schedules'!$D$91,eQuest_Schedule_Importer[[#All],[Schedule Name]],0),MATCH(N$22,eQuest_Schedule_Importer[#Headers],0)),"")</f>
        <v>#N/A</v>
      </c>
      <c r="O107" s="191" t="e">
        <f>IF(INDEX(eQuest_Schedule_Importer[#All],MATCH('eQuest Schedules'!$D$91,eQuest_Schedule_Importer[[#All],[Schedule Name]],0),MATCH('eQuest Schedules'!$C107,eQuest_Schedule_Importer[#Headers],0))="TRUE",INDEX(eQuest_Schedule_Importer[#All],MATCH('eQuest Schedules'!$D$91,eQuest_Schedule_Importer[[#All],[Schedule Name]],0),MATCH(O$22,eQuest_Schedule_Importer[#Headers],0)),"")</f>
        <v>#N/A</v>
      </c>
      <c r="P107" s="191" t="e">
        <f>IF(INDEX(eQuest_Schedule_Importer[#All],MATCH('eQuest Schedules'!$D$91,eQuest_Schedule_Importer[[#All],[Schedule Name]],0),MATCH('eQuest Schedules'!$C107,eQuest_Schedule_Importer[#Headers],0))="TRUE",INDEX(eQuest_Schedule_Importer[#All],MATCH('eQuest Schedules'!$D$91,eQuest_Schedule_Importer[[#All],[Schedule Name]],0),MATCH(P$22,eQuest_Schedule_Importer[#Headers],0)),"")</f>
        <v>#N/A</v>
      </c>
      <c r="Q107" s="191" t="e">
        <f>IF(INDEX(eQuest_Schedule_Importer[#All],MATCH('eQuest Schedules'!$D$91,eQuest_Schedule_Importer[[#All],[Schedule Name]],0),MATCH('eQuest Schedules'!$C107,eQuest_Schedule_Importer[#Headers],0))="TRUE",INDEX(eQuest_Schedule_Importer[#All],MATCH('eQuest Schedules'!$D$91,eQuest_Schedule_Importer[[#All],[Schedule Name]],0),MATCH(Q$22,eQuest_Schedule_Importer[#Headers],0)),"")</f>
        <v>#N/A</v>
      </c>
      <c r="R107" s="191" t="e">
        <f>IF(INDEX(eQuest_Schedule_Importer[#All],MATCH('eQuest Schedules'!$D$91,eQuest_Schedule_Importer[[#All],[Schedule Name]],0),MATCH('eQuest Schedules'!$C107,eQuest_Schedule_Importer[#Headers],0))="TRUE",INDEX(eQuest_Schedule_Importer[#All],MATCH('eQuest Schedules'!$D$91,eQuest_Schedule_Importer[[#All],[Schedule Name]],0),MATCH(R$22,eQuest_Schedule_Importer[#Headers],0)),"")</f>
        <v>#N/A</v>
      </c>
      <c r="S107" s="191" t="e">
        <f>IF(INDEX(eQuest_Schedule_Importer[#All],MATCH('eQuest Schedules'!$D$91,eQuest_Schedule_Importer[[#All],[Schedule Name]],0),MATCH('eQuest Schedules'!$C107,eQuest_Schedule_Importer[#Headers],0))="TRUE",INDEX(eQuest_Schedule_Importer[#All],MATCH('eQuest Schedules'!$D$91,eQuest_Schedule_Importer[[#All],[Schedule Name]],0),MATCH(S$22,eQuest_Schedule_Importer[#Headers],0)),"")</f>
        <v>#N/A</v>
      </c>
      <c r="T107" s="191" t="e">
        <f>IF(INDEX(eQuest_Schedule_Importer[#All],MATCH('eQuest Schedules'!$D$91,eQuest_Schedule_Importer[[#All],[Schedule Name]],0),MATCH('eQuest Schedules'!$C107,eQuest_Schedule_Importer[#Headers],0))="TRUE",INDEX(eQuest_Schedule_Importer[#All],MATCH('eQuest Schedules'!$D$91,eQuest_Schedule_Importer[[#All],[Schedule Name]],0),MATCH(T$22,eQuest_Schedule_Importer[#Headers],0)),"")</f>
        <v>#N/A</v>
      </c>
      <c r="U107" s="191" t="e">
        <f>IF(INDEX(eQuest_Schedule_Importer[#All],MATCH('eQuest Schedules'!$D$91,eQuest_Schedule_Importer[[#All],[Schedule Name]],0),MATCH('eQuest Schedules'!$C107,eQuest_Schedule_Importer[#Headers],0))="TRUE",INDEX(eQuest_Schedule_Importer[#All],MATCH('eQuest Schedules'!$D$91,eQuest_Schedule_Importer[[#All],[Schedule Name]],0),MATCH(U$22,eQuest_Schedule_Importer[#Headers],0)),"")</f>
        <v>#N/A</v>
      </c>
      <c r="V107" s="191" t="e">
        <f>IF(INDEX(eQuest_Schedule_Importer[#All],MATCH('eQuest Schedules'!$D$91,eQuest_Schedule_Importer[[#All],[Schedule Name]],0),MATCH('eQuest Schedules'!$C107,eQuest_Schedule_Importer[#Headers],0))="TRUE",INDEX(eQuest_Schedule_Importer[#All],MATCH('eQuest Schedules'!$D$91,eQuest_Schedule_Importer[[#All],[Schedule Name]],0),MATCH(V$22,eQuest_Schedule_Importer[#Headers],0)),"")</f>
        <v>#N/A</v>
      </c>
      <c r="W107" s="191" t="e">
        <f>IF(INDEX(eQuest_Schedule_Importer[#All],MATCH('eQuest Schedules'!$D$91,eQuest_Schedule_Importer[[#All],[Schedule Name]],0),MATCH('eQuest Schedules'!$C107,eQuest_Schedule_Importer[#Headers],0))="TRUE",INDEX(eQuest_Schedule_Importer[#All],MATCH('eQuest Schedules'!$D$91,eQuest_Schedule_Importer[[#All],[Schedule Name]],0),MATCH(W$22,eQuest_Schedule_Importer[#Headers],0)),"")</f>
        <v>#N/A</v>
      </c>
      <c r="X107" s="191" t="e">
        <f>IF(INDEX(eQuest_Schedule_Importer[#All],MATCH('eQuest Schedules'!$D$91,eQuest_Schedule_Importer[[#All],[Schedule Name]],0),MATCH('eQuest Schedules'!$C107,eQuest_Schedule_Importer[#Headers],0))="TRUE",INDEX(eQuest_Schedule_Importer[#All],MATCH('eQuest Schedules'!$D$91,eQuest_Schedule_Importer[[#All],[Schedule Name]],0),MATCH(X$22,eQuest_Schedule_Importer[#Headers],0)),"")</f>
        <v>#N/A</v>
      </c>
      <c r="Y107" s="191" t="e">
        <f>IF(INDEX(eQuest_Schedule_Importer[#All],MATCH('eQuest Schedules'!$D$91,eQuest_Schedule_Importer[[#All],[Schedule Name]],0),MATCH('eQuest Schedules'!$C107,eQuest_Schedule_Importer[#Headers],0))="TRUE",INDEX(eQuest_Schedule_Importer[#All],MATCH('eQuest Schedules'!$D$91,eQuest_Schedule_Importer[[#All],[Schedule Name]],0),MATCH(Y$22,eQuest_Schedule_Importer[#Headers],0)),"")</f>
        <v>#N/A</v>
      </c>
      <c r="Z107" s="191" t="e">
        <f>IF(INDEX(eQuest_Schedule_Importer[#All],MATCH('eQuest Schedules'!$D$91,eQuest_Schedule_Importer[[#All],[Schedule Name]],0),MATCH('eQuest Schedules'!$C107,eQuest_Schedule_Importer[#Headers],0))="TRUE",INDEX(eQuest_Schedule_Importer[#All],MATCH('eQuest Schedules'!$D$91,eQuest_Schedule_Importer[[#All],[Schedule Name]],0),MATCH(Z$22,eQuest_Schedule_Importer[#Headers],0)),"")</f>
        <v>#N/A</v>
      </c>
      <c r="AA107" s="191" t="e">
        <f>IF(INDEX(eQuest_Schedule_Importer[#All],MATCH('eQuest Schedules'!$D$91,eQuest_Schedule_Importer[[#All],[Schedule Name]],0),MATCH('eQuest Schedules'!$C107,eQuest_Schedule_Importer[#Headers],0))="TRUE",INDEX(eQuest_Schedule_Importer[#All],MATCH('eQuest Schedules'!$D$91,eQuest_Schedule_Importer[[#All],[Schedule Name]],0),MATCH(AA$22,eQuest_Schedule_Importer[#Headers],0)),"")</f>
        <v>#N/A</v>
      </c>
    </row>
    <row r="108" spans="1:29" x14ac:dyDescent="0.25">
      <c r="C108" t="s">
        <v>1026</v>
      </c>
      <c r="D108" s="191" t="e">
        <f>IF(INDEX(eQuest_Schedule_Importer[#All],MATCH('eQuest Schedules'!$D$91,eQuest_Schedule_Importer[[#All],[Schedule Name]],0),MATCH('eQuest Schedules'!$C108,eQuest_Schedule_Importer[#Headers],0))="TRUE",INDEX(eQuest_Schedule_Importer[#All],MATCH('eQuest Schedules'!$D$91,eQuest_Schedule_Importer[[#All],[Schedule Name]],0),MATCH(D$22,eQuest_Schedule_Importer[#Headers],0)),"")</f>
        <v>#N/A</v>
      </c>
      <c r="E108" s="191" t="e">
        <f>IF(INDEX(eQuest_Schedule_Importer[#All],MATCH('eQuest Schedules'!$D$91,eQuest_Schedule_Importer[[#All],[Schedule Name]],0),MATCH('eQuest Schedules'!$C108,eQuest_Schedule_Importer[#Headers],0))="TRUE",INDEX(eQuest_Schedule_Importer[#All],MATCH('eQuest Schedules'!$D$91,eQuest_Schedule_Importer[[#All],[Schedule Name]],0),MATCH(E$22,eQuest_Schedule_Importer[#Headers],0)),"")</f>
        <v>#N/A</v>
      </c>
      <c r="F108" s="191" t="e">
        <f>IF(INDEX(eQuest_Schedule_Importer[#All],MATCH('eQuest Schedules'!$D$91,eQuest_Schedule_Importer[[#All],[Schedule Name]],0),MATCH('eQuest Schedules'!$C108,eQuest_Schedule_Importer[#Headers],0))="TRUE",INDEX(eQuest_Schedule_Importer[#All],MATCH('eQuest Schedules'!$D$91,eQuest_Schedule_Importer[[#All],[Schedule Name]],0),MATCH(F$22,eQuest_Schedule_Importer[#Headers],0)),"")</f>
        <v>#N/A</v>
      </c>
      <c r="G108" s="191" t="e">
        <f>IF(INDEX(eQuest_Schedule_Importer[#All],MATCH('eQuest Schedules'!$D$91,eQuest_Schedule_Importer[[#All],[Schedule Name]],0),MATCH('eQuest Schedules'!$C108,eQuest_Schedule_Importer[#Headers],0))="TRUE",INDEX(eQuest_Schedule_Importer[#All],MATCH('eQuest Schedules'!$D$91,eQuest_Schedule_Importer[[#All],[Schedule Name]],0),MATCH(G$22,eQuest_Schedule_Importer[#Headers],0)),"")</f>
        <v>#N/A</v>
      </c>
      <c r="H108" s="191" t="e">
        <f>IF(INDEX(eQuest_Schedule_Importer[#All],MATCH('eQuest Schedules'!$D$91,eQuest_Schedule_Importer[[#All],[Schedule Name]],0),MATCH('eQuest Schedules'!$C108,eQuest_Schedule_Importer[#Headers],0))="TRUE",INDEX(eQuest_Schedule_Importer[#All],MATCH('eQuest Schedules'!$D$91,eQuest_Schedule_Importer[[#All],[Schedule Name]],0),MATCH(H$22,eQuest_Schedule_Importer[#Headers],0)),"")</f>
        <v>#N/A</v>
      </c>
      <c r="I108" s="191" t="e">
        <f>IF(INDEX(eQuest_Schedule_Importer[#All],MATCH('eQuest Schedules'!$D$91,eQuest_Schedule_Importer[[#All],[Schedule Name]],0),MATCH('eQuest Schedules'!$C108,eQuest_Schedule_Importer[#Headers],0))="TRUE",INDEX(eQuest_Schedule_Importer[#All],MATCH('eQuest Schedules'!$D$91,eQuest_Schedule_Importer[[#All],[Schedule Name]],0),MATCH(I$22,eQuest_Schedule_Importer[#Headers],0)),"")</f>
        <v>#N/A</v>
      </c>
      <c r="J108" s="191" t="e">
        <f>IF(INDEX(eQuest_Schedule_Importer[#All],MATCH('eQuest Schedules'!$D$91,eQuest_Schedule_Importer[[#All],[Schedule Name]],0),MATCH('eQuest Schedules'!$C108,eQuest_Schedule_Importer[#Headers],0))="TRUE",INDEX(eQuest_Schedule_Importer[#All],MATCH('eQuest Schedules'!$D$91,eQuest_Schedule_Importer[[#All],[Schedule Name]],0),MATCH(J$22,eQuest_Schedule_Importer[#Headers],0)),"")</f>
        <v>#N/A</v>
      </c>
      <c r="K108" s="191" t="e">
        <f>IF(INDEX(eQuest_Schedule_Importer[#All],MATCH('eQuest Schedules'!$D$91,eQuest_Schedule_Importer[[#All],[Schedule Name]],0),MATCH('eQuest Schedules'!$C108,eQuest_Schedule_Importer[#Headers],0))="TRUE",INDEX(eQuest_Schedule_Importer[#All],MATCH('eQuest Schedules'!$D$91,eQuest_Schedule_Importer[[#All],[Schedule Name]],0),MATCH(K$22,eQuest_Schedule_Importer[#Headers],0)),"")</f>
        <v>#N/A</v>
      </c>
      <c r="L108" s="191" t="e">
        <f>IF(INDEX(eQuest_Schedule_Importer[#All],MATCH('eQuest Schedules'!$D$91,eQuest_Schedule_Importer[[#All],[Schedule Name]],0),MATCH('eQuest Schedules'!$C108,eQuest_Schedule_Importer[#Headers],0))="TRUE",INDEX(eQuest_Schedule_Importer[#All],MATCH('eQuest Schedules'!$D$91,eQuest_Schedule_Importer[[#All],[Schedule Name]],0),MATCH(L$22,eQuest_Schedule_Importer[#Headers],0)),"")</f>
        <v>#N/A</v>
      </c>
      <c r="M108" s="191" t="e">
        <f>IF(INDEX(eQuest_Schedule_Importer[#All],MATCH('eQuest Schedules'!$D$91,eQuest_Schedule_Importer[[#All],[Schedule Name]],0),MATCH('eQuest Schedules'!$C108,eQuest_Schedule_Importer[#Headers],0))="TRUE",INDEX(eQuest_Schedule_Importer[#All],MATCH('eQuest Schedules'!$D$91,eQuest_Schedule_Importer[[#All],[Schedule Name]],0),MATCH(M$22,eQuest_Schedule_Importer[#Headers],0)),"")</f>
        <v>#N/A</v>
      </c>
      <c r="N108" s="191" t="e">
        <f>IF(INDEX(eQuest_Schedule_Importer[#All],MATCH('eQuest Schedules'!$D$91,eQuest_Schedule_Importer[[#All],[Schedule Name]],0),MATCH('eQuest Schedules'!$C108,eQuest_Schedule_Importer[#Headers],0))="TRUE",INDEX(eQuest_Schedule_Importer[#All],MATCH('eQuest Schedules'!$D$91,eQuest_Schedule_Importer[[#All],[Schedule Name]],0),MATCH(N$22,eQuest_Schedule_Importer[#Headers],0)),"")</f>
        <v>#N/A</v>
      </c>
      <c r="O108" s="191" t="e">
        <f>IF(INDEX(eQuest_Schedule_Importer[#All],MATCH('eQuest Schedules'!$D$91,eQuest_Schedule_Importer[[#All],[Schedule Name]],0),MATCH('eQuest Schedules'!$C108,eQuest_Schedule_Importer[#Headers],0))="TRUE",INDEX(eQuest_Schedule_Importer[#All],MATCH('eQuest Schedules'!$D$91,eQuest_Schedule_Importer[[#All],[Schedule Name]],0),MATCH(O$22,eQuest_Schedule_Importer[#Headers],0)),"")</f>
        <v>#N/A</v>
      </c>
      <c r="P108" s="191" t="e">
        <f>IF(INDEX(eQuest_Schedule_Importer[#All],MATCH('eQuest Schedules'!$D$91,eQuest_Schedule_Importer[[#All],[Schedule Name]],0),MATCH('eQuest Schedules'!$C108,eQuest_Schedule_Importer[#Headers],0))="TRUE",INDEX(eQuest_Schedule_Importer[#All],MATCH('eQuest Schedules'!$D$91,eQuest_Schedule_Importer[[#All],[Schedule Name]],0),MATCH(P$22,eQuest_Schedule_Importer[#Headers],0)),"")</f>
        <v>#N/A</v>
      </c>
      <c r="Q108" s="191" t="e">
        <f>IF(INDEX(eQuest_Schedule_Importer[#All],MATCH('eQuest Schedules'!$D$91,eQuest_Schedule_Importer[[#All],[Schedule Name]],0),MATCH('eQuest Schedules'!$C108,eQuest_Schedule_Importer[#Headers],0))="TRUE",INDEX(eQuest_Schedule_Importer[#All],MATCH('eQuest Schedules'!$D$91,eQuest_Schedule_Importer[[#All],[Schedule Name]],0),MATCH(Q$22,eQuest_Schedule_Importer[#Headers],0)),"")</f>
        <v>#N/A</v>
      </c>
      <c r="R108" s="191" t="e">
        <f>IF(INDEX(eQuest_Schedule_Importer[#All],MATCH('eQuest Schedules'!$D$91,eQuest_Schedule_Importer[[#All],[Schedule Name]],0),MATCH('eQuest Schedules'!$C108,eQuest_Schedule_Importer[#Headers],0))="TRUE",INDEX(eQuest_Schedule_Importer[#All],MATCH('eQuest Schedules'!$D$91,eQuest_Schedule_Importer[[#All],[Schedule Name]],0),MATCH(R$22,eQuest_Schedule_Importer[#Headers],0)),"")</f>
        <v>#N/A</v>
      </c>
      <c r="S108" s="191" t="e">
        <f>IF(INDEX(eQuest_Schedule_Importer[#All],MATCH('eQuest Schedules'!$D$91,eQuest_Schedule_Importer[[#All],[Schedule Name]],0),MATCH('eQuest Schedules'!$C108,eQuest_Schedule_Importer[#Headers],0))="TRUE",INDEX(eQuest_Schedule_Importer[#All],MATCH('eQuest Schedules'!$D$91,eQuest_Schedule_Importer[[#All],[Schedule Name]],0),MATCH(S$22,eQuest_Schedule_Importer[#Headers],0)),"")</f>
        <v>#N/A</v>
      </c>
      <c r="T108" s="191" t="e">
        <f>IF(INDEX(eQuest_Schedule_Importer[#All],MATCH('eQuest Schedules'!$D$91,eQuest_Schedule_Importer[[#All],[Schedule Name]],0),MATCH('eQuest Schedules'!$C108,eQuest_Schedule_Importer[#Headers],0))="TRUE",INDEX(eQuest_Schedule_Importer[#All],MATCH('eQuest Schedules'!$D$91,eQuest_Schedule_Importer[[#All],[Schedule Name]],0),MATCH(T$22,eQuest_Schedule_Importer[#Headers],0)),"")</f>
        <v>#N/A</v>
      </c>
      <c r="U108" s="191" t="e">
        <f>IF(INDEX(eQuest_Schedule_Importer[#All],MATCH('eQuest Schedules'!$D$91,eQuest_Schedule_Importer[[#All],[Schedule Name]],0),MATCH('eQuest Schedules'!$C108,eQuest_Schedule_Importer[#Headers],0))="TRUE",INDEX(eQuest_Schedule_Importer[#All],MATCH('eQuest Schedules'!$D$91,eQuest_Schedule_Importer[[#All],[Schedule Name]],0),MATCH(U$22,eQuest_Schedule_Importer[#Headers],0)),"")</f>
        <v>#N/A</v>
      </c>
      <c r="V108" s="191" t="e">
        <f>IF(INDEX(eQuest_Schedule_Importer[#All],MATCH('eQuest Schedules'!$D$91,eQuest_Schedule_Importer[[#All],[Schedule Name]],0),MATCH('eQuest Schedules'!$C108,eQuest_Schedule_Importer[#Headers],0))="TRUE",INDEX(eQuest_Schedule_Importer[#All],MATCH('eQuest Schedules'!$D$91,eQuest_Schedule_Importer[[#All],[Schedule Name]],0),MATCH(V$22,eQuest_Schedule_Importer[#Headers],0)),"")</f>
        <v>#N/A</v>
      </c>
      <c r="W108" s="191" t="e">
        <f>IF(INDEX(eQuest_Schedule_Importer[#All],MATCH('eQuest Schedules'!$D$91,eQuest_Schedule_Importer[[#All],[Schedule Name]],0),MATCH('eQuest Schedules'!$C108,eQuest_Schedule_Importer[#Headers],0))="TRUE",INDEX(eQuest_Schedule_Importer[#All],MATCH('eQuest Schedules'!$D$91,eQuest_Schedule_Importer[[#All],[Schedule Name]],0),MATCH(W$22,eQuest_Schedule_Importer[#Headers],0)),"")</f>
        <v>#N/A</v>
      </c>
      <c r="X108" s="191" t="e">
        <f>IF(INDEX(eQuest_Schedule_Importer[#All],MATCH('eQuest Schedules'!$D$91,eQuest_Schedule_Importer[[#All],[Schedule Name]],0),MATCH('eQuest Schedules'!$C108,eQuest_Schedule_Importer[#Headers],0))="TRUE",INDEX(eQuest_Schedule_Importer[#All],MATCH('eQuest Schedules'!$D$91,eQuest_Schedule_Importer[[#All],[Schedule Name]],0),MATCH(X$22,eQuest_Schedule_Importer[#Headers],0)),"")</f>
        <v>#N/A</v>
      </c>
      <c r="Y108" s="191" t="e">
        <f>IF(INDEX(eQuest_Schedule_Importer[#All],MATCH('eQuest Schedules'!$D$91,eQuest_Schedule_Importer[[#All],[Schedule Name]],0),MATCH('eQuest Schedules'!$C108,eQuest_Schedule_Importer[#Headers],0))="TRUE",INDEX(eQuest_Schedule_Importer[#All],MATCH('eQuest Schedules'!$D$91,eQuest_Schedule_Importer[[#All],[Schedule Name]],0),MATCH(Y$22,eQuest_Schedule_Importer[#Headers],0)),"")</f>
        <v>#N/A</v>
      </c>
      <c r="Z108" s="191" t="e">
        <f>IF(INDEX(eQuest_Schedule_Importer[#All],MATCH('eQuest Schedules'!$D$91,eQuest_Schedule_Importer[[#All],[Schedule Name]],0),MATCH('eQuest Schedules'!$C108,eQuest_Schedule_Importer[#Headers],0))="TRUE",INDEX(eQuest_Schedule_Importer[#All],MATCH('eQuest Schedules'!$D$91,eQuest_Schedule_Importer[[#All],[Schedule Name]],0),MATCH(Z$22,eQuest_Schedule_Importer[#Headers],0)),"")</f>
        <v>#N/A</v>
      </c>
      <c r="AA108" s="191" t="e">
        <f>IF(INDEX(eQuest_Schedule_Importer[#All],MATCH('eQuest Schedules'!$D$91,eQuest_Schedule_Importer[[#All],[Schedule Name]],0),MATCH('eQuest Schedules'!$C108,eQuest_Schedule_Importer[#Headers],0))="TRUE",INDEX(eQuest_Schedule_Importer[#All],MATCH('eQuest Schedules'!$D$91,eQuest_Schedule_Importer[[#All],[Schedule Name]],0),MATCH(AA$22,eQuest_Schedule_Importer[#Headers],0)),"")</f>
        <v>#N/A</v>
      </c>
    </row>
    <row r="109" spans="1:29" x14ac:dyDescent="0.25">
      <c r="C109" t="s">
        <v>2077</v>
      </c>
      <c r="D109" s="191" t="e">
        <f>IF(INDEX(eQuest_Schedule_Importer[#All],MATCH('eQuest Schedules'!$D$91,eQuest_Schedule_Importer[[#All],[Schedule Name]],0),MATCH('eQuest Schedules'!$C109,eQuest_Schedule_Importer[#Headers],0))="TRUE",INDEX(eQuest_Schedule_Importer[#All],MATCH('eQuest Schedules'!$D$91,eQuest_Schedule_Importer[[#All],[Schedule Name]],0),MATCH(D$22,eQuest_Schedule_Importer[#Headers],0)),"")</f>
        <v>#N/A</v>
      </c>
      <c r="E109" s="191" t="e">
        <f>IF(INDEX(eQuest_Schedule_Importer[#All],MATCH('eQuest Schedules'!$D$91,eQuest_Schedule_Importer[[#All],[Schedule Name]],0),MATCH('eQuest Schedules'!$C109,eQuest_Schedule_Importer[#Headers],0))="TRUE",INDEX(eQuest_Schedule_Importer[#All],MATCH('eQuest Schedules'!$D$91,eQuest_Schedule_Importer[[#All],[Schedule Name]],0),MATCH(E$22,eQuest_Schedule_Importer[#Headers],0)),"")</f>
        <v>#N/A</v>
      </c>
      <c r="F109" s="191" t="e">
        <f>IF(INDEX(eQuest_Schedule_Importer[#All],MATCH('eQuest Schedules'!$D$91,eQuest_Schedule_Importer[[#All],[Schedule Name]],0),MATCH('eQuest Schedules'!$C109,eQuest_Schedule_Importer[#Headers],0))="TRUE",INDEX(eQuest_Schedule_Importer[#All],MATCH('eQuest Schedules'!$D$91,eQuest_Schedule_Importer[[#All],[Schedule Name]],0),MATCH(F$22,eQuest_Schedule_Importer[#Headers],0)),"")</f>
        <v>#N/A</v>
      </c>
      <c r="G109" s="191" t="e">
        <f>IF(INDEX(eQuest_Schedule_Importer[#All],MATCH('eQuest Schedules'!$D$91,eQuest_Schedule_Importer[[#All],[Schedule Name]],0),MATCH('eQuest Schedules'!$C109,eQuest_Schedule_Importer[#Headers],0))="TRUE",INDEX(eQuest_Schedule_Importer[#All],MATCH('eQuest Schedules'!$D$91,eQuest_Schedule_Importer[[#All],[Schedule Name]],0),MATCH(G$22,eQuest_Schedule_Importer[#Headers],0)),"")</f>
        <v>#N/A</v>
      </c>
      <c r="H109" s="191" t="e">
        <f>IF(INDEX(eQuest_Schedule_Importer[#All],MATCH('eQuest Schedules'!$D$91,eQuest_Schedule_Importer[[#All],[Schedule Name]],0),MATCH('eQuest Schedules'!$C109,eQuest_Schedule_Importer[#Headers],0))="TRUE",INDEX(eQuest_Schedule_Importer[#All],MATCH('eQuest Schedules'!$D$91,eQuest_Schedule_Importer[[#All],[Schedule Name]],0),MATCH(H$22,eQuest_Schedule_Importer[#Headers],0)),"")</f>
        <v>#N/A</v>
      </c>
      <c r="I109" s="191" t="e">
        <f>IF(INDEX(eQuest_Schedule_Importer[#All],MATCH('eQuest Schedules'!$D$91,eQuest_Schedule_Importer[[#All],[Schedule Name]],0),MATCH('eQuest Schedules'!$C109,eQuest_Schedule_Importer[#Headers],0))="TRUE",INDEX(eQuest_Schedule_Importer[#All],MATCH('eQuest Schedules'!$D$91,eQuest_Schedule_Importer[[#All],[Schedule Name]],0),MATCH(I$22,eQuest_Schedule_Importer[#Headers],0)),"")</f>
        <v>#N/A</v>
      </c>
      <c r="J109" s="191" t="e">
        <f>IF(INDEX(eQuest_Schedule_Importer[#All],MATCH('eQuest Schedules'!$D$91,eQuest_Schedule_Importer[[#All],[Schedule Name]],0),MATCH('eQuest Schedules'!$C109,eQuest_Schedule_Importer[#Headers],0))="TRUE",INDEX(eQuest_Schedule_Importer[#All],MATCH('eQuest Schedules'!$D$91,eQuest_Schedule_Importer[[#All],[Schedule Name]],0),MATCH(J$22,eQuest_Schedule_Importer[#Headers],0)),"")</f>
        <v>#N/A</v>
      </c>
      <c r="K109" s="191" t="e">
        <f>IF(INDEX(eQuest_Schedule_Importer[#All],MATCH('eQuest Schedules'!$D$91,eQuest_Schedule_Importer[[#All],[Schedule Name]],0),MATCH('eQuest Schedules'!$C109,eQuest_Schedule_Importer[#Headers],0))="TRUE",INDEX(eQuest_Schedule_Importer[#All],MATCH('eQuest Schedules'!$D$91,eQuest_Schedule_Importer[[#All],[Schedule Name]],0),MATCH(K$22,eQuest_Schedule_Importer[#Headers],0)),"")</f>
        <v>#N/A</v>
      </c>
      <c r="L109" s="191" t="e">
        <f>IF(INDEX(eQuest_Schedule_Importer[#All],MATCH('eQuest Schedules'!$D$91,eQuest_Schedule_Importer[[#All],[Schedule Name]],0),MATCH('eQuest Schedules'!$C109,eQuest_Schedule_Importer[#Headers],0))="TRUE",INDEX(eQuest_Schedule_Importer[#All],MATCH('eQuest Schedules'!$D$91,eQuest_Schedule_Importer[[#All],[Schedule Name]],0),MATCH(L$22,eQuest_Schedule_Importer[#Headers],0)),"")</f>
        <v>#N/A</v>
      </c>
      <c r="M109" s="191" t="e">
        <f>IF(INDEX(eQuest_Schedule_Importer[#All],MATCH('eQuest Schedules'!$D$91,eQuest_Schedule_Importer[[#All],[Schedule Name]],0),MATCH('eQuest Schedules'!$C109,eQuest_Schedule_Importer[#Headers],0))="TRUE",INDEX(eQuest_Schedule_Importer[#All],MATCH('eQuest Schedules'!$D$91,eQuest_Schedule_Importer[[#All],[Schedule Name]],0),MATCH(M$22,eQuest_Schedule_Importer[#Headers],0)),"")</f>
        <v>#N/A</v>
      </c>
      <c r="N109" s="191" t="e">
        <f>IF(INDEX(eQuest_Schedule_Importer[#All],MATCH('eQuest Schedules'!$D$91,eQuest_Schedule_Importer[[#All],[Schedule Name]],0),MATCH('eQuest Schedules'!$C109,eQuest_Schedule_Importer[#Headers],0))="TRUE",INDEX(eQuest_Schedule_Importer[#All],MATCH('eQuest Schedules'!$D$91,eQuest_Schedule_Importer[[#All],[Schedule Name]],0),MATCH(N$22,eQuest_Schedule_Importer[#Headers],0)),"")</f>
        <v>#N/A</v>
      </c>
      <c r="O109" s="191" t="e">
        <f>IF(INDEX(eQuest_Schedule_Importer[#All],MATCH('eQuest Schedules'!$D$91,eQuest_Schedule_Importer[[#All],[Schedule Name]],0),MATCH('eQuest Schedules'!$C109,eQuest_Schedule_Importer[#Headers],0))="TRUE",INDEX(eQuest_Schedule_Importer[#All],MATCH('eQuest Schedules'!$D$91,eQuest_Schedule_Importer[[#All],[Schedule Name]],0),MATCH(O$22,eQuest_Schedule_Importer[#Headers],0)),"")</f>
        <v>#N/A</v>
      </c>
      <c r="P109" s="191" t="e">
        <f>IF(INDEX(eQuest_Schedule_Importer[#All],MATCH('eQuest Schedules'!$D$91,eQuest_Schedule_Importer[[#All],[Schedule Name]],0),MATCH('eQuest Schedules'!$C109,eQuest_Schedule_Importer[#Headers],0))="TRUE",INDEX(eQuest_Schedule_Importer[#All],MATCH('eQuest Schedules'!$D$91,eQuest_Schedule_Importer[[#All],[Schedule Name]],0),MATCH(P$22,eQuest_Schedule_Importer[#Headers],0)),"")</f>
        <v>#N/A</v>
      </c>
      <c r="Q109" s="191" t="e">
        <f>IF(INDEX(eQuest_Schedule_Importer[#All],MATCH('eQuest Schedules'!$D$91,eQuest_Schedule_Importer[[#All],[Schedule Name]],0),MATCH('eQuest Schedules'!$C109,eQuest_Schedule_Importer[#Headers],0))="TRUE",INDEX(eQuest_Schedule_Importer[#All],MATCH('eQuest Schedules'!$D$91,eQuest_Schedule_Importer[[#All],[Schedule Name]],0),MATCH(Q$22,eQuest_Schedule_Importer[#Headers],0)),"")</f>
        <v>#N/A</v>
      </c>
      <c r="R109" s="191" t="e">
        <f>IF(INDEX(eQuest_Schedule_Importer[#All],MATCH('eQuest Schedules'!$D$91,eQuest_Schedule_Importer[[#All],[Schedule Name]],0),MATCH('eQuest Schedules'!$C109,eQuest_Schedule_Importer[#Headers],0))="TRUE",INDEX(eQuest_Schedule_Importer[#All],MATCH('eQuest Schedules'!$D$91,eQuest_Schedule_Importer[[#All],[Schedule Name]],0),MATCH(R$22,eQuest_Schedule_Importer[#Headers],0)),"")</f>
        <v>#N/A</v>
      </c>
      <c r="S109" s="191" t="e">
        <f>IF(INDEX(eQuest_Schedule_Importer[#All],MATCH('eQuest Schedules'!$D$91,eQuest_Schedule_Importer[[#All],[Schedule Name]],0),MATCH('eQuest Schedules'!$C109,eQuest_Schedule_Importer[#Headers],0))="TRUE",INDEX(eQuest_Schedule_Importer[#All],MATCH('eQuest Schedules'!$D$91,eQuest_Schedule_Importer[[#All],[Schedule Name]],0),MATCH(S$22,eQuest_Schedule_Importer[#Headers],0)),"")</f>
        <v>#N/A</v>
      </c>
      <c r="T109" s="191" t="e">
        <f>IF(INDEX(eQuest_Schedule_Importer[#All],MATCH('eQuest Schedules'!$D$91,eQuest_Schedule_Importer[[#All],[Schedule Name]],0),MATCH('eQuest Schedules'!$C109,eQuest_Schedule_Importer[#Headers],0))="TRUE",INDEX(eQuest_Schedule_Importer[#All],MATCH('eQuest Schedules'!$D$91,eQuest_Schedule_Importer[[#All],[Schedule Name]],0),MATCH(T$22,eQuest_Schedule_Importer[#Headers],0)),"")</f>
        <v>#N/A</v>
      </c>
      <c r="U109" s="191" t="e">
        <f>IF(INDEX(eQuest_Schedule_Importer[#All],MATCH('eQuest Schedules'!$D$91,eQuest_Schedule_Importer[[#All],[Schedule Name]],0),MATCH('eQuest Schedules'!$C109,eQuest_Schedule_Importer[#Headers],0))="TRUE",INDEX(eQuest_Schedule_Importer[#All],MATCH('eQuest Schedules'!$D$91,eQuest_Schedule_Importer[[#All],[Schedule Name]],0),MATCH(U$22,eQuest_Schedule_Importer[#Headers],0)),"")</f>
        <v>#N/A</v>
      </c>
      <c r="V109" s="191" t="e">
        <f>IF(INDEX(eQuest_Schedule_Importer[#All],MATCH('eQuest Schedules'!$D$91,eQuest_Schedule_Importer[[#All],[Schedule Name]],0),MATCH('eQuest Schedules'!$C109,eQuest_Schedule_Importer[#Headers],0))="TRUE",INDEX(eQuest_Schedule_Importer[#All],MATCH('eQuest Schedules'!$D$91,eQuest_Schedule_Importer[[#All],[Schedule Name]],0),MATCH(V$22,eQuest_Schedule_Importer[#Headers],0)),"")</f>
        <v>#N/A</v>
      </c>
      <c r="W109" s="191" t="e">
        <f>IF(INDEX(eQuest_Schedule_Importer[#All],MATCH('eQuest Schedules'!$D$91,eQuest_Schedule_Importer[[#All],[Schedule Name]],0),MATCH('eQuest Schedules'!$C109,eQuest_Schedule_Importer[#Headers],0))="TRUE",INDEX(eQuest_Schedule_Importer[#All],MATCH('eQuest Schedules'!$D$91,eQuest_Schedule_Importer[[#All],[Schedule Name]],0),MATCH(W$22,eQuest_Schedule_Importer[#Headers],0)),"")</f>
        <v>#N/A</v>
      </c>
      <c r="X109" s="191" t="e">
        <f>IF(INDEX(eQuest_Schedule_Importer[#All],MATCH('eQuest Schedules'!$D$91,eQuest_Schedule_Importer[[#All],[Schedule Name]],0),MATCH('eQuest Schedules'!$C109,eQuest_Schedule_Importer[#Headers],0))="TRUE",INDEX(eQuest_Schedule_Importer[#All],MATCH('eQuest Schedules'!$D$91,eQuest_Schedule_Importer[[#All],[Schedule Name]],0),MATCH(X$22,eQuest_Schedule_Importer[#Headers],0)),"")</f>
        <v>#N/A</v>
      </c>
      <c r="Y109" s="191" t="e">
        <f>IF(INDEX(eQuest_Schedule_Importer[#All],MATCH('eQuest Schedules'!$D$91,eQuest_Schedule_Importer[[#All],[Schedule Name]],0),MATCH('eQuest Schedules'!$C109,eQuest_Schedule_Importer[#Headers],0))="TRUE",INDEX(eQuest_Schedule_Importer[#All],MATCH('eQuest Schedules'!$D$91,eQuest_Schedule_Importer[[#All],[Schedule Name]],0),MATCH(Y$22,eQuest_Schedule_Importer[#Headers],0)),"")</f>
        <v>#N/A</v>
      </c>
      <c r="Z109" s="191" t="e">
        <f>IF(INDEX(eQuest_Schedule_Importer[#All],MATCH('eQuest Schedules'!$D$91,eQuest_Schedule_Importer[[#All],[Schedule Name]],0),MATCH('eQuest Schedules'!$C109,eQuest_Schedule_Importer[#Headers],0))="TRUE",INDEX(eQuest_Schedule_Importer[#All],MATCH('eQuest Schedules'!$D$91,eQuest_Schedule_Importer[[#All],[Schedule Name]],0),MATCH(Z$22,eQuest_Schedule_Importer[#Headers],0)),"")</f>
        <v>#N/A</v>
      </c>
      <c r="AA109" s="191" t="e">
        <f>IF(INDEX(eQuest_Schedule_Importer[#All],MATCH('eQuest Schedules'!$D$91,eQuest_Schedule_Importer[[#All],[Schedule Name]],0),MATCH('eQuest Schedules'!$C109,eQuest_Schedule_Importer[#Headers],0))="TRUE",INDEX(eQuest_Schedule_Importer[#All],MATCH('eQuest Schedules'!$D$91,eQuest_Schedule_Importer[[#All],[Schedule Name]],0),MATCH(AA$22,eQuest_Schedule_Importer[#Headers],0)),"")</f>
        <v>#N/A</v>
      </c>
    </row>
    <row r="111" spans="1:29" x14ac:dyDescent="0.25">
      <c r="A111" s="192"/>
      <c r="B111" s="192"/>
      <c r="C111" s="192"/>
      <c r="D111" s="192"/>
      <c r="E111" s="192"/>
      <c r="F111" s="192"/>
      <c r="G111" s="192"/>
      <c r="H111" s="192"/>
      <c r="I111" s="192"/>
      <c r="J111" s="192"/>
      <c r="K111" s="192"/>
      <c r="L111" s="192"/>
      <c r="M111" s="192"/>
      <c r="N111" s="192"/>
      <c r="O111" s="192"/>
      <c r="P111" s="192"/>
      <c r="Q111" s="192"/>
      <c r="R111" s="192"/>
      <c r="S111" s="192"/>
      <c r="T111" s="192"/>
      <c r="U111" s="192"/>
      <c r="V111" s="192"/>
      <c r="W111" s="192"/>
      <c r="X111" s="192"/>
      <c r="Y111" s="192"/>
      <c r="Z111" s="192"/>
      <c r="AA111" s="192"/>
      <c r="AB111" s="192"/>
      <c r="AC111" s="192"/>
    </row>
    <row r="112" spans="1:29" ht="15.75" x14ac:dyDescent="0.25">
      <c r="D112" s="764"/>
      <c r="E112" s="764"/>
      <c r="F112" s="764"/>
      <c r="G112" s="764"/>
      <c r="H112" s="764"/>
      <c r="I112" s="764"/>
      <c r="J112" s="764"/>
      <c r="K112" s="764"/>
      <c r="L112" s="764"/>
      <c r="M112" s="764"/>
    </row>
    <row r="128" spans="3:27" x14ac:dyDescent="0.25">
      <c r="C128" t="s">
        <v>1025</v>
      </c>
      <c r="D128" s="191" t="e">
        <f>IF(INDEX(eQuest_Schedule_Importer[#All],MATCH('eQuest Schedules'!$D$112,eQuest_Schedule_Importer[[#All],[Schedule Name]],0),MATCH('eQuest Schedules'!$C128,eQuest_Schedule_Importer[#Headers],0))="TRUE",INDEX(eQuest_Schedule_Importer[#All],MATCH('eQuest Schedules'!$D$112,eQuest_Schedule_Importer[[#All],[Schedule Name]],0),MATCH(D$22,eQuest_Schedule_Importer[#Headers],0)),"")</f>
        <v>#N/A</v>
      </c>
      <c r="E128" s="191" t="e">
        <f>IF(INDEX(eQuest_Schedule_Importer[#All],MATCH('eQuest Schedules'!$D$112,eQuest_Schedule_Importer[[#All],[Schedule Name]],0),MATCH('eQuest Schedules'!$C128,eQuest_Schedule_Importer[#Headers],0))="TRUE",INDEX(eQuest_Schedule_Importer[#All],MATCH('eQuest Schedules'!$D$112,eQuest_Schedule_Importer[[#All],[Schedule Name]],0),MATCH(E$22,eQuest_Schedule_Importer[#Headers],0)),"")</f>
        <v>#N/A</v>
      </c>
      <c r="F128" s="191" t="e">
        <f>IF(INDEX(eQuest_Schedule_Importer[#All],MATCH('eQuest Schedules'!$D$112,eQuest_Schedule_Importer[[#All],[Schedule Name]],0),MATCH('eQuest Schedules'!$C128,eQuest_Schedule_Importer[#Headers],0))="TRUE",INDEX(eQuest_Schedule_Importer[#All],MATCH('eQuest Schedules'!$D$112,eQuest_Schedule_Importer[[#All],[Schedule Name]],0),MATCH(F$22,eQuest_Schedule_Importer[#Headers],0)),"")</f>
        <v>#N/A</v>
      </c>
      <c r="G128" s="191" t="e">
        <f>IF(INDEX(eQuest_Schedule_Importer[#All],MATCH('eQuest Schedules'!$D$112,eQuest_Schedule_Importer[[#All],[Schedule Name]],0),MATCH('eQuest Schedules'!$C128,eQuest_Schedule_Importer[#Headers],0))="TRUE",INDEX(eQuest_Schedule_Importer[#All],MATCH('eQuest Schedules'!$D$112,eQuest_Schedule_Importer[[#All],[Schedule Name]],0),MATCH(G$22,eQuest_Schedule_Importer[#Headers],0)),"")</f>
        <v>#N/A</v>
      </c>
      <c r="H128" s="191" t="e">
        <f>IF(INDEX(eQuest_Schedule_Importer[#All],MATCH('eQuest Schedules'!$D$112,eQuest_Schedule_Importer[[#All],[Schedule Name]],0),MATCH('eQuest Schedules'!$C128,eQuest_Schedule_Importer[#Headers],0))="TRUE",INDEX(eQuest_Schedule_Importer[#All],MATCH('eQuest Schedules'!$D$112,eQuest_Schedule_Importer[[#All],[Schedule Name]],0),MATCH(H$22,eQuest_Schedule_Importer[#Headers],0)),"")</f>
        <v>#N/A</v>
      </c>
      <c r="I128" s="191" t="e">
        <f>IF(INDEX(eQuest_Schedule_Importer[#All],MATCH('eQuest Schedules'!$D$112,eQuest_Schedule_Importer[[#All],[Schedule Name]],0),MATCH('eQuest Schedules'!$C128,eQuest_Schedule_Importer[#Headers],0))="TRUE",INDEX(eQuest_Schedule_Importer[#All],MATCH('eQuest Schedules'!$D$112,eQuest_Schedule_Importer[[#All],[Schedule Name]],0),MATCH(I$22,eQuest_Schedule_Importer[#Headers],0)),"")</f>
        <v>#N/A</v>
      </c>
      <c r="J128" s="191" t="e">
        <f>IF(INDEX(eQuest_Schedule_Importer[#All],MATCH('eQuest Schedules'!$D$112,eQuest_Schedule_Importer[[#All],[Schedule Name]],0),MATCH('eQuest Schedules'!$C128,eQuest_Schedule_Importer[#Headers],0))="TRUE",INDEX(eQuest_Schedule_Importer[#All],MATCH('eQuest Schedules'!$D$112,eQuest_Schedule_Importer[[#All],[Schedule Name]],0),MATCH(J$22,eQuest_Schedule_Importer[#Headers],0)),"")</f>
        <v>#N/A</v>
      </c>
      <c r="K128" s="191" t="e">
        <f>IF(INDEX(eQuest_Schedule_Importer[#All],MATCH('eQuest Schedules'!$D$112,eQuest_Schedule_Importer[[#All],[Schedule Name]],0),MATCH('eQuest Schedules'!$C128,eQuest_Schedule_Importer[#Headers],0))="TRUE",INDEX(eQuest_Schedule_Importer[#All],MATCH('eQuest Schedules'!$D$112,eQuest_Schedule_Importer[[#All],[Schedule Name]],0),MATCH(K$22,eQuest_Schedule_Importer[#Headers],0)),"")</f>
        <v>#N/A</v>
      </c>
      <c r="L128" s="191" t="e">
        <f>IF(INDEX(eQuest_Schedule_Importer[#All],MATCH('eQuest Schedules'!$D$112,eQuest_Schedule_Importer[[#All],[Schedule Name]],0),MATCH('eQuest Schedules'!$C128,eQuest_Schedule_Importer[#Headers],0))="TRUE",INDEX(eQuest_Schedule_Importer[#All],MATCH('eQuest Schedules'!$D$112,eQuest_Schedule_Importer[[#All],[Schedule Name]],0),MATCH(L$22,eQuest_Schedule_Importer[#Headers],0)),"")</f>
        <v>#N/A</v>
      </c>
      <c r="M128" s="191" t="e">
        <f>IF(INDEX(eQuest_Schedule_Importer[#All],MATCH('eQuest Schedules'!$D$112,eQuest_Schedule_Importer[[#All],[Schedule Name]],0),MATCH('eQuest Schedules'!$C128,eQuest_Schedule_Importer[#Headers],0))="TRUE",INDEX(eQuest_Schedule_Importer[#All],MATCH('eQuest Schedules'!$D$112,eQuest_Schedule_Importer[[#All],[Schedule Name]],0),MATCH(M$22,eQuest_Schedule_Importer[#Headers],0)),"")</f>
        <v>#N/A</v>
      </c>
      <c r="N128" s="191" t="e">
        <f>IF(INDEX(eQuest_Schedule_Importer[#All],MATCH('eQuest Schedules'!$D$112,eQuest_Schedule_Importer[[#All],[Schedule Name]],0),MATCH('eQuest Schedules'!$C128,eQuest_Schedule_Importer[#Headers],0))="TRUE",INDEX(eQuest_Schedule_Importer[#All],MATCH('eQuest Schedules'!$D$112,eQuest_Schedule_Importer[[#All],[Schedule Name]],0),MATCH(N$22,eQuest_Schedule_Importer[#Headers],0)),"")</f>
        <v>#N/A</v>
      </c>
      <c r="O128" s="191" t="e">
        <f>IF(INDEX(eQuest_Schedule_Importer[#All],MATCH('eQuest Schedules'!$D$112,eQuest_Schedule_Importer[[#All],[Schedule Name]],0),MATCH('eQuest Schedules'!$C128,eQuest_Schedule_Importer[#Headers],0))="TRUE",INDEX(eQuest_Schedule_Importer[#All],MATCH('eQuest Schedules'!$D$112,eQuest_Schedule_Importer[[#All],[Schedule Name]],0),MATCH(O$22,eQuest_Schedule_Importer[#Headers],0)),"")</f>
        <v>#N/A</v>
      </c>
      <c r="P128" s="191" t="e">
        <f>IF(INDEX(eQuest_Schedule_Importer[#All],MATCH('eQuest Schedules'!$D$112,eQuest_Schedule_Importer[[#All],[Schedule Name]],0),MATCH('eQuest Schedules'!$C128,eQuest_Schedule_Importer[#Headers],0))="TRUE",INDEX(eQuest_Schedule_Importer[#All],MATCH('eQuest Schedules'!$D$112,eQuest_Schedule_Importer[[#All],[Schedule Name]],0),MATCH(P$22,eQuest_Schedule_Importer[#Headers],0)),"")</f>
        <v>#N/A</v>
      </c>
      <c r="Q128" s="191" t="e">
        <f>IF(INDEX(eQuest_Schedule_Importer[#All],MATCH('eQuest Schedules'!$D$112,eQuest_Schedule_Importer[[#All],[Schedule Name]],0),MATCH('eQuest Schedules'!$C128,eQuest_Schedule_Importer[#Headers],0))="TRUE",INDEX(eQuest_Schedule_Importer[#All],MATCH('eQuest Schedules'!$D$112,eQuest_Schedule_Importer[[#All],[Schedule Name]],0),MATCH(Q$22,eQuest_Schedule_Importer[#Headers],0)),"")</f>
        <v>#N/A</v>
      </c>
      <c r="R128" s="191" t="e">
        <f>IF(INDEX(eQuest_Schedule_Importer[#All],MATCH('eQuest Schedules'!$D$112,eQuest_Schedule_Importer[[#All],[Schedule Name]],0),MATCH('eQuest Schedules'!$C128,eQuest_Schedule_Importer[#Headers],0))="TRUE",INDEX(eQuest_Schedule_Importer[#All],MATCH('eQuest Schedules'!$D$112,eQuest_Schedule_Importer[[#All],[Schedule Name]],0),MATCH(R$22,eQuest_Schedule_Importer[#Headers],0)),"")</f>
        <v>#N/A</v>
      </c>
      <c r="S128" s="191" t="e">
        <f>IF(INDEX(eQuest_Schedule_Importer[#All],MATCH('eQuest Schedules'!$D$112,eQuest_Schedule_Importer[[#All],[Schedule Name]],0),MATCH('eQuest Schedules'!$C128,eQuest_Schedule_Importer[#Headers],0))="TRUE",INDEX(eQuest_Schedule_Importer[#All],MATCH('eQuest Schedules'!$D$112,eQuest_Schedule_Importer[[#All],[Schedule Name]],0),MATCH(S$22,eQuest_Schedule_Importer[#Headers],0)),"")</f>
        <v>#N/A</v>
      </c>
      <c r="T128" s="191" t="e">
        <f>IF(INDEX(eQuest_Schedule_Importer[#All],MATCH('eQuest Schedules'!$D$112,eQuest_Schedule_Importer[[#All],[Schedule Name]],0),MATCH('eQuest Schedules'!$C128,eQuest_Schedule_Importer[#Headers],0))="TRUE",INDEX(eQuest_Schedule_Importer[#All],MATCH('eQuest Schedules'!$D$112,eQuest_Schedule_Importer[[#All],[Schedule Name]],0),MATCH(T$22,eQuest_Schedule_Importer[#Headers],0)),"")</f>
        <v>#N/A</v>
      </c>
      <c r="U128" s="191" t="e">
        <f>IF(INDEX(eQuest_Schedule_Importer[#All],MATCH('eQuest Schedules'!$D$112,eQuest_Schedule_Importer[[#All],[Schedule Name]],0),MATCH('eQuest Schedules'!$C128,eQuest_Schedule_Importer[#Headers],0))="TRUE",INDEX(eQuest_Schedule_Importer[#All],MATCH('eQuest Schedules'!$D$112,eQuest_Schedule_Importer[[#All],[Schedule Name]],0),MATCH(U$22,eQuest_Schedule_Importer[#Headers],0)),"")</f>
        <v>#N/A</v>
      </c>
      <c r="V128" s="191" t="e">
        <f>IF(INDEX(eQuest_Schedule_Importer[#All],MATCH('eQuest Schedules'!$D$112,eQuest_Schedule_Importer[[#All],[Schedule Name]],0),MATCH('eQuest Schedules'!$C128,eQuest_Schedule_Importer[#Headers],0))="TRUE",INDEX(eQuest_Schedule_Importer[#All],MATCH('eQuest Schedules'!$D$112,eQuest_Schedule_Importer[[#All],[Schedule Name]],0),MATCH(V$22,eQuest_Schedule_Importer[#Headers],0)),"")</f>
        <v>#N/A</v>
      </c>
      <c r="W128" s="191" t="e">
        <f>IF(INDEX(eQuest_Schedule_Importer[#All],MATCH('eQuest Schedules'!$D$112,eQuest_Schedule_Importer[[#All],[Schedule Name]],0),MATCH('eQuest Schedules'!$C128,eQuest_Schedule_Importer[#Headers],0))="TRUE",INDEX(eQuest_Schedule_Importer[#All],MATCH('eQuest Schedules'!$D$112,eQuest_Schedule_Importer[[#All],[Schedule Name]],0),MATCH(W$22,eQuest_Schedule_Importer[#Headers],0)),"")</f>
        <v>#N/A</v>
      </c>
      <c r="X128" s="191" t="e">
        <f>IF(INDEX(eQuest_Schedule_Importer[#All],MATCH('eQuest Schedules'!$D$112,eQuest_Schedule_Importer[[#All],[Schedule Name]],0),MATCH('eQuest Schedules'!$C128,eQuest_Schedule_Importer[#Headers],0))="TRUE",INDEX(eQuest_Schedule_Importer[#All],MATCH('eQuest Schedules'!$D$112,eQuest_Schedule_Importer[[#All],[Schedule Name]],0),MATCH(X$22,eQuest_Schedule_Importer[#Headers],0)),"")</f>
        <v>#N/A</v>
      </c>
      <c r="Y128" s="191" t="e">
        <f>IF(INDEX(eQuest_Schedule_Importer[#All],MATCH('eQuest Schedules'!$D$112,eQuest_Schedule_Importer[[#All],[Schedule Name]],0),MATCH('eQuest Schedules'!$C128,eQuest_Schedule_Importer[#Headers],0))="TRUE",INDEX(eQuest_Schedule_Importer[#All],MATCH('eQuest Schedules'!$D$112,eQuest_Schedule_Importer[[#All],[Schedule Name]],0),MATCH(Y$22,eQuest_Schedule_Importer[#Headers],0)),"")</f>
        <v>#N/A</v>
      </c>
      <c r="Z128" s="191" t="e">
        <f>IF(INDEX(eQuest_Schedule_Importer[#All],MATCH('eQuest Schedules'!$D$112,eQuest_Schedule_Importer[[#All],[Schedule Name]],0),MATCH('eQuest Schedules'!$C128,eQuest_Schedule_Importer[#Headers],0))="TRUE",INDEX(eQuest_Schedule_Importer[#All],MATCH('eQuest Schedules'!$D$112,eQuest_Schedule_Importer[[#All],[Schedule Name]],0),MATCH(Z$22,eQuest_Schedule_Importer[#Headers],0)),"")</f>
        <v>#N/A</v>
      </c>
      <c r="AA128" s="191" t="e">
        <f>IF(INDEX(eQuest_Schedule_Importer[#All],MATCH('eQuest Schedules'!$D$112,eQuest_Schedule_Importer[[#All],[Schedule Name]],0),MATCH('eQuest Schedules'!$C128,eQuest_Schedule_Importer[#Headers],0))="TRUE",INDEX(eQuest_Schedule_Importer[#All],MATCH('eQuest Schedules'!$D$112,eQuest_Schedule_Importer[[#All],[Schedule Name]],0),MATCH(AA$22,eQuest_Schedule_Importer[#Headers],0)),"")</f>
        <v>#N/A</v>
      </c>
    </row>
    <row r="129" spans="3:27" x14ac:dyDescent="0.25">
      <c r="C129" t="s">
        <v>1026</v>
      </c>
      <c r="D129" s="191" t="e">
        <f>IF(INDEX(eQuest_Schedule_Importer[#All],MATCH('eQuest Schedules'!$D$112,eQuest_Schedule_Importer[[#All],[Schedule Name]],0),MATCH('eQuest Schedules'!$C129,eQuest_Schedule_Importer[#Headers],0))="TRUE",INDEX(eQuest_Schedule_Importer[#All],MATCH('eQuest Schedules'!$D$112,eQuest_Schedule_Importer[[#All],[Schedule Name]],0),MATCH(D$22,eQuest_Schedule_Importer[#Headers],0)),"")</f>
        <v>#N/A</v>
      </c>
      <c r="E129" s="191" t="e">
        <f>IF(INDEX(eQuest_Schedule_Importer[#All],MATCH('eQuest Schedules'!$D$112,eQuest_Schedule_Importer[[#All],[Schedule Name]],0),MATCH('eQuest Schedules'!$C129,eQuest_Schedule_Importer[#Headers],0))="TRUE",INDEX(eQuest_Schedule_Importer[#All],MATCH('eQuest Schedules'!$D$112,eQuest_Schedule_Importer[[#All],[Schedule Name]],0),MATCH(E$22,eQuest_Schedule_Importer[#Headers],0)),"")</f>
        <v>#N/A</v>
      </c>
      <c r="F129" s="191" t="e">
        <f>IF(INDEX(eQuest_Schedule_Importer[#All],MATCH('eQuest Schedules'!$D$112,eQuest_Schedule_Importer[[#All],[Schedule Name]],0),MATCH('eQuest Schedules'!$C129,eQuest_Schedule_Importer[#Headers],0))="TRUE",INDEX(eQuest_Schedule_Importer[#All],MATCH('eQuest Schedules'!$D$112,eQuest_Schedule_Importer[[#All],[Schedule Name]],0),MATCH(F$22,eQuest_Schedule_Importer[#Headers],0)),"")</f>
        <v>#N/A</v>
      </c>
      <c r="G129" s="191" t="e">
        <f>IF(INDEX(eQuest_Schedule_Importer[#All],MATCH('eQuest Schedules'!$D$112,eQuest_Schedule_Importer[[#All],[Schedule Name]],0),MATCH('eQuest Schedules'!$C129,eQuest_Schedule_Importer[#Headers],0))="TRUE",INDEX(eQuest_Schedule_Importer[#All],MATCH('eQuest Schedules'!$D$112,eQuest_Schedule_Importer[[#All],[Schedule Name]],0),MATCH(G$22,eQuest_Schedule_Importer[#Headers],0)),"")</f>
        <v>#N/A</v>
      </c>
      <c r="H129" s="191" t="e">
        <f>IF(INDEX(eQuest_Schedule_Importer[#All],MATCH('eQuest Schedules'!$D$112,eQuest_Schedule_Importer[[#All],[Schedule Name]],0),MATCH('eQuest Schedules'!$C129,eQuest_Schedule_Importer[#Headers],0))="TRUE",INDEX(eQuest_Schedule_Importer[#All],MATCH('eQuest Schedules'!$D$112,eQuest_Schedule_Importer[[#All],[Schedule Name]],0),MATCH(H$22,eQuest_Schedule_Importer[#Headers],0)),"")</f>
        <v>#N/A</v>
      </c>
      <c r="I129" s="191" t="e">
        <f>IF(INDEX(eQuest_Schedule_Importer[#All],MATCH('eQuest Schedules'!$D$112,eQuest_Schedule_Importer[[#All],[Schedule Name]],0),MATCH('eQuest Schedules'!$C129,eQuest_Schedule_Importer[#Headers],0))="TRUE",INDEX(eQuest_Schedule_Importer[#All],MATCH('eQuest Schedules'!$D$112,eQuest_Schedule_Importer[[#All],[Schedule Name]],0),MATCH(I$22,eQuest_Schedule_Importer[#Headers],0)),"")</f>
        <v>#N/A</v>
      </c>
      <c r="J129" s="191" t="e">
        <f>IF(INDEX(eQuest_Schedule_Importer[#All],MATCH('eQuest Schedules'!$D$112,eQuest_Schedule_Importer[[#All],[Schedule Name]],0),MATCH('eQuest Schedules'!$C129,eQuest_Schedule_Importer[#Headers],0))="TRUE",INDEX(eQuest_Schedule_Importer[#All],MATCH('eQuest Schedules'!$D$112,eQuest_Schedule_Importer[[#All],[Schedule Name]],0),MATCH(J$22,eQuest_Schedule_Importer[#Headers],0)),"")</f>
        <v>#N/A</v>
      </c>
      <c r="K129" s="191" t="e">
        <f>IF(INDEX(eQuest_Schedule_Importer[#All],MATCH('eQuest Schedules'!$D$112,eQuest_Schedule_Importer[[#All],[Schedule Name]],0),MATCH('eQuest Schedules'!$C129,eQuest_Schedule_Importer[#Headers],0))="TRUE",INDEX(eQuest_Schedule_Importer[#All],MATCH('eQuest Schedules'!$D$112,eQuest_Schedule_Importer[[#All],[Schedule Name]],0),MATCH(K$22,eQuest_Schedule_Importer[#Headers],0)),"")</f>
        <v>#N/A</v>
      </c>
      <c r="L129" s="191" t="e">
        <f>IF(INDEX(eQuest_Schedule_Importer[#All],MATCH('eQuest Schedules'!$D$112,eQuest_Schedule_Importer[[#All],[Schedule Name]],0),MATCH('eQuest Schedules'!$C129,eQuest_Schedule_Importer[#Headers],0))="TRUE",INDEX(eQuest_Schedule_Importer[#All],MATCH('eQuest Schedules'!$D$112,eQuest_Schedule_Importer[[#All],[Schedule Name]],0),MATCH(L$22,eQuest_Schedule_Importer[#Headers],0)),"")</f>
        <v>#N/A</v>
      </c>
      <c r="M129" s="191" t="e">
        <f>IF(INDEX(eQuest_Schedule_Importer[#All],MATCH('eQuest Schedules'!$D$112,eQuest_Schedule_Importer[[#All],[Schedule Name]],0),MATCH('eQuest Schedules'!$C129,eQuest_Schedule_Importer[#Headers],0))="TRUE",INDEX(eQuest_Schedule_Importer[#All],MATCH('eQuest Schedules'!$D$112,eQuest_Schedule_Importer[[#All],[Schedule Name]],0),MATCH(M$22,eQuest_Schedule_Importer[#Headers],0)),"")</f>
        <v>#N/A</v>
      </c>
      <c r="N129" s="191" t="e">
        <f>IF(INDEX(eQuest_Schedule_Importer[#All],MATCH('eQuest Schedules'!$D$112,eQuest_Schedule_Importer[[#All],[Schedule Name]],0),MATCH('eQuest Schedules'!$C129,eQuest_Schedule_Importer[#Headers],0))="TRUE",INDEX(eQuest_Schedule_Importer[#All],MATCH('eQuest Schedules'!$D$112,eQuest_Schedule_Importer[[#All],[Schedule Name]],0),MATCH(N$22,eQuest_Schedule_Importer[#Headers],0)),"")</f>
        <v>#N/A</v>
      </c>
      <c r="O129" s="191" t="e">
        <f>IF(INDEX(eQuest_Schedule_Importer[#All],MATCH('eQuest Schedules'!$D$112,eQuest_Schedule_Importer[[#All],[Schedule Name]],0),MATCH('eQuest Schedules'!$C129,eQuest_Schedule_Importer[#Headers],0))="TRUE",INDEX(eQuest_Schedule_Importer[#All],MATCH('eQuest Schedules'!$D$112,eQuest_Schedule_Importer[[#All],[Schedule Name]],0),MATCH(O$22,eQuest_Schedule_Importer[#Headers],0)),"")</f>
        <v>#N/A</v>
      </c>
      <c r="P129" s="191" t="e">
        <f>IF(INDEX(eQuest_Schedule_Importer[#All],MATCH('eQuest Schedules'!$D$112,eQuest_Schedule_Importer[[#All],[Schedule Name]],0),MATCH('eQuest Schedules'!$C129,eQuest_Schedule_Importer[#Headers],0))="TRUE",INDEX(eQuest_Schedule_Importer[#All],MATCH('eQuest Schedules'!$D$112,eQuest_Schedule_Importer[[#All],[Schedule Name]],0),MATCH(P$22,eQuest_Schedule_Importer[#Headers],0)),"")</f>
        <v>#N/A</v>
      </c>
      <c r="Q129" s="191" t="e">
        <f>IF(INDEX(eQuest_Schedule_Importer[#All],MATCH('eQuest Schedules'!$D$112,eQuest_Schedule_Importer[[#All],[Schedule Name]],0),MATCH('eQuest Schedules'!$C129,eQuest_Schedule_Importer[#Headers],0))="TRUE",INDEX(eQuest_Schedule_Importer[#All],MATCH('eQuest Schedules'!$D$112,eQuest_Schedule_Importer[[#All],[Schedule Name]],0),MATCH(Q$22,eQuest_Schedule_Importer[#Headers],0)),"")</f>
        <v>#N/A</v>
      </c>
      <c r="R129" s="191" t="e">
        <f>IF(INDEX(eQuest_Schedule_Importer[#All],MATCH('eQuest Schedules'!$D$112,eQuest_Schedule_Importer[[#All],[Schedule Name]],0),MATCH('eQuest Schedules'!$C129,eQuest_Schedule_Importer[#Headers],0))="TRUE",INDEX(eQuest_Schedule_Importer[#All],MATCH('eQuest Schedules'!$D$112,eQuest_Schedule_Importer[[#All],[Schedule Name]],0),MATCH(R$22,eQuest_Schedule_Importer[#Headers],0)),"")</f>
        <v>#N/A</v>
      </c>
      <c r="S129" s="191" t="e">
        <f>IF(INDEX(eQuest_Schedule_Importer[#All],MATCH('eQuest Schedules'!$D$112,eQuest_Schedule_Importer[[#All],[Schedule Name]],0),MATCH('eQuest Schedules'!$C129,eQuest_Schedule_Importer[#Headers],0))="TRUE",INDEX(eQuest_Schedule_Importer[#All],MATCH('eQuest Schedules'!$D$112,eQuest_Schedule_Importer[[#All],[Schedule Name]],0),MATCH(S$22,eQuest_Schedule_Importer[#Headers],0)),"")</f>
        <v>#N/A</v>
      </c>
      <c r="T129" s="191" t="e">
        <f>IF(INDEX(eQuest_Schedule_Importer[#All],MATCH('eQuest Schedules'!$D$112,eQuest_Schedule_Importer[[#All],[Schedule Name]],0),MATCH('eQuest Schedules'!$C129,eQuest_Schedule_Importer[#Headers],0))="TRUE",INDEX(eQuest_Schedule_Importer[#All],MATCH('eQuest Schedules'!$D$112,eQuest_Schedule_Importer[[#All],[Schedule Name]],0),MATCH(T$22,eQuest_Schedule_Importer[#Headers],0)),"")</f>
        <v>#N/A</v>
      </c>
      <c r="U129" s="191" t="e">
        <f>IF(INDEX(eQuest_Schedule_Importer[#All],MATCH('eQuest Schedules'!$D$112,eQuest_Schedule_Importer[[#All],[Schedule Name]],0),MATCH('eQuest Schedules'!$C129,eQuest_Schedule_Importer[#Headers],0))="TRUE",INDEX(eQuest_Schedule_Importer[#All],MATCH('eQuest Schedules'!$D$112,eQuest_Schedule_Importer[[#All],[Schedule Name]],0),MATCH(U$22,eQuest_Schedule_Importer[#Headers],0)),"")</f>
        <v>#N/A</v>
      </c>
      <c r="V129" s="191" t="e">
        <f>IF(INDEX(eQuest_Schedule_Importer[#All],MATCH('eQuest Schedules'!$D$112,eQuest_Schedule_Importer[[#All],[Schedule Name]],0),MATCH('eQuest Schedules'!$C129,eQuest_Schedule_Importer[#Headers],0))="TRUE",INDEX(eQuest_Schedule_Importer[#All],MATCH('eQuest Schedules'!$D$112,eQuest_Schedule_Importer[[#All],[Schedule Name]],0),MATCH(V$22,eQuest_Schedule_Importer[#Headers],0)),"")</f>
        <v>#N/A</v>
      </c>
      <c r="W129" s="191" t="e">
        <f>IF(INDEX(eQuest_Schedule_Importer[#All],MATCH('eQuest Schedules'!$D$112,eQuest_Schedule_Importer[[#All],[Schedule Name]],0),MATCH('eQuest Schedules'!$C129,eQuest_Schedule_Importer[#Headers],0))="TRUE",INDEX(eQuest_Schedule_Importer[#All],MATCH('eQuest Schedules'!$D$112,eQuest_Schedule_Importer[[#All],[Schedule Name]],0),MATCH(W$22,eQuest_Schedule_Importer[#Headers],0)),"")</f>
        <v>#N/A</v>
      </c>
      <c r="X129" s="191" t="e">
        <f>IF(INDEX(eQuest_Schedule_Importer[#All],MATCH('eQuest Schedules'!$D$112,eQuest_Schedule_Importer[[#All],[Schedule Name]],0),MATCH('eQuest Schedules'!$C129,eQuest_Schedule_Importer[#Headers],0))="TRUE",INDEX(eQuest_Schedule_Importer[#All],MATCH('eQuest Schedules'!$D$112,eQuest_Schedule_Importer[[#All],[Schedule Name]],0),MATCH(X$22,eQuest_Schedule_Importer[#Headers],0)),"")</f>
        <v>#N/A</v>
      </c>
      <c r="Y129" s="191" t="e">
        <f>IF(INDEX(eQuest_Schedule_Importer[#All],MATCH('eQuest Schedules'!$D$112,eQuest_Schedule_Importer[[#All],[Schedule Name]],0),MATCH('eQuest Schedules'!$C129,eQuest_Schedule_Importer[#Headers],0))="TRUE",INDEX(eQuest_Schedule_Importer[#All],MATCH('eQuest Schedules'!$D$112,eQuest_Schedule_Importer[[#All],[Schedule Name]],0),MATCH(Y$22,eQuest_Schedule_Importer[#Headers],0)),"")</f>
        <v>#N/A</v>
      </c>
      <c r="Z129" s="191" t="e">
        <f>IF(INDEX(eQuest_Schedule_Importer[#All],MATCH('eQuest Schedules'!$D$112,eQuest_Schedule_Importer[[#All],[Schedule Name]],0),MATCH('eQuest Schedules'!$C129,eQuest_Schedule_Importer[#Headers],0))="TRUE",INDEX(eQuest_Schedule_Importer[#All],MATCH('eQuest Schedules'!$D$112,eQuest_Schedule_Importer[[#All],[Schedule Name]],0),MATCH(Z$22,eQuest_Schedule_Importer[#Headers],0)),"")</f>
        <v>#N/A</v>
      </c>
      <c r="AA129" s="191" t="e">
        <f>IF(INDEX(eQuest_Schedule_Importer[#All],MATCH('eQuest Schedules'!$D$112,eQuest_Schedule_Importer[[#All],[Schedule Name]],0),MATCH('eQuest Schedules'!$C129,eQuest_Schedule_Importer[#Headers],0))="TRUE",INDEX(eQuest_Schedule_Importer[#All],MATCH('eQuest Schedules'!$D$112,eQuest_Schedule_Importer[[#All],[Schedule Name]],0),MATCH(AA$22,eQuest_Schedule_Importer[#Headers],0)),"")</f>
        <v>#N/A</v>
      </c>
    </row>
    <row r="130" spans="3:27" x14ac:dyDescent="0.25">
      <c r="C130" t="s">
        <v>2077</v>
      </c>
      <c r="D130" s="191" t="e">
        <f>IF(INDEX(eQuest_Schedule_Importer[#All],MATCH('eQuest Schedules'!$D$112,eQuest_Schedule_Importer[[#All],[Schedule Name]],0),MATCH('eQuest Schedules'!$C130,eQuest_Schedule_Importer[#Headers],0))="TRUE",INDEX(eQuest_Schedule_Importer[#All],MATCH('eQuest Schedules'!$D$112,eQuest_Schedule_Importer[[#All],[Schedule Name]],0),MATCH(D$22,eQuest_Schedule_Importer[#Headers],0)),"")</f>
        <v>#N/A</v>
      </c>
      <c r="E130" s="191" t="e">
        <f>IF(INDEX(eQuest_Schedule_Importer[#All],MATCH('eQuest Schedules'!$D$112,eQuest_Schedule_Importer[[#All],[Schedule Name]],0),MATCH('eQuest Schedules'!$C130,eQuest_Schedule_Importer[#Headers],0))="TRUE",INDEX(eQuest_Schedule_Importer[#All],MATCH('eQuest Schedules'!$D$112,eQuest_Schedule_Importer[[#All],[Schedule Name]],0),MATCH(E$22,eQuest_Schedule_Importer[#Headers],0)),"")</f>
        <v>#N/A</v>
      </c>
      <c r="F130" s="191" t="e">
        <f>IF(INDEX(eQuest_Schedule_Importer[#All],MATCH('eQuest Schedules'!$D$112,eQuest_Schedule_Importer[[#All],[Schedule Name]],0),MATCH('eQuest Schedules'!$C130,eQuest_Schedule_Importer[#Headers],0))="TRUE",INDEX(eQuest_Schedule_Importer[#All],MATCH('eQuest Schedules'!$D$112,eQuest_Schedule_Importer[[#All],[Schedule Name]],0),MATCH(F$22,eQuest_Schedule_Importer[#Headers],0)),"")</f>
        <v>#N/A</v>
      </c>
      <c r="G130" s="191" t="e">
        <f>IF(INDEX(eQuest_Schedule_Importer[#All],MATCH('eQuest Schedules'!$D$112,eQuest_Schedule_Importer[[#All],[Schedule Name]],0),MATCH('eQuest Schedules'!$C130,eQuest_Schedule_Importer[#Headers],0))="TRUE",INDEX(eQuest_Schedule_Importer[#All],MATCH('eQuest Schedules'!$D$112,eQuest_Schedule_Importer[[#All],[Schedule Name]],0),MATCH(G$22,eQuest_Schedule_Importer[#Headers],0)),"")</f>
        <v>#N/A</v>
      </c>
      <c r="H130" s="191" t="e">
        <f>IF(INDEX(eQuest_Schedule_Importer[#All],MATCH('eQuest Schedules'!$D$112,eQuest_Schedule_Importer[[#All],[Schedule Name]],0),MATCH('eQuest Schedules'!$C130,eQuest_Schedule_Importer[#Headers],0))="TRUE",INDEX(eQuest_Schedule_Importer[#All],MATCH('eQuest Schedules'!$D$112,eQuest_Schedule_Importer[[#All],[Schedule Name]],0),MATCH(H$22,eQuest_Schedule_Importer[#Headers],0)),"")</f>
        <v>#N/A</v>
      </c>
      <c r="I130" s="191" t="e">
        <f>IF(INDEX(eQuest_Schedule_Importer[#All],MATCH('eQuest Schedules'!$D$112,eQuest_Schedule_Importer[[#All],[Schedule Name]],0),MATCH('eQuest Schedules'!$C130,eQuest_Schedule_Importer[#Headers],0))="TRUE",INDEX(eQuest_Schedule_Importer[#All],MATCH('eQuest Schedules'!$D$112,eQuest_Schedule_Importer[[#All],[Schedule Name]],0),MATCH(I$22,eQuest_Schedule_Importer[#Headers],0)),"")</f>
        <v>#N/A</v>
      </c>
      <c r="J130" s="191" t="e">
        <f>IF(INDEX(eQuest_Schedule_Importer[#All],MATCH('eQuest Schedules'!$D$112,eQuest_Schedule_Importer[[#All],[Schedule Name]],0),MATCH('eQuest Schedules'!$C130,eQuest_Schedule_Importer[#Headers],0))="TRUE",INDEX(eQuest_Schedule_Importer[#All],MATCH('eQuest Schedules'!$D$112,eQuest_Schedule_Importer[[#All],[Schedule Name]],0),MATCH(J$22,eQuest_Schedule_Importer[#Headers],0)),"")</f>
        <v>#N/A</v>
      </c>
      <c r="K130" s="191" t="e">
        <f>IF(INDEX(eQuest_Schedule_Importer[#All],MATCH('eQuest Schedules'!$D$112,eQuest_Schedule_Importer[[#All],[Schedule Name]],0),MATCH('eQuest Schedules'!$C130,eQuest_Schedule_Importer[#Headers],0))="TRUE",INDEX(eQuest_Schedule_Importer[#All],MATCH('eQuest Schedules'!$D$112,eQuest_Schedule_Importer[[#All],[Schedule Name]],0),MATCH(K$22,eQuest_Schedule_Importer[#Headers],0)),"")</f>
        <v>#N/A</v>
      </c>
      <c r="L130" s="191" t="e">
        <f>IF(INDEX(eQuest_Schedule_Importer[#All],MATCH('eQuest Schedules'!$D$112,eQuest_Schedule_Importer[[#All],[Schedule Name]],0),MATCH('eQuest Schedules'!$C130,eQuest_Schedule_Importer[#Headers],0))="TRUE",INDEX(eQuest_Schedule_Importer[#All],MATCH('eQuest Schedules'!$D$112,eQuest_Schedule_Importer[[#All],[Schedule Name]],0),MATCH(L$22,eQuest_Schedule_Importer[#Headers],0)),"")</f>
        <v>#N/A</v>
      </c>
      <c r="M130" s="191" t="e">
        <f>IF(INDEX(eQuest_Schedule_Importer[#All],MATCH('eQuest Schedules'!$D$112,eQuest_Schedule_Importer[[#All],[Schedule Name]],0),MATCH('eQuest Schedules'!$C130,eQuest_Schedule_Importer[#Headers],0))="TRUE",INDEX(eQuest_Schedule_Importer[#All],MATCH('eQuest Schedules'!$D$112,eQuest_Schedule_Importer[[#All],[Schedule Name]],0),MATCH(M$22,eQuest_Schedule_Importer[#Headers],0)),"")</f>
        <v>#N/A</v>
      </c>
      <c r="N130" s="191" t="e">
        <f>IF(INDEX(eQuest_Schedule_Importer[#All],MATCH('eQuest Schedules'!$D$112,eQuest_Schedule_Importer[[#All],[Schedule Name]],0),MATCH('eQuest Schedules'!$C130,eQuest_Schedule_Importer[#Headers],0))="TRUE",INDEX(eQuest_Schedule_Importer[#All],MATCH('eQuest Schedules'!$D$112,eQuest_Schedule_Importer[[#All],[Schedule Name]],0),MATCH(N$22,eQuest_Schedule_Importer[#Headers],0)),"")</f>
        <v>#N/A</v>
      </c>
      <c r="O130" s="191" t="e">
        <f>IF(INDEX(eQuest_Schedule_Importer[#All],MATCH('eQuest Schedules'!$D$112,eQuest_Schedule_Importer[[#All],[Schedule Name]],0),MATCH('eQuest Schedules'!$C130,eQuest_Schedule_Importer[#Headers],0))="TRUE",INDEX(eQuest_Schedule_Importer[#All],MATCH('eQuest Schedules'!$D$112,eQuest_Schedule_Importer[[#All],[Schedule Name]],0),MATCH(O$22,eQuest_Schedule_Importer[#Headers],0)),"")</f>
        <v>#N/A</v>
      </c>
      <c r="P130" s="191" t="e">
        <f>IF(INDEX(eQuest_Schedule_Importer[#All],MATCH('eQuest Schedules'!$D$112,eQuest_Schedule_Importer[[#All],[Schedule Name]],0),MATCH('eQuest Schedules'!$C130,eQuest_Schedule_Importer[#Headers],0))="TRUE",INDEX(eQuest_Schedule_Importer[#All],MATCH('eQuest Schedules'!$D$112,eQuest_Schedule_Importer[[#All],[Schedule Name]],0),MATCH(P$22,eQuest_Schedule_Importer[#Headers],0)),"")</f>
        <v>#N/A</v>
      </c>
      <c r="Q130" s="191" t="e">
        <f>IF(INDEX(eQuest_Schedule_Importer[#All],MATCH('eQuest Schedules'!$D$112,eQuest_Schedule_Importer[[#All],[Schedule Name]],0),MATCH('eQuest Schedules'!$C130,eQuest_Schedule_Importer[#Headers],0))="TRUE",INDEX(eQuest_Schedule_Importer[#All],MATCH('eQuest Schedules'!$D$112,eQuest_Schedule_Importer[[#All],[Schedule Name]],0),MATCH(Q$22,eQuest_Schedule_Importer[#Headers],0)),"")</f>
        <v>#N/A</v>
      </c>
      <c r="R130" s="191" t="e">
        <f>IF(INDEX(eQuest_Schedule_Importer[#All],MATCH('eQuest Schedules'!$D$112,eQuest_Schedule_Importer[[#All],[Schedule Name]],0),MATCH('eQuest Schedules'!$C130,eQuest_Schedule_Importer[#Headers],0))="TRUE",INDEX(eQuest_Schedule_Importer[#All],MATCH('eQuest Schedules'!$D$112,eQuest_Schedule_Importer[[#All],[Schedule Name]],0),MATCH(R$22,eQuest_Schedule_Importer[#Headers],0)),"")</f>
        <v>#N/A</v>
      </c>
      <c r="S130" s="191" t="e">
        <f>IF(INDEX(eQuest_Schedule_Importer[#All],MATCH('eQuest Schedules'!$D$112,eQuest_Schedule_Importer[[#All],[Schedule Name]],0),MATCH('eQuest Schedules'!$C130,eQuest_Schedule_Importer[#Headers],0))="TRUE",INDEX(eQuest_Schedule_Importer[#All],MATCH('eQuest Schedules'!$D$112,eQuest_Schedule_Importer[[#All],[Schedule Name]],0),MATCH(S$22,eQuest_Schedule_Importer[#Headers],0)),"")</f>
        <v>#N/A</v>
      </c>
      <c r="T130" s="191" t="e">
        <f>IF(INDEX(eQuest_Schedule_Importer[#All],MATCH('eQuest Schedules'!$D$112,eQuest_Schedule_Importer[[#All],[Schedule Name]],0),MATCH('eQuest Schedules'!$C130,eQuest_Schedule_Importer[#Headers],0))="TRUE",INDEX(eQuest_Schedule_Importer[#All],MATCH('eQuest Schedules'!$D$112,eQuest_Schedule_Importer[[#All],[Schedule Name]],0),MATCH(T$22,eQuest_Schedule_Importer[#Headers],0)),"")</f>
        <v>#N/A</v>
      </c>
      <c r="U130" s="191" t="e">
        <f>IF(INDEX(eQuest_Schedule_Importer[#All],MATCH('eQuest Schedules'!$D$112,eQuest_Schedule_Importer[[#All],[Schedule Name]],0),MATCH('eQuest Schedules'!$C130,eQuest_Schedule_Importer[#Headers],0))="TRUE",INDEX(eQuest_Schedule_Importer[#All],MATCH('eQuest Schedules'!$D$112,eQuest_Schedule_Importer[[#All],[Schedule Name]],0),MATCH(U$22,eQuest_Schedule_Importer[#Headers],0)),"")</f>
        <v>#N/A</v>
      </c>
      <c r="V130" s="191" t="e">
        <f>IF(INDEX(eQuest_Schedule_Importer[#All],MATCH('eQuest Schedules'!$D$112,eQuest_Schedule_Importer[[#All],[Schedule Name]],0),MATCH('eQuest Schedules'!$C130,eQuest_Schedule_Importer[#Headers],0))="TRUE",INDEX(eQuest_Schedule_Importer[#All],MATCH('eQuest Schedules'!$D$112,eQuest_Schedule_Importer[[#All],[Schedule Name]],0),MATCH(V$22,eQuest_Schedule_Importer[#Headers],0)),"")</f>
        <v>#N/A</v>
      </c>
      <c r="W130" s="191" t="e">
        <f>IF(INDEX(eQuest_Schedule_Importer[#All],MATCH('eQuest Schedules'!$D$112,eQuest_Schedule_Importer[[#All],[Schedule Name]],0),MATCH('eQuest Schedules'!$C130,eQuest_Schedule_Importer[#Headers],0))="TRUE",INDEX(eQuest_Schedule_Importer[#All],MATCH('eQuest Schedules'!$D$112,eQuest_Schedule_Importer[[#All],[Schedule Name]],0),MATCH(W$22,eQuest_Schedule_Importer[#Headers],0)),"")</f>
        <v>#N/A</v>
      </c>
      <c r="X130" s="191" t="e">
        <f>IF(INDEX(eQuest_Schedule_Importer[#All],MATCH('eQuest Schedules'!$D$112,eQuest_Schedule_Importer[[#All],[Schedule Name]],0),MATCH('eQuest Schedules'!$C130,eQuest_Schedule_Importer[#Headers],0))="TRUE",INDEX(eQuest_Schedule_Importer[#All],MATCH('eQuest Schedules'!$D$112,eQuest_Schedule_Importer[[#All],[Schedule Name]],0),MATCH(X$22,eQuest_Schedule_Importer[#Headers],0)),"")</f>
        <v>#N/A</v>
      </c>
      <c r="Y130" s="191" t="e">
        <f>IF(INDEX(eQuest_Schedule_Importer[#All],MATCH('eQuest Schedules'!$D$112,eQuest_Schedule_Importer[[#All],[Schedule Name]],0),MATCH('eQuest Schedules'!$C130,eQuest_Schedule_Importer[#Headers],0))="TRUE",INDEX(eQuest_Schedule_Importer[#All],MATCH('eQuest Schedules'!$D$112,eQuest_Schedule_Importer[[#All],[Schedule Name]],0),MATCH(Y$22,eQuest_Schedule_Importer[#Headers],0)),"")</f>
        <v>#N/A</v>
      </c>
      <c r="Z130" s="191" t="e">
        <f>IF(INDEX(eQuest_Schedule_Importer[#All],MATCH('eQuest Schedules'!$D$112,eQuest_Schedule_Importer[[#All],[Schedule Name]],0),MATCH('eQuest Schedules'!$C130,eQuest_Schedule_Importer[#Headers],0))="TRUE",INDEX(eQuest_Schedule_Importer[#All],MATCH('eQuest Schedules'!$D$112,eQuest_Schedule_Importer[[#All],[Schedule Name]],0),MATCH(Z$22,eQuest_Schedule_Importer[#Headers],0)),"")</f>
        <v>#N/A</v>
      </c>
      <c r="AA130" s="191" t="e">
        <f>IF(INDEX(eQuest_Schedule_Importer[#All],MATCH('eQuest Schedules'!$D$112,eQuest_Schedule_Importer[[#All],[Schedule Name]],0),MATCH('eQuest Schedules'!$C130,eQuest_Schedule_Importer[#Headers],0))="TRUE",INDEX(eQuest_Schedule_Importer[#All],MATCH('eQuest Schedules'!$D$112,eQuest_Schedule_Importer[[#All],[Schedule Name]],0),MATCH(AA$22,eQuest_Schedule_Importer[#Headers],0)),"")</f>
        <v>#N/A</v>
      </c>
    </row>
  </sheetData>
  <mergeCells count="7">
    <mergeCell ref="D112:M112"/>
    <mergeCell ref="D49:M49"/>
    <mergeCell ref="D70:M70"/>
    <mergeCell ref="D91:M91"/>
    <mergeCell ref="A6:AB6"/>
    <mergeCell ref="D7:M7"/>
    <mergeCell ref="D28:M28"/>
  </mergeCells>
  <phoneticPr fontId="49" type="noConversion"/>
  <conditionalFormatting sqref="D23:AA25">
    <cfRule type="colorScale" priority="23">
      <colorScale>
        <cfvo type="min"/>
        <cfvo type="max"/>
        <color theme="0"/>
        <color rgb="FFCC0066"/>
      </colorScale>
    </cfRule>
  </conditionalFormatting>
  <conditionalFormatting sqref="D44:AA46">
    <cfRule type="colorScale" priority="5">
      <colorScale>
        <cfvo type="min"/>
        <cfvo type="max"/>
        <color theme="0"/>
        <color rgb="FFCC0066"/>
      </colorScale>
    </cfRule>
  </conditionalFormatting>
  <conditionalFormatting sqref="D65:AA67">
    <cfRule type="colorScale" priority="4">
      <colorScale>
        <cfvo type="min"/>
        <cfvo type="max"/>
        <color theme="0"/>
        <color rgb="FFCC0066"/>
      </colorScale>
    </cfRule>
  </conditionalFormatting>
  <conditionalFormatting sqref="D86:AA88">
    <cfRule type="colorScale" priority="3">
      <colorScale>
        <cfvo type="min"/>
        <cfvo type="max"/>
        <color theme="0"/>
        <color rgb="FFCC0066"/>
      </colorScale>
    </cfRule>
  </conditionalFormatting>
  <conditionalFormatting sqref="D107:AA109">
    <cfRule type="colorScale" priority="2">
      <colorScale>
        <cfvo type="min"/>
        <cfvo type="max"/>
        <color theme="0"/>
        <color rgb="FFCC0066"/>
      </colorScale>
    </cfRule>
  </conditionalFormatting>
  <conditionalFormatting sqref="D128:AA130">
    <cfRule type="colorScale" priority="1">
      <colorScale>
        <cfvo type="min"/>
        <cfvo type="max"/>
        <color theme="0"/>
        <color rgb="FFCC0066"/>
      </colorScale>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6853D40A-1A2A-421E-8F1E-3ABB91CE7A68}">
          <x14:formula1>
            <xm:f>'eQuest Schedule Importer'!$A$2:$A$80</xm:f>
          </x14:formula1>
          <xm:sqref>D7:M7 D28:M28 D49:M49 D70:M70 D91:M91 D112:M112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04B06-4A7C-473C-9B68-2EE99CBE80F1}">
  <sheetPr codeName="Sheet23"/>
  <dimension ref="A1:AK80"/>
  <sheetViews>
    <sheetView workbookViewId="0">
      <selection activeCell="M2" sqref="M2"/>
    </sheetView>
  </sheetViews>
  <sheetFormatPr defaultRowHeight="15" x14ac:dyDescent="0.25"/>
  <cols>
    <col min="1" max="1" width="17.28515625" bestFit="1" customWidth="1"/>
    <col min="2" max="2" width="16.28515625" bestFit="1" customWidth="1"/>
    <col min="3" max="3" width="9.7109375" bestFit="1" customWidth="1"/>
    <col min="4" max="5" width="10.5703125" bestFit="1" customWidth="1"/>
    <col min="6" max="6" width="13.85546875" bestFit="1" customWidth="1"/>
    <col min="7" max="7" width="11.28515625" bestFit="1" customWidth="1"/>
    <col min="8" max="8" width="8.7109375" bestFit="1" customWidth="1"/>
    <col min="9" max="9" width="11" bestFit="1" customWidth="1"/>
    <col min="10" max="10" width="11" customWidth="1"/>
    <col min="11" max="11" width="11.7109375" bestFit="1" customWidth="1"/>
    <col min="12" max="12" width="12" bestFit="1" customWidth="1"/>
    <col min="13" max="13" width="10" bestFit="1" customWidth="1"/>
    <col min="14" max="22" width="7.85546875" bestFit="1" customWidth="1"/>
    <col min="23" max="24" width="8.85546875" bestFit="1" customWidth="1"/>
    <col min="25" max="36" width="8.7109375" bestFit="1" customWidth="1"/>
    <col min="37" max="37" width="8.85546875" bestFit="1" customWidth="1"/>
  </cols>
  <sheetData>
    <row r="1" spans="1:37" x14ac:dyDescent="0.25">
      <c r="A1" s="640" t="s">
        <v>2042</v>
      </c>
      <c r="B1" s="640" t="s">
        <v>2050</v>
      </c>
      <c r="C1" s="640" t="s">
        <v>2049</v>
      </c>
      <c r="D1" s="640" t="s">
        <v>2043</v>
      </c>
      <c r="E1" s="640" t="s">
        <v>2044</v>
      </c>
      <c r="F1" s="640" t="s">
        <v>2045</v>
      </c>
      <c r="G1" s="640" t="s">
        <v>2046</v>
      </c>
      <c r="H1" s="640" t="s">
        <v>2047</v>
      </c>
      <c r="I1" s="640" t="s">
        <v>2048</v>
      </c>
      <c r="J1" s="640" t="s">
        <v>1027</v>
      </c>
      <c r="K1" s="640" t="s">
        <v>1025</v>
      </c>
      <c r="L1" s="640" t="s">
        <v>1026</v>
      </c>
      <c r="M1" s="640" t="s">
        <v>2077</v>
      </c>
      <c r="N1" s="640" t="s">
        <v>2053</v>
      </c>
      <c r="O1" s="640" t="s">
        <v>2054</v>
      </c>
      <c r="P1" s="640" t="s">
        <v>2055</v>
      </c>
      <c r="Q1" s="640" t="s">
        <v>2056</v>
      </c>
      <c r="R1" s="640" t="s">
        <v>2057</v>
      </c>
      <c r="S1" s="640" t="s">
        <v>2058</v>
      </c>
      <c r="T1" s="640" t="s">
        <v>2059</v>
      </c>
      <c r="U1" s="640" t="s">
        <v>2060</v>
      </c>
      <c r="V1" s="640" t="s">
        <v>2061</v>
      </c>
      <c r="W1" s="640" t="s">
        <v>2062</v>
      </c>
      <c r="X1" s="640" t="s">
        <v>2063</v>
      </c>
      <c r="Y1" s="640" t="s">
        <v>2065</v>
      </c>
      <c r="Z1" s="640" t="s">
        <v>2066</v>
      </c>
      <c r="AA1" s="640" t="s">
        <v>2067</v>
      </c>
      <c r="AB1" s="640" t="s">
        <v>2068</v>
      </c>
      <c r="AC1" s="640" t="s">
        <v>2069</v>
      </c>
      <c r="AD1" s="640" t="s">
        <v>2070</v>
      </c>
      <c r="AE1" s="640" t="s">
        <v>2071</v>
      </c>
      <c r="AF1" s="640" t="s">
        <v>2072</v>
      </c>
      <c r="AG1" s="640" t="s">
        <v>2073</v>
      </c>
      <c r="AH1" s="640" t="s">
        <v>2074</v>
      </c>
      <c r="AI1" s="640" t="s">
        <v>2075</v>
      </c>
      <c r="AJ1" s="640" t="s">
        <v>2076</v>
      </c>
      <c r="AK1" s="640" t="s">
        <v>2064</v>
      </c>
    </row>
    <row r="2" spans="1:37" x14ac:dyDescent="0.25">
      <c r="A2" t="s">
        <v>911</v>
      </c>
      <c r="B2" t="s">
        <v>2051</v>
      </c>
      <c r="C2" t="s">
        <v>2052</v>
      </c>
      <c r="D2" t="s">
        <v>2052</v>
      </c>
      <c r="E2" t="s">
        <v>2052</v>
      </c>
      <c r="F2" t="s">
        <v>2052</v>
      </c>
      <c r="G2" t="s">
        <v>2052</v>
      </c>
      <c r="H2" t="s">
        <v>2052</v>
      </c>
      <c r="I2" t="s">
        <v>2052</v>
      </c>
      <c r="J2" t="s">
        <v>2052</v>
      </c>
      <c r="K2" t="str">
        <f>IF(COUNTIF(eQuest_Schedule_Importer[[#This Row],[Monday]:[Friday]],"X")&gt;=1,"TRUE","")</f>
        <v>TRUE</v>
      </c>
      <c r="L2" t="str">
        <f>IF(SUM(COUNTIF(eQuest_Schedule_Importer[[#This Row],[Sunday]],"X"),COUNTIF(eQuest_Schedule_Importer[[#This Row],[Saturday]],"X"))&gt;=1,"TRUE","")</f>
        <v>TRUE</v>
      </c>
      <c r="M2" s="3" t="str">
        <f>IF(eQuest_Schedule_Importer[[#This Row],[Holiday]]="X","TRUE","")</f>
        <v>TRUE</v>
      </c>
      <c r="N2" s="584">
        <v>0.25</v>
      </c>
      <c r="O2" s="584">
        <v>0.25</v>
      </c>
      <c r="P2" s="584">
        <v>0.25</v>
      </c>
      <c r="Q2" s="584">
        <v>0.25</v>
      </c>
      <c r="R2" s="584">
        <v>0.5</v>
      </c>
      <c r="S2" s="584">
        <v>0.5</v>
      </c>
      <c r="T2" s="584">
        <v>0.5</v>
      </c>
      <c r="U2" s="584">
        <v>0.5</v>
      </c>
      <c r="V2" s="584">
        <v>0.5</v>
      </c>
      <c r="W2" s="584">
        <v>0.5</v>
      </c>
      <c r="X2" s="584">
        <v>0.5</v>
      </c>
      <c r="Y2" s="584">
        <v>0.5</v>
      </c>
      <c r="Z2" s="584">
        <v>0.5</v>
      </c>
      <c r="AA2" s="584">
        <v>0.5</v>
      </c>
      <c r="AB2" s="584">
        <v>0.5</v>
      </c>
      <c r="AC2" s="584">
        <v>0.5</v>
      </c>
      <c r="AD2" s="584">
        <v>0.5</v>
      </c>
      <c r="AE2" s="584">
        <v>0.5</v>
      </c>
      <c r="AF2" s="584">
        <v>0.5</v>
      </c>
      <c r="AG2" s="584">
        <v>0.25</v>
      </c>
      <c r="AH2" s="584">
        <v>0.25</v>
      </c>
      <c r="AI2" s="584">
        <v>0.25</v>
      </c>
      <c r="AJ2" s="584">
        <v>0.25</v>
      </c>
      <c r="AK2" s="584">
        <v>0.25</v>
      </c>
    </row>
    <row r="3" spans="1:37" x14ac:dyDescent="0.25">
      <c r="K3" t="str">
        <f>IF(COUNTIF(eQuest_Schedule_Importer[[#This Row],[Monday]:[Friday]],"X")&gt;=1,"TRUE","")</f>
        <v/>
      </c>
      <c r="L3" t="str">
        <f>IF(SUM(COUNTIF(eQuest_Schedule_Importer[[#This Row],[Sunday]],"X"),COUNTIF(eQuest_Schedule_Importer[[#This Row],[Saturday]],"X"))&gt;=1,"TRUE","")</f>
        <v/>
      </c>
      <c r="M3" t="str">
        <f>IF(eQuest_Schedule_Importer[[#This Row],[Holiday]]="X","TRUE","")</f>
        <v/>
      </c>
      <c r="N3" s="584"/>
      <c r="O3" s="584"/>
      <c r="P3" s="584"/>
      <c r="Q3" s="584"/>
      <c r="R3" s="584"/>
      <c r="S3" s="584"/>
      <c r="T3" s="584"/>
      <c r="U3" s="584"/>
      <c r="V3" s="584"/>
      <c r="W3" s="584"/>
      <c r="X3" s="584"/>
      <c r="Y3" s="584"/>
      <c r="Z3" s="584"/>
      <c r="AA3" s="584"/>
      <c r="AB3" s="584"/>
      <c r="AC3" s="584"/>
      <c r="AD3" s="584"/>
      <c r="AE3" s="584"/>
      <c r="AF3" s="584"/>
      <c r="AG3" s="584"/>
      <c r="AH3" s="584"/>
      <c r="AI3" s="584"/>
      <c r="AJ3" s="584"/>
      <c r="AK3" s="584"/>
    </row>
    <row r="4" spans="1:37" x14ac:dyDescent="0.25">
      <c r="K4" t="str">
        <f>IF(COUNTIF(eQuest_Schedule_Importer[[#This Row],[Monday]:[Friday]],"X")&gt;=1,"TRUE","")</f>
        <v/>
      </c>
      <c r="L4" t="str">
        <f>IF(SUM(COUNTIF(eQuest_Schedule_Importer[[#This Row],[Sunday]],"X"),COUNTIF(eQuest_Schedule_Importer[[#This Row],[Saturday]],"X"))&gt;=1,"TRUE","")</f>
        <v/>
      </c>
      <c r="M4" t="str">
        <f>IF(eQuest_Schedule_Importer[[#This Row],[Holiday]]="X","TRUE","")</f>
        <v/>
      </c>
      <c r="N4" s="584"/>
      <c r="O4" s="584"/>
      <c r="P4" s="584"/>
      <c r="Q4" s="584"/>
      <c r="R4" s="584"/>
      <c r="S4" s="584"/>
      <c r="T4" s="584"/>
      <c r="U4" s="584"/>
      <c r="V4" s="584"/>
      <c r="W4" s="584"/>
      <c r="X4" s="584"/>
      <c r="Y4" s="584"/>
      <c r="Z4" s="584"/>
      <c r="AA4" s="584"/>
      <c r="AB4" s="584"/>
      <c r="AC4" s="584"/>
      <c r="AD4" s="584"/>
      <c r="AE4" s="584"/>
      <c r="AF4" s="584"/>
      <c r="AG4" s="584"/>
      <c r="AH4" s="584"/>
      <c r="AI4" s="584"/>
      <c r="AJ4" s="584"/>
      <c r="AK4" s="584"/>
    </row>
    <row r="5" spans="1:37" x14ac:dyDescent="0.25">
      <c r="K5" t="str">
        <f>IF(COUNTIF(eQuest_Schedule_Importer[[#This Row],[Monday]:[Friday]],"X")&gt;=1,"TRUE","")</f>
        <v/>
      </c>
      <c r="L5" t="str">
        <f>IF(SUM(COUNTIF(eQuest_Schedule_Importer[[#This Row],[Sunday]],"X"),COUNTIF(eQuest_Schedule_Importer[[#This Row],[Saturday]],"X"))&gt;=1,"TRUE","")</f>
        <v/>
      </c>
      <c r="M5" t="str">
        <f>IF(eQuest_Schedule_Importer[[#This Row],[Holiday]]="X","TRUE","")</f>
        <v/>
      </c>
      <c r="N5" s="584"/>
      <c r="O5" s="584"/>
      <c r="P5" s="584"/>
      <c r="Q5" s="584"/>
      <c r="R5" s="584"/>
      <c r="S5" s="584"/>
      <c r="T5" s="584"/>
      <c r="U5" s="584"/>
      <c r="V5" s="584"/>
      <c r="W5" s="584"/>
      <c r="X5" s="584"/>
      <c r="Y5" s="584"/>
      <c r="Z5" s="584"/>
      <c r="AA5" s="584"/>
      <c r="AB5" s="584"/>
      <c r="AC5" s="584"/>
      <c r="AD5" s="584"/>
      <c r="AE5" s="584"/>
      <c r="AF5" s="584"/>
      <c r="AG5" s="584"/>
      <c r="AH5" s="584"/>
      <c r="AI5" s="584"/>
      <c r="AJ5" s="584"/>
      <c r="AK5" s="584"/>
    </row>
    <row r="6" spans="1:37" x14ac:dyDescent="0.25">
      <c r="K6" t="str">
        <f>IF(COUNTIF(eQuest_Schedule_Importer[[#This Row],[Monday]:[Friday]],"X")&gt;=1,"TRUE","")</f>
        <v/>
      </c>
      <c r="L6" t="str">
        <f>IF(SUM(COUNTIF(eQuest_Schedule_Importer[[#This Row],[Sunday]],"X"),COUNTIF(eQuest_Schedule_Importer[[#This Row],[Saturday]],"X"))&gt;=1,"TRUE","")</f>
        <v/>
      </c>
      <c r="M6" t="str">
        <f>IF(eQuest_Schedule_Importer[[#This Row],[Holiday]]="X","TRUE","")</f>
        <v/>
      </c>
      <c r="N6" s="584"/>
      <c r="O6" s="584"/>
      <c r="P6" s="584"/>
      <c r="Q6" s="584"/>
      <c r="R6" s="584"/>
      <c r="S6" s="584"/>
      <c r="T6" s="584"/>
      <c r="U6" s="584"/>
      <c r="V6" s="584"/>
      <c r="W6" s="584"/>
      <c r="X6" s="584"/>
      <c r="Y6" s="584"/>
      <c r="Z6" s="584"/>
      <c r="AA6" s="584"/>
      <c r="AB6" s="584"/>
      <c r="AC6" s="584"/>
      <c r="AD6" s="584"/>
      <c r="AE6" s="584"/>
      <c r="AF6" s="584"/>
      <c r="AG6" s="584"/>
      <c r="AH6" s="584"/>
      <c r="AI6" s="584"/>
      <c r="AJ6" s="584"/>
      <c r="AK6" s="584"/>
    </row>
    <row r="7" spans="1:37" x14ac:dyDescent="0.25">
      <c r="K7" t="str">
        <f>IF(COUNTIF(eQuest_Schedule_Importer[[#This Row],[Monday]:[Friday]],"X")&gt;=1,"TRUE","")</f>
        <v/>
      </c>
      <c r="L7" t="str">
        <f>IF(SUM(COUNTIF(eQuest_Schedule_Importer[[#This Row],[Sunday]],"X"),COUNTIF(eQuest_Schedule_Importer[[#This Row],[Saturday]],"X"))&gt;=1,"TRUE","")</f>
        <v/>
      </c>
      <c r="M7" t="str">
        <f>IF(eQuest_Schedule_Importer[[#This Row],[Holiday]]="X","TRUE","")</f>
        <v/>
      </c>
      <c r="N7" s="584"/>
      <c r="O7" s="584"/>
      <c r="P7" s="584"/>
      <c r="Q7" s="584"/>
      <c r="R7" s="584"/>
      <c r="S7" s="584"/>
      <c r="T7" s="584"/>
      <c r="U7" s="584"/>
      <c r="V7" s="584"/>
      <c r="W7" s="584"/>
      <c r="X7" s="584"/>
      <c r="Y7" s="584"/>
      <c r="Z7" s="584"/>
      <c r="AA7" s="584"/>
      <c r="AB7" s="584"/>
      <c r="AC7" s="584"/>
      <c r="AD7" s="584"/>
      <c r="AE7" s="584"/>
      <c r="AF7" s="584"/>
      <c r="AG7" s="584"/>
      <c r="AH7" s="584"/>
      <c r="AI7" s="584"/>
      <c r="AJ7" s="584"/>
      <c r="AK7" s="584"/>
    </row>
    <row r="8" spans="1:37" x14ac:dyDescent="0.25">
      <c r="K8" t="str">
        <f>IF(COUNTIF(eQuest_Schedule_Importer[[#This Row],[Monday]:[Friday]],"X")&gt;=1,"TRUE","")</f>
        <v/>
      </c>
      <c r="L8" t="str">
        <f>IF(SUM(COUNTIF(eQuest_Schedule_Importer[[#This Row],[Sunday]],"X"),COUNTIF(eQuest_Schedule_Importer[[#This Row],[Saturday]],"X"))&gt;=1,"TRUE","")</f>
        <v/>
      </c>
      <c r="M8" t="str">
        <f>IF(eQuest_Schedule_Importer[[#This Row],[Holiday]]="X","TRUE","")</f>
        <v/>
      </c>
      <c r="N8" s="584"/>
      <c r="O8" s="584"/>
      <c r="P8" s="584"/>
      <c r="Q8" s="584"/>
      <c r="R8" s="584"/>
      <c r="S8" s="584"/>
      <c r="T8" s="584"/>
      <c r="U8" s="584"/>
      <c r="V8" s="584"/>
      <c r="W8" s="584"/>
      <c r="X8" s="584"/>
      <c r="Y8" s="584"/>
      <c r="Z8" s="584"/>
      <c r="AA8" s="584"/>
      <c r="AB8" s="584"/>
      <c r="AC8" s="584"/>
      <c r="AD8" s="584"/>
      <c r="AE8" s="584"/>
      <c r="AF8" s="584"/>
      <c r="AG8" s="584"/>
      <c r="AH8" s="584"/>
      <c r="AI8" s="584"/>
      <c r="AJ8" s="584"/>
      <c r="AK8" s="584"/>
    </row>
    <row r="9" spans="1:37" x14ac:dyDescent="0.25">
      <c r="K9" t="str">
        <f>IF(COUNTIF(eQuest_Schedule_Importer[[#This Row],[Monday]:[Friday]],"X")&gt;=1,"TRUE","")</f>
        <v/>
      </c>
      <c r="L9" t="str">
        <f>IF(SUM(COUNTIF(eQuest_Schedule_Importer[[#This Row],[Sunday]],"X"),COUNTIF(eQuest_Schedule_Importer[[#This Row],[Saturday]],"X"))&gt;=1,"TRUE","")</f>
        <v/>
      </c>
      <c r="M9" t="str">
        <f>IF(eQuest_Schedule_Importer[[#This Row],[Holiday]]="X","TRUE","")</f>
        <v/>
      </c>
      <c r="N9" s="584"/>
      <c r="O9" s="584"/>
      <c r="P9" s="584"/>
      <c r="Q9" s="584"/>
      <c r="R9" s="584"/>
      <c r="S9" s="584"/>
      <c r="T9" s="584"/>
      <c r="U9" s="584"/>
      <c r="V9" s="584"/>
      <c r="W9" s="584"/>
      <c r="X9" s="584"/>
      <c r="Y9" s="584"/>
      <c r="Z9" s="584"/>
      <c r="AA9" s="584"/>
      <c r="AB9" s="584"/>
      <c r="AC9" s="584"/>
      <c r="AD9" s="584"/>
      <c r="AE9" s="584"/>
      <c r="AF9" s="584"/>
      <c r="AG9" s="584"/>
      <c r="AH9" s="584"/>
      <c r="AI9" s="584"/>
      <c r="AJ9" s="584"/>
      <c r="AK9" s="584"/>
    </row>
    <row r="10" spans="1:37" x14ac:dyDescent="0.25">
      <c r="K10" t="str">
        <f>IF(COUNTIF(eQuest_Schedule_Importer[[#This Row],[Monday]:[Friday]],"X")&gt;=1,"TRUE","")</f>
        <v/>
      </c>
      <c r="L10" t="str">
        <f>IF(SUM(COUNTIF(eQuest_Schedule_Importer[[#This Row],[Sunday]],"X"),COUNTIF(eQuest_Schedule_Importer[[#This Row],[Saturday]],"X"))&gt;=1,"TRUE","")</f>
        <v/>
      </c>
      <c r="M10" t="str">
        <f>IF(eQuest_Schedule_Importer[[#This Row],[Holiday]]="X","TRUE","")</f>
        <v/>
      </c>
      <c r="N10" s="584"/>
      <c r="O10" s="584"/>
      <c r="P10" s="584"/>
      <c r="Q10" s="584"/>
      <c r="R10" s="584"/>
      <c r="S10" s="584"/>
      <c r="T10" s="584"/>
      <c r="U10" s="584"/>
      <c r="V10" s="584"/>
      <c r="W10" s="584"/>
      <c r="X10" s="584"/>
      <c r="Y10" s="584"/>
      <c r="Z10" s="584"/>
      <c r="AA10" s="584"/>
      <c r="AB10" s="584"/>
      <c r="AC10" s="584"/>
      <c r="AD10" s="584"/>
      <c r="AE10" s="584"/>
      <c r="AF10" s="584"/>
      <c r="AG10" s="584"/>
      <c r="AH10" s="584"/>
      <c r="AI10" s="584"/>
      <c r="AJ10" s="584"/>
      <c r="AK10" s="584"/>
    </row>
    <row r="11" spans="1:37" x14ac:dyDescent="0.25">
      <c r="K11" t="str">
        <f>IF(COUNTIF(eQuest_Schedule_Importer[[#This Row],[Monday]:[Friday]],"X")&gt;=1,"TRUE","")</f>
        <v/>
      </c>
      <c r="L11" t="str">
        <f>IF(SUM(COUNTIF(eQuest_Schedule_Importer[[#This Row],[Sunday]],"X"),COUNTIF(eQuest_Schedule_Importer[[#This Row],[Saturday]],"X"))&gt;=1,"TRUE","")</f>
        <v/>
      </c>
      <c r="M11" t="str">
        <f>IF(eQuest_Schedule_Importer[[#This Row],[Holiday]]="X","TRUE","")</f>
        <v/>
      </c>
      <c r="N11" s="584"/>
      <c r="O11" s="584"/>
      <c r="P11" s="584"/>
      <c r="Q11" s="584"/>
      <c r="R11" s="584"/>
      <c r="S11" s="584"/>
      <c r="T11" s="584"/>
      <c r="U11" s="584"/>
      <c r="V11" s="584"/>
      <c r="W11" s="584"/>
      <c r="X11" s="584"/>
      <c r="Y11" s="584"/>
      <c r="Z11" s="584"/>
      <c r="AA11" s="584"/>
      <c r="AB11" s="584"/>
      <c r="AC11" s="584"/>
      <c r="AD11" s="584"/>
      <c r="AE11" s="584"/>
      <c r="AF11" s="584"/>
      <c r="AG11" s="584"/>
      <c r="AH11" s="584"/>
      <c r="AI11" s="584"/>
      <c r="AJ11" s="584"/>
      <c r="AK11" s="584"/>
    </row>
    <row r="12" spans="1:37" x14ac:dyDescent="0.25">
      <c r="K12" t="str">
        <f>IF(COUNTIF(eQuest_Schedule_Importer[[#This Row],[Monday]:[Friday]],"X")&gt;=1,"TRUE","")</f>
        <v/>
      </c>
      <c r="L12" t="str">
        <f>IF(SUM(COUNTIF(eQuest_Schedule_Importer[[#This Row],[Sunday]],"X"),COUNTIF(eQuest_Schedule_Importer[[#This Row],[Saturday]],"X"))&gt;=1,"TRUE","")</f>
        <v/>
      </c>
      <c r="M12" t="str">
        <f>IF(eQuest_Schedule_Importer[[#This Row],[Holiday]]="X","TRUE","")</f>
        <v/>
      </c>
      <c r="N12" s="584"/>
      <c r="O12" s="584"/>
      <c r="P12" s="584"/>
      <c r="Q12" s="584"/>
      <c r="R12" s="584"/>
      <c r="S12" s="584"/>
      <c r="T12" s="584"/>
      <c r="U12" s="584"/>
      <c r="V12" s="584"/>
      <c r="W12" s="584"/>
      <c r="X12" s="584"/>
      <c r="Y12" s="584"/>
      <c r="Z12" s="584"/>
      <c r="AA12" s="584"/>
      <c r="AB12" s="584"/>
      <c r="AC12" s="584"/>
      <c r="AD12" s="584"/>
      <c r="AE12" s="584"/>
      <c r="AF12" s="584"/>
      <c r="AG12" s="584"/>
      <c r="AH12" s="584"/>
      <c r="AI12" s="584"/>
      <c r="AJ12" s="584"/>
      <c r="AK12" s="584"/>
    </row>
    <row r="13" spans="1:37" x14ac:dyDescent="0.25">
      <c r="K13" t="str">
        <f>IF(COUNTIF(eQuest_Schedule_Importer[[#This Row],[Monday]:[Friday]],"X")&gt;=1,"TRUE","")</f>
        <v/>
      </c>
      <c r="L13" t="str">
        <f>IF(SUM(COUNTIF(eQuest_Schedule_Importer[[#This Row],[Sunday]],"X"),COUNTIF(eQuest_Schedule_Importer[[#This Row],[Saturday]],"X"))&gt;=1,"TRUE","")</f>
        <v/>
      </c>
      <c r="M13" t="str">
        <f>IF(eQuest_Schedule_Importer[[#This Row],[Holiday]]="X","TRUE","")</f>
        <v/>
      </c>
      <c r="N13" s="584"/>
      <c r="O13" s="584"/>
      <c r="P13" s="584"/>
      <c r="Q13" s="584"/>
      <c r="R13" s="584"/>
      <c r="S13" s="584"/>
      <c r="T13" s="584"/>
      <c r="U13" s="584"/>
      <c r="V13" s="584"/>
      <c r="W13" s="584"/>
      <c r="X13" s="584"/>
      <c r="Y13" s="584"/>
      <c r="Z13" s="584"/>
      <c r="AA13" s="584"/>
      <c r="AB13" s="584"/>
      <c r="AC13" s="584"/>
      <c r="AD13" s="584"/>
      <c r="AE13" s="584"/>
      <c r="AF13" s="584"/>
      <c r="AG13" s="584"/>
      <c r="AH13" s="584"/>
      <c r="AI13" s="584"/>
      <c r="AJ13" s="584"/>
      <c r="AK13" s="584"/>
    </row>
    <row r="14" spans="1:37" x14ac:dyDescent="0.25">
      <c r="K14" t="str">
        <f>IF(COUNTIF(eQuest_Schedule_Importer[[#This Row],[Monday]:[Friday]],"X")&gt;=1,"TRUE","")</f>
        <v/>
      </c>
      <c r="L14" t="str">
        <f>IF(SUM(COUNTIF(eQuest_Schedule_Importer[[#This Row],[Sunday]],"X"),COUNTIF(eQuest_Schedule_Importer[[#This Row],[Saturday]],"X"))&gt;=1,"TRUE","")</f>
        <v/>
      </c>
      <c r="M14" t="str">
        <f>IF(eQuest_Schedule_Importer[[#This Row],[Holiday]]="X","TRUE","")</f>
        <v/>
      </c>
      <c r="N14" s="584"/>
      <c r="O14" s="584"/>
      <c r="P14" s="584"/>
      <c r="Q14" s="584"/>
      <c r="R14" s="584"/>
      <c r="S14" s="584"/>
      <c r="T14" s="584"/>
      <c r="U14" s="584"/>
      <c r="V14" s="584"/>
      <c r="W14" s="584"/>
      <c r="X14" s="584"/>
      <c r="Y14" s="584"/>
      <c r="Z14" s="584"/>
      <c r="AA14" s="584"/>
      <c r="AB14" s="584"/>
      <c r="AC14" s="584"/>
      <c r="AD14" s="584"/>
      <c r="AE14" s="584"/>
      <c r="AF14" s="584"/>
      <c r="AG14" s="584"/>
      <c r="AH14" s="584"/>
      <c r="AI14" s="584"/>
      <c r="AJ14" s="584"/>
      <c r="AK14" s="584"/>
    </row>
    <row r="15" spans="1:37" x14ac:dyDescent="0.25">
      <c r="K15" t="str">
        <f>IF(COUNTIF(eQuest_Schedule_Importer[[#This Row],[Monday]:[Friday]],"X")&gt;=1,"TRUE","")</f>
        <v/>
      </c>
      <c r="L15" t="str">
        <f>IF(SUM(COUNTIF(eQuest_Schedule_Importer[[#This Row],[Sunday]],"X"),COUNTIF(eQuest_Schedule_Importer[[#This Row],[Saturday]],"X"))&gt;=1,"TRUE","")</f>
        <v/>
      </c>
      <c r="M15" t="str">
        <f>IF(eQuest_Schedule_Importer[[#This Row],[Holiday]]="X","TRUE","")</f>
        <v/>
      </c>
      <c r="N15" s="584"/>
      <c r="O15" s="584"/>
      <c r="P15" s="584"/>
      <c r="Q15" s="584"/>
      <c r="R15" s="584"/>
      <c r="S15" s="584"/>
      <c r="T15" s="584"/>
      <c r="U15" s="584"/>
      <c r="V15" s="584"/>
      <c r="W15" s="584"/>
      <c r="X15" s="584"/>
      <c r="Y15" s="584"/>
      <c r="Z15" s="584"/>
      <c r="AA15" s="584"/>
      <c r="AB15" s="584"/>
      <c r="AC15" s="584"/>
      <c r="AD15" s="584"/>
      <c r="AE15" s="584"/>
      <c r="AF15" s="584"/>
      <c r="AG15" s="584"/>
      <c r="AH15" s="584"/>
      <c r="AI15" s="584"/>
      <c r="AJ15" s="584"/>
      <c r="AK15" s="584"/>
    </row>
    <row r="16" spans="1:37" x14ac:dyDescent="0.25">
      <c r="K16" t="str">
        <f>IF(COUNTIF(eQuest_Schedule_Importer[[#This Row],[Monday]:[Friday]],"X")&gt;=1,"TRUE","")</f>
        <v/>
      </c>
      <c r="L16" t="str">
        <f>IF(SUM(COUNTIF(eQuest_Schedule_Importer[[#This Row],[Sunday]],"X"),COUNTIF(eQuest_Schedule_Importer[[#This Row],[Saturday]],"X"))&gt;=1,"TRUE","")</f>
        <v/>
      </c>
      <c r="M16" t="str">
        <f>IF(eQuest_Schedule_Importer[[#This Row],[Holiday]]="X","TRUE","")</f>
        <v/>
      </c>
      <c r="N16" s="584"/>
      <c r="O16" s="584"/>
      <c r="P16" s="584"/>
      <c r="Q16" s="584"/>
      <c r="R16" s="584"/>
      <c r="S16" s="584"/>
      <c r="T16" s="584"/>
      <c r="U16" s="584"/>
      <c r="V16" s="584"/>
      <c r="W16" s="584"/>
      <c r="X16" s="584"/>
      <c r="Y16" s="584"/>
      <c r="Z16" s="584"/>
      <c r="AA16" s="584"/>
      <c r="AB16" s="584"/>
      <c r="AC16" s="584"/>
      <c r="AD16" s="584"/>
      <c r="AE16" s="584"/>
      <c r="AF16" s="584"/>
      <c r="AG16" s="584"/>
      <c r="AH16" s="584"/>
      <c r="AI16" s="584"/>
      <c r="AJ16" s="584"/>
      <c r="AK16" s="584"/>
    </row>
    <row r="17" spans="11:37" x14ac:dyDescent="0.25">
      <c r="K17" t="str">
        <f>IF(COUNTIF(eQuest_Schedule_Importer[[#This Row],[Monday]:[Friday]],"X")&gt;=1,"TRUE","")</f>
        <v/>
      </c>
      <c r="L17" t="str">
        <f>IF(SUM(COUNTIF(eQuest_Schedule_Importer[[#This Row],[Sunday]],"X"),COUNTIF(eQuest_Schedule_Importer[[#This Row],[Saturday]],"X"))&gt;=1,"TRUE","")</f>
        <v/>
      </c>
      <c r="M17" t="str">
        <f>IF(eQuest_Schedule_Importer[[#This Row],[Holiday]]="X","TRUE","")</f>
        <v/>
      </c>
      <c r="N17" s="584"/>
      <c r="O17" s="584"/>
      <c r="P17" s="584"/>
      <c r="Q17" s="584"/>
      <c r="R17" s="584"/>
      <c r="S17" s="584"/>
      <c r="T17" s="584"/>
      <c r="U17" s="584"/>
      <c r="V17" s="584"/>
      <c r="W17" s="584"/>
      <c r="X17" s="584"/>
      <c r="Y17" s="584"/>
      <c r="Z17" s="584"/>
      <c r="AA17" s="584"/>
      <c r="AB17" s="584"/>
      <c r="AC17" s="584"/>
      <c r="AD17" s="584"/>
      <c r="AE17" s="584"/>
      <c r="AF17" s="584"/>
      <c r="AG17" s="584"/>
      <c r="AH17" s="584"/>
      <c r="AI17" s="584"/>
      <c r="AJ17" s="584"/>
      <c r="AK17" s="584"/>
    </row>
    <row r="18" spans="11:37" x14ac:dyDescent="0.25">
      <c r="K18" t="str">
        <f>IF(COUNTIF(eQuest_Schedule_Importer[[#This Row],[Monday]:[Friday]],"X")&gt;=1,"TRUE","")</f>
        <v/>
      </c>
      <c r="L18" t="str">
        <f>IF(SUM(COUNTIF(eQuest_Schedule_Importer[[#This Row],[Sunday]],"X"),COUNTIF(eQuest_Schedule_Importer[[#This Row],[Saturday]],"X"))&gt;=1,"TRUE","")</f>
        <v/>
      </c>
      <c r="M18" t="str">
        <f>IF(eQuest_Schedule_Importer[[#This Row],[Holiday]]="X","TRUE","")</f>
        <v/>
      </c>
      <c r="N18" s="584"/>
      <c r="O18" s="584"/>
      <c r="P18" s="584"/>
      <c r="Q18" s="584"/>
      <c r="R18" s="584"/>
      <c r="S18" s="584"/>
      <c r="T18" s="584"/>
      <c r="U18" s="584"/>
      <c r="V18" s="584"/>
      <c r="W18" s="584"/>
      <c r="X18" s="584"/>
      <c r="Y18" s="584"/>
      <c r="Z18" s="584"/>
      <c r="AA18" s="584"/>
      <c r="AB18" s="584"/>
      <c r="AC18" s="584"/>
      <c r="AD18" s="584"/>
      <c r="AE18" s="584"/>
      <c r="AF18" s="584"/>
      <c r="AG18" s="584"/>
      <c r="AH18" s="584"/>
      <c r="AI18" s="584"/>
      <c r="AJ18" s="584"/>
      <c r="AK18" s="584"/>
    </row>
    <row r="19" spans="11:37" x14ac:dyDescent="0.25">
      <c r="K19" t="str">
        <f>IF(COUNTIF(eQuest_Schedule_Importer[[#This Row],[Monday]:[Friday]],"X")&gt;=1,"TRUE","")</f>
        <v/>
      </c>
      <c r="L19" t="str">
        <f>IF(SUM(COUNTIF(eQuest_Schedule_Importer[[#This Row],[Sunday]],"X"),COUNTIF(eQuest_Schedule_Importer[[#This Row],[Saturday]],"X"))&gt;=1,"TRUE","")</f>
        <v/>
      </c>
      <c r="M19" t="str">
        <f>IF(eQuest_Schedule_Importer[[#This Row],[Holiday]]="X","TRUE","")</f>
        <v/>
      </c>
      <c r="N19" s="584"/>
      <c r="O19" s="584"/>
      <c r="P19" s="584"/>
      <c r="Q19" s="584"/>
      <c r="R19" s="584"/>
      <c r="S19" s="584"/>
      <c r="T19" s="584"/>
      <c r="U19" s="584"/>
      <c r="V19" s="584"/>
      <c r="W19" s="584"/>
      <c r="X19" s="584"/>
      <c r="Y19" s="584"/>
      <c r="Z19" s="584"/>
      <c r="AA19" s="584"/>
      <c r="AB19" s="584"/>
      <c r="AC19" s="584"/>
      <c r="AD19" s="584"/>
      <c r="AE19" s="584"/>
      <c r="AF19" s="584"/>
      <c r="AG19" s="584"/>
      <c r="AH19" s="584"/>
      <c r="AI19" s="584"/>
      <c r="AJ19" s="584"/>
      <c r="AK19" s="584"/>
    </row>
    <row r="20" spans="11:37" x14ac:dyDescent="0.25">
      <c r="K20" t="str">
        <f>IF(COUNTIF(eQuest_Schedule_Importer[[#This Row],[Monday]:[Friday]],"X")&gt;=1,"TRUE","")</f>
        <v/>
      </c>
      <c r="L20" t="str">
        <f>IF(SUM(COUNTIF(eQuest_Schedule_Importer[[#This Row],[Sunday]],"X"),COUNTIF(eQuest_Schedule_Importer[[#This Row],[Saturday]],"X"))&gt;=1,"TRUE","")</f>
        <v/>
      </c>
      <c r="M20" t="str">
        <f>IF(eQuest_Schedule_Importer[[#This Row],[Holiday]]="X","TRUE","")</f>
        <v/>
      </c>
      <c r="N20" s="584"/>
      <c r="O20" s="584"/>
      <c r="P20" s="584"/>
      <c r="Q20" s="584"/>
      <c r="R20" s="584"/>
      <c r="S20" s="584"/>
      <c r="T20" s="584"/>
      <c r="U20" s="584"/>
      <c r="V20" s="584"/>
      <c r="W20" s="584"/>
      <c r="X20" s="584"/>
      <c r="Y20" s="584"/>
      <c r="Z20" s="584"/>
      <c r="AA20" s="584"/>
      <c r="AB20" s="584"/>
      <c r="AC20" s="584"/>
      <c r="AD20" s="584"/>
      <c r="AE20" s="584"/>
      <c r="AF20" s="584"/>
      <c r="AG20" s="584"/>
      <c r="AH20" s="584"/>
      <c r="AI20" s="584"/>
      <c r="AJ20" s="584"/>
      <c r="AK20" s="584"/>
    </row>
    <row r="21" spans="11:37" x14ac:dyDescent="0.25">
      <c r="K21" t="str">
        <f>IF(COUNTIF(eQuest_Schedule_Importer[[#This Row],[Monday]:[Friday]],"X")&gt;=1,"TRUE","")</f>
        <v/>
      </c>
      <c r="L21" t="str">
        <f>IF(SUM(COUNTIF(eQuest_Schedule_Importer[[#This Row],[Sunday]],"X"),COUNTIF(eQuest_Schedule_Importer[[#This Row],[Saturday]],"X"))&gt;=1,"TRUE","")</f>
        <v/>
      </c>
      <c r="M21" t="str">
        <f>IF(eQuest_Schedule_Importer[[#This Row],[Holiday]]="X","TRUE","")</f>
        <v/>
      </c>
      <c r="N21" s="584"/>
      <c r="O21" s="584"/>
      <c r="P21" s="584"/>
      <c r="Q21" s="584"/>
      <c r="R21" s="584"/>
      <c r="S21" s="584"/>
      <c r="T21" s="584"/>
      <c r="U21" s="584"/>
      <c r="V21" s="584"/>
      <c r="W21" s="584"/>
      <c r="X21" s="584"/>
      <c r="Y21" s="584"/>
      <c r="Z21" s="584"/>
      <c r="AA21" s="584"/>
      <c r="AB21" s="584"/>
      <c r="AC21" s="584"/>
      <c r="AD21" s="584"/>
      <c r="AE21" s="584"/>
      <c r="AF21" s="584"/>
      <c r="AG21" s="584"/>
      <c r="AH21" s="584"/>
      <c r="AI21" s="584"/>
      <c r="AJ21" s="584"/>
      <c r="AK21" s="584"/>
    </row>
    <row r="22" spans="11:37" x14ac:dyDescent="0.25">
      <c r="K22" t="str">
        <f>IF(COUNTIF(eQuest_Schedule_Importer[[#This Row],[Monday]:[Friday]],"X")&gt;=1,"TRUE","")</f>
        <v/>
      </c>
      <c r="L22" t="str">
        <f>IF(SUM(COUNTIF(eQuest_Schedule_Importer[[#This Row],[Sunday]],"X"),COUNTIF(eQuest_Schedule_Importer[[#This Row],[Saturday]],"X"))&gt;=1,"TRUE","")</f>
        <v/>
      </c>
      <c r="M22" t="str">
        <f>IF(eQuest_Schedule_Importer[[#This Row],[Holiday]]="X","TRUE","")</f>
        <v/>
      </c>
      <c r="N22" s="584"/>
      <c r="O22" s="584"/>
      <c r="P22" s="584"/>
      <c r="Q22" s="584"/>
      <c r="R22" s="584"/>
      <c r="S22" s="584"/>
      <c r="T22" s="584"/>
      <c r="U22" s="584"/>
      <c r="V22" s="584"/>
      <c r="W22" s="584"/>
      <c r="X22" s="584"/>
      <c r="Y22" s="584"/>
      <c r="Z22" s="584"/>
      <c r="AA22" s="584"/>
      <c r="AB22" s="584"/>
      <c r="AC22" s="584"/>
      <c r="AD22" s="584"/>
      <c r="AE22" s="584"/>
      <c r="AF22" s="584"/>
      <c r="AG22" s="584"/>
      <c r="AH22" s="584"/>
      <c r="AI22" s="584"/>
      <c r="AJ22" s="584"/>
      <c r="AK22" s="584"/>
    </row>
    <row r="23" spans="11:37" x14ac:dyDescent="0.25">
      <c r="K23" t="str">
        <f>IF(COUNTIF(eQuest_Schedule_Importer[[#This Row],[Monday]:[Friday]],"X")&gt;=1,"TRUE","")</f>
        <v/>
      </c>
      <c r="L23" t="str">
        <f>IF(SUM(COUNTIF(eQuest_Schedule_Importer[[#This Row],[Sunday]],"X"),COUNTIF(eQuest_Schedule_Importer[[#This Row],[Saturday]],"X"))&gt;=1,"TRUE","")</f>
        <v/>
      </c>
      <c r="M23" t="str">
        <f>IF(eQuest_Schedule_Importer[[#This Row],[Holiday]]="X","TRUE","")</f>
        <v/>
      </c>
      <c r="N23" s="584"/>
      <c r="O23" s="584"/>
      <c r="P23" s="584"/>
      <c r="Q23" s="584"/>
      <c r="R23" s="584"/>
      <c r="S23" s="584"/>
      <c r="T23" s="584"/>
      <c r="U23" s="584"/>
      <c r="V23" s="584"/>
      <c r="W23" s="584"/>
      <c r="X23" s="584"/>
      <c r="Y23" s="584"/>
      <c r="Z23" s="584"/>
      <c r="AA23" s="584"/>
      <c r="AB23" s="584"/>
      <c r="AC23" s="584"/>
      <c r="AD23" s="584"/>
      <c r="AE23" s="584"/>
      <c r="AF23" s="584"/>
      <c r="AG23" s="584"/>
      <c r="AH23" s="584"/>
      <c r="AI23" s="584"/>
      <c r="AJ23" s="584"/>
      <c r="AK23" s="584"/>
    </row>
    <row r="24" spans="11:37" x14ac:dyDescent="0.25">
      <c r="K24" t="str">
        <f>IF(COUNTIF(eQuest_Schedule_Importer[[#This Row],[Monday]:[Friday]],"X")&gt;=1,"TRUE","")</f>
        <v/>
      </c>
      <c r="L24" t="str">
        <f>IF(SUM(COUNTIF(eQuest_Schedule_Importer[[#This Row],[Sunday]],"X"),COUNTIF(eQuest_Schedule_Importer[[#This Row],[Saturday]],"X"))&gt;=1,"TRUE","")</f>
        <v/>
      </c>
      <c r="M24" t="str">
        <f>IF(eQuest_Schedule_Importer[[#This Row],[Holiday]]="X","TRUE","")</f>
        <v/>
      </c>
      <c r="N24" s="584"/>
      <c r="O24" s="584"/>
      <c r="P24" s="584"/>
      <c r="Q24" s="584"/>
      <c r="R24" s="584"/>
      <c r="S24" s="584"/>
      <c r="T24" s="584"/>
      <c r="U24" s="584"/>
      <c r="V24" s="584"/>
      <c r="W24" s="584"/>
      <c r="X24" s="584"/>
      <c r="Y24" s="584"/>
      <c r="Z24" s="584"/>
      <c r="AA24" s="584"/>
      <c r="AB24" s="584"/>
      <c r="AC24" s="584"/>
      <c r="AD24" s="584"/>
      <c r="AE24" s="584"/>
      <c r="AF24" s="584"/>
      <c r="AG24" s="584"/>
      <c r="AH24" s="584"/>
      <c r="AI24" s="584"/>
      <c r="AJ24" s="584"/>
      <c r="AK24" s="584"/>
    </row>
    <row r="25" spans="11:37" x14ac:dyDescent="0.25">
      <c r="K25" t="str">
        <f>IF(COUNTIF(eQuest_Schedule_Importer[[#This Row],[Monday]:[Friday]],"X")&gt;=1,"TRUE","")</f>
        <v/>
      </c>
      <c r="L25" t="str">
        <f>IF(SUM(COUNTIF(eQuest_Schedule_Importer[[#This Row],[Sunday]],"X"),COUNTIF(eQuest_Schedule_Importer[[#This Row],[Saturday]],"X"))&gt;=1,"TRUE","")</f>
        <v/>
      </c>
      <c r="M25" t="str">
        <f>IF(eQuest_Schedule_Importer[[#This Row],[Holiday]]="X","TRUE","")</f>
        <v/>
      </c>
      <c r="N25" s="584"/>
      <c r="O25" s="584"/>
      <c r="P25" s="584"/>
      <c r="Q25" s="584"/>
      <c r="R25" s="584"/>
      <c r="S25" s="584"/>
      <c r="T25" s="584"/>
      <c r="U25" s="584"/>
      <c r="V25" s="584"/>
      <c r="W25" s="584"/>
      <c r="X25" s="584"/>
      <c r="Y25" s="584"/>
      <c r="Z25" s="584"/>
      <c r="AA25" s="584"/>
      <c r="AB25" s="584"/>
      <c r="AC25" s="584"/>
      <c r="AD25" s="584"/>
      <c r="AE25" s="584"/>
      <c r="AF25" s="584"/>
      <c r="AG25" s="584"/>
      <c r="AH25" s="584"/>
      <c r="AI25" s="584"/>
      <c r="AJ25" s="584"/>
      <c r="AK25" s="584"/>
    </row>
    <row r="26" spans="11:37" x14ac:dyDescent="0.25">
      <c r="K26" t="str">
        <f>IF(COUNTIF(eQuest_Schedule_Importer[[#This Row],[Monday]:[Friday]],"X")&gt;=1,"TRUE","")</f>
        <v/>
      </c>
      <c r="L26" t="str">
        <f>IF(SUM(COUNTIF(eQuest_Schedule_Importer[[#This Row],[Sunday]],"X"),COUNTIF(eQuest_Schedule_Importer[[#This Row],[Saturday]],"X"))&gt;=1,"TRUE","")</f>
        <v/>
      </c>
      <c r="M26" t="str">
        <f>IF(eQuest_Schedule_Importer[[#This Row],[Holiday]]="X","TRUE","")</f>
        <v/>
      </c>
      <c r="N26" s="584"/>
      <c r="O26" s="584"/>
      <c r="P26" s="584"/>
      <c r="Q26" s="584"/>
      <c r="R26" s="584"/>
      <c r="S26" s="584"/>
      <c r="T26" s="584"/>
      <c r="U26" s="584"/>
      <c r="V26" s="584"/>
      <c r="W26" s="584"/>
      <c r="X26" s="584"/>
      <c r="Y26" s="584"/>
      <c r="Z26" s="584"/>
      <c r="AA26" s="584"/>
      <c r="AB26" s="584"/>
      <c r="AC26" s="584"/>
      <c r="AD26" s="584"/>
      <c r="AE26" s="584"/>
      <c r="AF26" s="584"/>
      <c r="AG26" s="584"/>
      <c r="AH26" s="584"/>
      <c r="AI26" s="584"/>
      <c r="AJ26" s="584"/>
      <c r="AK26" s="584"/>
    </row>
    <row r="27" spans="11:37" x14ac:dyDescent="0.25">
      <c r="K27" t="str">
        <f>IF(COUNTIF(eQuest_Schedule_Importer[[#This Row],[Monday]:[Friday]],"X")&gt;=1,"TRUE","")</f>
        <v/>
      </c>
      <c r="L27" t="str">
        <f>IF(SUM(COUNTIF(eQuest_Schedule_Importer[[#This Row],[Sunday]],"X"),COUNTIF(eQuest_Schedule_Importer[[#This Row],[Saturday]],"X"))&gt;=1,"TRUE","")</f>
        <v/>
      </c>
      <c r="M27" t="str">
        <f>IF(eQuest_Schedule_Importer[[#This Row],[Holiday]]="X","TRUE","")</f>
        <v/>
      </c>
      <c r="N27" s="584"/>
      <c r="O27" s="584"/>
      <c r="P27" s="584"/>
      <c r="Q27" s="584"/>
      <c r="R27" s="584"/>
      <c r="S27" s="584"/>
      <c r="T27" s="584"/>
      <c r="U27" s="584"/>
      <c r="V27" s="584"/>
      <c r="W27" s="584"/>
      <c r="X27" s="584"/>
      <c r="Y27" s="584"/>
      <c r="Z27" s="584"/>
      <c r="AA27" s="584"/>
      <c r="AB27" s="584"/>
      <c r="AC27" s="584"/>
      <c r="AD27" s="584"/>
      <c r="AE27" s="584"/>
      <c r="AF27" s="584"/>
      <c r="AG27" s="584"/>
      <c r="AH27" s="584"/>
      <c r="AI27" s="584"/>
      <c r="AJ27" s="584"/>
      <c r="AK27" s="584"/>
    </row>
    <row r="28" spans="11:37" x14ac:dyDescent="0.25">
      <c r="K28" t="str">
        <f>IF(COUNTIF(eQuest_Schedule_Importer[[#This Row],[Monday]:[Friday]],"X")&gt;=1,"TRUE","")</f>
        <v/>
      </c>
      <c r="L28" t="str">
        <f>IF(SUM(COUNTIF(eQuest_Schedule_Importer[[#This Row],[Sunday]],"X"),COUNTIF(eQuest_Schedule_Importer[[#This Row],[Saturday]],"X"))&gt;=1,"TRUE","")</f>
        <v/>
      </c>
      <c r="M28" t="str">
        <f>IF(eQuest_Schedule_Importer[[#This Row],[Holiday]]="X","TRUE","")</f>
        <v/>
      </c>
      <c r="N28" s="584"/>
      <c r="O28" s="584"/>
      <c r="P28" s="584"/>
      <c r="Q28" s="584"/>
      <c r="R28" s="584"/>
      <c r="S28" s="584"/>
      <c r="T28" s="584"/>
      <c r="U28" s="584"/>
      <c r="V28" s="584"/>
      <c r="W28" s="584"/>
      <c r="X28" s="584"/>
      <c r="Y28" s="584"/>
      <c r="Z28" s="584"/>
      <c r="AA28" s="584"/>
      <c r="AB28" s="584"/>
      <c r="AC28" s="584"/>
      <c r="AD28" s="584"/>
      <c r="AE28" s="584"/>
      <c r="AF28" s="584"/>
      <c r="AG28" s="584"/>
      <c r="AH28" s="584"/>
      <c r="AI28" s="584"/>
      <c r="AJ28" s="584"/>
      <c r="AK28" s="584"/>
    </row>
    <row r="29" spans="11:37" x14ac:dyDescent="0.25">
      <c r="K29" t="str">
        <f>IF(COUNTIF(eQuest_Schedule_Importer[[#This Row],[Monday]:[Friday]],"X")&gt;=1,"TRUE","")</f>
        <v/>
      </c>
      <c r="L29" t="str">
        <f>IF(SUM(COUNTIF(eQuest_Schedule_Importer[[#This Row],[Sunday]],"X"),COUNTIF(eQuest_Schedule_Importer[[#This Row],[Saturday]],"X"))&gt;=1,"TRUE","")</f>
        <v/>
      </c>
      <c r="M29" t="str">
        <f>IF(eQuest_Schedule_Importer[[#This Row],[Holiday]]="X","TRUE","")</f>
        <v/>
      </c>
      <c r="N29" s="584"/>
      <c r="O29" s="584"/>
      <c r="P29" s="584"/>
      <c r="Q29" s="584"/>
      <c r="R29" s="584"/>
      <c r="S29" s="584"/>
      <c r="T29" s="584"/>
      <c r="U29" s="584"/>
      <c r="V29" s="584"/>
      <c r="W29" s="584"/>
      <c r="X29" s="584"/>
      <c r="Y29" s="584"/>
      <c r="Z29" s="584"/>
      <c r="AA29" s="584"/>
      <c r="AB29" s="584"/>
      <c r="AC29" s="584"/>
      <c r="AD29" s="584"/>
      <c r="AE29" s="584"/>
      <c r="AF29" s="584"/>
      <c r="AG29" s="584"/>
      <c r="AH29" s="584"/>
      <c r="AI29" s="584"/>
      <c r="AJ29" s="584"/>
      <c r="AK29" s="584"/>
    </row>
    <row r="30" spans="11:37" x14ac:dyDescent="0.25">
      <c r="K30" t="str">
        <f>IF(COUNTIF(eQuest_Schedule_Importer[[#This Row],[Monday]:[Friday]],"X")&gt;=1,"TRUE","")</f>
        <v/>
      </c>
      <c r="L30" t="str">
        <f>IF(SUM(COUNTIF(eQuest_Schedule_Importer[[#This Row],[Sunday]],"X"),COUNTIF(eQuest_Schedule_Importer[[#This Row],[Saturday]],"X"))&gt;=1,"TRUE","")</f>
        <v/>
      </c>
      <c r="M30" t="str">
        <f>IF(eQuest_Schedule_Importer[[#This Row],[Holiday]]="X","TRUE","")</f>
        <v/>
      </c>
      <c r="N30" s="584"/>
      <c r="O30" s="584"/>
      <c r="P30" s="584"/>
      <c r="Q30" s="584"/>
      <c r="R30" s="584"/>
      <c r="S30" s="584"/>
      <c r="T30" s="584"/>
      <c r="U30" s="584"/>
      <c r="V30" s="584"/>
      <c r="W30" s="584"/>
      <c r="X30" s="584"/>
      <c r="Y30" s="584"/>
      <c r="Z30" s="584"/>
      <c r="AA30" s="584"/>
      <c r="AB30" s="584"/>
      <c r="AC30" s="584"/>
      <c r="AD30" s="584"/>
      <c r="AE30" s="584"/>
      <c r="AF30" s="584"/>
      <c r="AG30" s="584"/>
      <c r="AH30" s="584"/>
      <c r="AI30" s="584"/>
      <c r="AJ30" s="584"/>
      <c r="AK30" s="584"/>
    </row>
    <row r="31" spans="11:37" x14ac:dyDescent="0.25">
      <c r="K31" t="str">
        <f>IF(COUNTIF(eQuest_Schedule_Importer[[#This Row],[Monday]:[Friday]],"X")&gt;=1,"TRUE","")</f>
        <v/>
      </c>
      <c r="L31" t="str">
        <f>IF(SUM(COUNTIF(eQuest_Schedule_Importer[[#This Row],[Sunday]],"X"),COUNTIF(eQuest_Schedule_Importer[[#This Row],[Saturday]],"X"))&gt;=1,"TRUE","")</f>
        <v/>
      </c>
      <c r="M31" t="str">
        <f>IF(eQuest_Schedule_Importer[[#This Row],[Holiday]]="X","TRUE","")</f>
        <v/>
      </c>
      <c r="N31" s="584"/>
      <c r="O31" s="584"/>
      <c r="P31" s="584"/>
      <c r="Q31" s="584"/>
      <c r="R31" s="584"/>
      <c r="S31" s="584"/>
      <c r="T31" s="584"/>
      <c r="U31" s="584"/>
      <c r="V31" s="584"/>
      <c r="W31" s="584"/>
      <c r="X31" s="584"/>
      <c r="Y31" s="584"/>
      <c r="Z31" s="584"/>
      <c r="AA31" s="584"/>
      <c r="AB31" s="584"/>
      <c r="AC31" s="584"/>
      <c r="AD31" s="584"/>
      <c r="AE31" s="584"/>
      <c r="AF31" s="584"/>
      <c r="AG31" s="584"/>
      <c r="AH31" s="584"/>
      <c r="AI31" s="584"/>
      <c r="AJ31" s="584"/>
      <c r="AK31" s="584"/>
    </row>
    <row r="32" spans="11:37" x14ac:dyDescent="0.25">
      <c r="K32" t="str">
        <f>IF(COUNTIF(eQuest_Schedule_Importer[[#This Row],[Monday]:[Friday]],"X")&gt;=1,"TRUE","")</f>
        <v/>
      </c>
      <c r="L32" t="str">
        <f>IF(SUM(COUNTIF(eQuest_Schedule_Importer[[#This Row],[Sunday]],"X"),COUNTIF(eQuest_Schedule_Importer[[#This Row],[Saturday]],"X"))&gt;=1,"TRUE","")</f>
        <v/>
      </c>
      <c r="M32" t="str">
        <f>IF(eQuest_Schedule_Importer[[#This Row],[Holiday]]="X","TRUE","")</f>
        <v/>
      </c>
      <c r="N32" s="584"/>
      <c r="O32" s="584"/>
      <c r="P32" s="584"/>
      <c r="Q32" s="584"/>
      <c r="R32" s="584"/>
      <c r="S32" s="584"/>
      <c r="T32" s="584"/>
      <c r="U32" s="584"/>
      <c r="V32" s="584"/>
      <c r="W32" s="584"/>
      <c r="X32" s="584"/>
      <c r="Y32" s="584"/>
      <c r="Z32" s="584"/>
      <c r="AA32" s="584"/>
      <c r="AB32" s="584"/>
      <c r="AC32" s="584"/>
      <c r="AD32" s="584"/>
      <c r="AE32" s="584"/>
      <c r="AF32" s="584"/>
      <c r="AG32" s="584"/>
      <c r="AH32" s="584"/>
      <c r="AI32" s="584"/>
      <c r="AJ32" s="584"/>
      <c r="AK32" s="584"/>
    </row>
    <row r="33" spans="11:37" x14ac:dyDescent="0.25">
      <c r="K33" t="str">
        <f>IF(COUNTIF(eQuest_Schedule_Importer[[#This Row],[Monday]:[Friday]],"X")&gt;=1,"TRUE","")</f>
        <v/>
      </c>
      <c r="L33" t="str">
        <f>IF(SUM(COUNTIF(eQuest_Schedule_Importer[[#This Row],[Sunday]],"X"),COUNTIF(eQuest_Schedule_Importer[[#This Row],[Saturday]],"X"))&gt;=1,"TRUE","")</f>
        <v/>
      </c>
      <c r="M33" t="str">
        <f>IF(eQuest_Schedule_Importer[[#This Row],[Holiday]]="X","TRUE","")</f>
        <v/>
      </c>
      <c r="N33" s="584"/>
      <c r="O33" s="584"/>
      <c r="P33" s="584"/>
      <c r="Q33" s="584"/>
      <c r="R33" s="584"/>
      <c r="S33" s="584"/>
      <c r="T33" s="584"/>
      <c r="U33" s="584"/>
      <c r="V33" s="584"/>
      <c r="W33" s="584"/>
      <c r="X33" s="584"/>
      <c r="Y33" s="584"/>
      <c r="Z33" s="584"/>
      <c r="AA33" s="584"/>
      <c r="AB33" s="584"/>
      <c r="AC33" s="584"/>
      <c r="AD33" s="584"/>
      <c r="AE33" s="584"/>
      <c r="AF33" s="584"/>
      <c r="AG33" s="584"/>
      <c r="AH33" s="584"/>
      <c r="AI33" s="584"/>
      <c r="AJ33" s="584"/>
      <c r="AK33" s="584"/>
    </row>
    <row r="34" spans="11:37" x14ac:dyDescent="0.25">
      <c r="K34" t="str">
        <f>IF(COUNTIF(eQuest_Schedule_Importer[[#This Row],[Monday]:[Friday]],"X")&gt;=1,"TRUE","")</f>
        <v/>
      </c>
      <c r="L34" t="str">
        <f>IF(SUM(COUNTIF(eQuest_Schedule_Importer[[#This Row],[Sunday]],"X"),COUNTIF(eQuest_Schedule_Importer[[#This Row],[Saturday]],"X"))&gt;=1,"TRUE","")</f>
        <v/>
      </c>
      <c r="M34" t="str">
        <f>IF(eQuest_Schedule_Importer[[#This Row],[Holiday]]="X","TRUE","")</f>
        <v/>
      </c>
      <c r="N34" s="584"/>
      <c r="O34" s="584"/>
      <c r="P34" s="584"/>
      <c r="Q34" s="584"/>
      <c r="R34" s="584"/>
      <c r="S34" s="584"/>
      <c r="T34" s="584"/>
      <c r="U34" s="584"/>
      <c r="V34" s="584"/>
      <c r="W34" s="584"/>
      <c r="X34" s="584"/>
      <c r="Y34" s="584"/>
      <c r="Z34" s="584"/>
      <c r="AA34" s="584"/>
      <c r="AB34" s="584"/>
      <c r="AC34" s="584"/>
      <c r="AD34" s="584"/>
      <c r="AE34" s="584"/>
      <c r="AF34" s="584"/>
      <c r="AG34" s="584"/>
      <c r="AH34" s="584"/>
      <c r="AI34" s="584"/>
      <c r="AJ34" s="584"/>
      <c r="AK34" s="584"/>
    </row>
    <row r="35" spans="11:37" x14ac:dyDescent="0.25">
      <c r="K35" t="str">
        <f>IF(COUNTIF(eQuest_Schedule_Importer[[#This Row],[Monday]:[Friday]],"X")&gt;=1,"TRUE","")</f>
        <v/>
      </c>
      <c r="L35" t="str">
        <f>IF(SUM(COUNTIF(eQuest_Schedule_Importer[[#This Row],[Sunday]],"X"),COUNTIF(eQuest_Schedule_Importer[[#This Row],[Saturday]],"X"))&gt;=1,"TRUE","")</f>
        <v/>
      </c>
      <c r="M35" t="str">
        <f>IF(eQuest_Schedule_Importer[[#This Row],[Holiday]]="X","TRUE","")</f>
        <v/>
      </c>
      <c r="N35" s="584"/>
      <c r="O35" s="584"/>
      <c r="P35" s="584"/>
      <c r="Q35" s="584"/>
      <c r="R35" s="584"/>
      <c r="S35" s="584"/>
      <c r="T35" s="584"/>
      <c r="U35" s="584"/>
      <c r="V35" s="584"/>
      <c r="W35" s="584"/>
      <c r="X35" s="584"/>
      <c r="Y35" s="584"/>
      <c r="Z35" s="584"/>
      <c r="AA35" s="584"/>
      <c r="AB35" s="584"/>
      <c r="AC35" s="584"/>
      <c r="AD35" s="584"/>
      <c r="AE35" s="584"/>
      <c r="AF35" s="584"/>
      <c r="AG35" s="584"/>
      <c r="AH35" s="584"/>
      <c r="AI35" s="584"/>
      <c r="AJ35" s="584"/>
      <c r="AK35" s="584"/>
    </row>
    <row r="36" spans="11:37" x14ac:dyDescent="0.25">
      <c r="K36" t="str">
        <f>IF(COUNTIF(eQuest_Schedule_Importer[[#This Row],[Monday]:[Friday]],"X")&gt;=1,"TRUE","")</f>
        <v/>
      </c>
      <c r="L36" t="str">
        <f>IF(SUM(COUNTIF(eQuest_Schedule_Importer[[#This Row],[Sunday]],"X"),COUNTIF(eQuest_Schedule_Importer[[#This Row],[Saturday]],"X"))&gt;=1,"TRUE","")</f>
        <v/>
      </c>
      <c r="M36" t="str">
        <f>IF(eQuest_Schedule_Importer[[#This Row],[Holiday]]="X","TRUE","")</f>
        <v/>
      </c>
      <c r="N36" s="584"/>
      <c r="O36" s="584"/>
      <c r="P36" s="584"/>
      <c r="Q36" s="584"/>
      <c r="R36" s="584"/>
      <c r="S36" s="584"/>
      <c r="T36" s="584"/>
      <c r="U36" s="584"/>
      <c r="V36" s="584"/>
      <c r="W36" s="584"/>
      <c r="X36" s="584"/>
      <c r="Y36" s="584"/>
      <c r="Z36" s="584"/>
      <c r="AA36" s="584"/>
      <c r="AB36" s="584"/>
      <c r="AC36" s="584"/>
      <c r="AD36" s="584"/>
      <c r="AE36" s="584"/>
      <c r="AF36" s="584"/>
      <c r="AG36" s="584"/>
      <c r="AH36" s="584"/>
      <c r="AI36" s="584"/>
      <c r="AJ36" s="584"/>
      <c r="AK36" s="584"/>
    </row>
    <row r="37" spans="11:37" x14ac:dyDescent="0.25">
      <c r="K37" t="str">
        <f>IF(COUNTIF(eQuest_Schedule_Importer[[#This Row],[Monday]:[Friday]],"X")&gt;=1,"TRUE","")</f>
        <v/>
      </c>
      <c r="L37" t="str">
        <f>IF(SUM(COUNTIF(eQuest_Schedule_Importer[[#This Row],[Sunday]],"X"),COUNTIF(eQuest_Schedule_Importer[[#This Row],[Saturday]],"X"))&gt;=1,"TRUE","")</f>
        <v/>
      </c>
      <c r="M37" t="str">
        <f>IF(eQuest_Schedule_Importer[[#This Row],[Holiday]]="X","TRUE","")</f>
        <v/>
      </c>
      <c r="N37" s="584"/>
      <c r="O37" s="584"/>
      <c r="P37" s="584"/>
      <c r="Q37" s="584"/>
      <c r="R37" s="584"/>
      <c r="S37" s="584"/>
      <c r="T37" s="584"/>
      <c r="U37" s="584"/>
      <c r="V37" s="584"/>
      <c r="W37" s="584"/>
      <c r="X37" s="584"/>
      <c r="Y37" s="584"/>
      <c r="Z37" s="584"/>
      <c r="AA37" s="584"/>
      <c r="AB37" s="584"/>
      <c r="AC37" s="584"/>
      <c r="AD37" s="584"/>
      <c r="AE37" s="584"/>
      <c r="AF37" s="584"/>
      <c r="AG37" s="584"/>
      <c r="AH37" s="584"/>
      <c r="AI37" s="584"/>
      <c r="AJ37" s="584"/>
      <c r="AK37" s="584"/>
    </row>
    <row r="38" spans="11:37" x14ac:dyDescent="0.25">
      <c r="K38" t="str">
        <f>IF(COUNTIF(eQuest_Schedule_Importer[[#This Row],[Monday]:[Friday]],"X")&gt;=1,"TRUE","")</f>
        <v/>
      </c>
      <c r="L38" t="str">
        <f>IF(SUM(COUNTIF(eQuest_Schedule_Importer[[#This Row],[Sunday]],"X"),COUNTIF(eQuest_Schedule_Importer[[#This Row],[Saturday]],"X"))&gt;=1,"TRUE","")</f>
        <v/>
      </c>
      <c r="M38" t="str">
        <f>IF(eQuest_Schedule_Importer[[#This Row],[Holiday]]="X","TRUE","")</f>
        <v/>
      </c>
      <c r="N38" s="584"/>
      <c r="O38" s="584"/>
      <c r="P38" s="584"/>
      <c r="Q38" s="584"/>
      <c r="R38" s="584"/>
      <c r="S38" s="584"/>
      <c r="T38" s="584"/>
      <c r="U38" s="584"/>
      <c r="V38" s="584"/>
      <c r="W38" s="584"/>
      <c r="X38" s="584"/>
      <c r="Y38" s="584"/>
      <c r="Z38" s="584"/>
      <c r="AA38" s="584"/>
      <c r="AB38" s="584"/>
      <c r="AC38" s="584"/>
      <c r="AD38" s="584"/>
      <c r="AE38" s="584"/>
      <c r="AF38" s="584"/>
      <c r="AG38" s="584"/>
      <c r="AH38" s="584"/>
      <c r="AI38" s="584"/>
      <c r="AJ38" s="584"/>
      <c r="AK38" s="584"/>
    </row>
    <row r="39" spans="11:37" x14ac:dyDescent="0.25">
      <c r="K39" t="str">
        <f>IF(COUNTIF(eQuest_Schedule_Importer[[#This Row],[Monday]:[Friday]],"X")&gt;=1,"TRUE","")</f>
        <v/>
      </c>
      <c r="L39" t="str">
        <f>IF(SUM(COUNTIF(eQuest_Schedule_Importer[[#This Row],[Sunday]],"X"),COUNTIF(eQuest_Schedule_Importer[[#This Row],[Saturday]],"X"))&gt;=1,"TRUE","")</f>
        <v/>
      </c>
      <c r="M39" t="str">
        <f>IF(eQuest_Schedule_Importer[[#This Row],[Holiday]]="X","TRUE","")</f>
        <v/>
      </c>
      <c r="N39" s="584"/>
      <c r="O39" s="584"/>
      <c r="P39" s="584"/>
      <c r="Q39" s="584"/>
      <c r="R39" s="584"/>
      <c r="S39" s="584"/>
      <c r="T39" s="584"/>
      <c r="U39" s="584"/>
      <c r="V39" s="584"/>
      <c r="W39" s="584"/>
      <c r="X39" s="584"/>
      <c r="Y39" s="584"/>
      <c r="Z39" s="584"/>
      <c r="AA39" s="584"/>
      <c r="AB39" s="584"/>
      <c r="AC39" s="584"/>
      <c r="AD39" s="584"/>
      <c r="AE39" s="584"/>
      <c r="AF39" s="584"/>
      <c r="AG39" s="584"/>
      <c r="AH39" s="584"/>
      <c r="AI39" s="584"/>
      <c r="AJ39" s="584"/>
      <c r="AK39" s="584"/>
    </row>
    <row r="40" spans="11:37" x14ac:dyDescent="0.25">
      <c r="K40" t="str">
        <f>IF(COUNTIF(eQuest_Schedule_Importer[[#This Row],[Monday]:[Friday]],"X")&gt;=1,"TRUE","")</f>
        <v/>
      </c>
      <c r="L40" t="str">
        <f>IF(SUM(COUNTIF(eQuest_Schedule_Importer[[#This Row],[Sunday]],"X"),COUNTIF(eQuest_Schedule_Importer[[#This Row],[Saturday]],"X"))&gt;=1,"TRUE","")</f>
        <v/>
      </c>
      <c r="M40" t="str">
        <f>IF(eQuest_Schedule_Importer[[#This Row],[Holiday]]="X","TRUE","")</f>
        <v/>
      </c>
      <c r="N40" s="584"/>
      <c r="O40" s="584"/>
      <c r="P40" s="584"/>
      <c r="Q40" s="584"/>
      <c r="R40" s="584"/>
      <c r="S40" s="584"/>
      <c r="T40" s="584"/>
      <c r="U40" s="584"/>
      <c r="V40" s="584"/>
      <c r="W40" s="584"/>
      <c r="X40" s="584"/>
      <c r="Y40" s="584"/>
      <c r="Z40" s="584"/>
      <c r="AA40" s="584"/>
      <c r="AB40" s="584"/>
      <c r="AC40" s="584"/>
      <c r="AD40" s="584"/>
      <c r="AE40" s="584"/>
      <c r="AF40" s="584"/>
      <c r="AG40" s="584"/>
      <c r="AH40" s="584"/>
      <c r="AI40" s="584"/>
      <c r="AJ40" s="584"/>
      <c r="AK40" s="584"/>
    </row>
    <row r="41" spans="11:37" x14ac:dyDescent="0.25">
      <c r="K41" t="str">
        <f>IF(COUNTIF(eQuest_Schedule_Importer[[#This Row],[Monday]:[Friday]],"X")&gt;=1,"TRUE","")</f>
        <v/>
      </c>
      <c r="L41" t="str">
        <f>IF(SUM(COUNTIF(eQuest_Schedule_Importer[[#This Row],[Sunday]],"X"),COUNTIF(eQuest_Schedule_Importer[[#This Row],[Saturday]],"X"))&gt;=1,"TRUE","")</f>
        <v/>
      </c>
      <c r="M41" t="str">
        <f>IF(eQuest_Schedule_Importer[[#This Row],[Holiday]]="X","TRUE","")</f>
        <v/>
      </c>
      <c r="N41" s="584"/>
      <c r="O41" s="584"/>
      <c r="P41" s="584"/>
      <c r="Q41" s="584"/>
      <c r="R41" s="584"/>
      <c r="S41" s="584"/>
      <c r="T41" s="584"/>
      <c r="U41" s="584"/>
      <c r="V41" s="584"/>
      <c r="W41" s="584"/>
      <c r="X41" s="584"/>
      <c r="Y41" s="584"/>
      <c r="Z41" s="584"/>
      <c r="AA41" s="584"/>
      <c r="AB41" s="584"/>
      <c r="AC41" s="584"/>
      <c r="AD41" s="584"/>
      <c r="AE41" s="584"/>
      <c r="AF41" s="584"/>
      <c r="AG41" s="584"/>
      <c r="AH41" s="584"/>
      <c r="AI41" s="584"/>
      <c r="AJ41" s="584"/>
      <c r="AK41" s="584"/>
    </row>
    <row r="42" spans="11:37" x14ac:dyDescent="0.25">
      <c r="K42" t="str">
        <f>IF(COUNTIF(eQuest_Schedule_Importer[[#This Row],[Monday]:[Friday]],"X")&gt;=1,"TRUE","")</f>
        <v/>
      </c>
      <c r="L42" t="str">
        <f>IF(SUM(COUNTIF(eQuest_Schedule_Importer[[#This Row],[Sunday]],"X"),COUNTIF(eQuest_Schedule_Importer[[#This Row],[Saturday]],"X"))&gt;=1,"TRUE","")</f>
        <v/>
      </c>
      <c r="M42" t="str">
        <f>IF(eQuest_Schedule_Importer[[#This Row],[Holiday]]="X","TRUE","")</f>
        <v/>
      </c>
      <c r="N42" s="584"/>
      <c r="O42" s="584"/>
      <c r="P42" s="584"/>
      <c r="Q42" s="584"/>
      <c r="R42" s="584"/>
      <c r="S42" s="584"/>
      <c r="T42" s="584"/>
      <c r="U42" s="584"/>
      <c r="V42" s="584"/>
      <c r="W42" s="584"/>
      <c r="X42" s="584"/>
      <c r="Y42" s="584"/>
      <c r="Z42" s="584"/>
      <c r="AA42" s="584"/>
      <c r="AB42" s="584"/>
      <c r="AC42" s="584"/>
      <c r="AD42" s="584"/>
      <c r="AE42" s="584"/>
      <c r="AF42" s="584"/>
      <c r="AG42" s="584"/>
      <c r="AH42" s="584"/>
      <c r="AI42" s="584"/>
      <c r="AJ42" s="584"/>
      <c r="AK42" s="584"/>
    </row>
    <row r="43" spans="11:37" x14ac:dyDescent="0.25">
      <c r="K43" t="str">
        <f>IF(COUNTIF(eQuest_Schedule_Importer[[#This Row],[Monday]:[Friday]],"X")&gt;=1,"TRUE","")</f>
        <v/>
      </c>
      <c r="L43" t="str">
        <f>IF(SUM(COUNTIF(eQuest_Schedule_Importer[[#This Row],[Sunday]],"X"),COUNTIF(eQuest_Schedule_Importer[[#This Row],[Saturday]],"X"))&gt;=1,"TRUE","")</f>
        <v/>
      </c>
      <c r="M43" t="str">
        <f>IF(eQuest_Schedule_Importer[[#This Row],[Holiday]]="X","TRUE","")</f>
        <v/>
      </c>
      <c r="N43" s="584"/>
      <c r="O43" s="584"/>
      <c r="P43" s="584"/>
      <c r="Q43" s="584"/>
      <c r="R43" s="584"/>
      <c r="S43" s="584"/>
      <c r="T43" s="584"/>
      <c r="U43" s="584"/>
      <c r="V43" s="584"/>
      <c r="W43" s="584"/>
      <c r="X43" s="584"/>
      <c r="Y43" s="584"/>
      <c r="Z43" s="584"/>
      <c r="AA43" s="584"/>
      <c r="AB43" s="584"/>
      <c r="AC43" s="584"/>
      <c r="AD43" s="584"/>
      <c r="AE43" s="584"/>
      <c r="AF43" s="584"/>
      <c r="AG43" s="584"/>
      <c r="AH43" s="584"/>
      <c r="AI43" s="584"/>
      <c r="AJ43" s="584"/>
      <c r="AK43" s="584"/>
    </row>
    <row r="44" spans="11:37" x14ac:dyDescent="0.25">
      <c r="K44" t="str">
        <f>IF(COUNTIF(eQuest_Schedule_Importer[[#This Row],[Monday]:[Friday]],"X")&gt;=1,"TRUE","")</f>
        <v/>
      </c>
      <c r="L44" t="str">
        <f>IF(SUM(COUNTIF(eQuest_Schedule_Importer[[#This Row],[Sunday]],"X"),COUNTIF(eQuest_Schedule_Importer[[#This Row],[Saturday]],"X"))&gt;=1,"TRUE","")</f>
        <v/>
      </c>
      <c r="M44" t="str">
        <f>IF(eQuest_Schedule_Importer[[#This Row],[Holiday]]="X","TRUE","")</f>
        <v/>
      </c>
      <c r="N44" s="584"/>
      <c r="O44" s="584"/>
      <c r="P44" s="584"/>
      <c r="Q44" s="584"/>
      <c r="R44" s="584"/>
      <c r="S44" s="584"/>
      <c r="T44" s="584"/>
      <c r="U44" s="584"/>
      <c r="V44" s="584"/>
      <c r="W44" s="584"/>
      <c r="X44" s="584"/>
      <c r="Y44" s="584"/>
      <c r="Z44" s="584"/>
      <c r="AA44" s="584"/>
      <c r="AB44" s="584"/>
      <c r="AC44" s="584"/>
      <c r="AD44" s="584"/>
      <c r="AE44" s="584"/>
      <c r="AF44" s="584"/>
      <c r="AG44" s="584"/>
      <c r="AH44" s="584"/>
      <c r="AI44" s="584"/>
      <c r="AJ44" s="584"/>
      <c r="AK44" s="584"/>
    </row>
    <row r="45" spans="11:37" x14ac:dyDescent="0.25">
      <c r="K45" t="str">
        <f>IF(COUNTIF(eQuest_Schedule_Importer[[#This Row],[Monday]:[Friday]],"X")&gt;=1,"TRUE","")</f>
        <v/>
      </c>
      <c r="L45" t="str">
        <f>IF(SUM(COUNTIF(eQuest_Schedule_Importer[[#This Row],[Sunday]],"X"),COUNTIF(eQuest_Schedule_Importer[[#This Row],[Saturday]],"X"))&gt;=1,"TRUE","")</f>
        <v/>
      </c>
      <c r="M45" t="str">
        <f>IF(eQuest_Schedule_Importer[[#This Row],[Holiday]]="X","TRUE","")</f>
        <v/>
      </c>
      <c r="N45" s="584"/>
      <c r="O45" s="584"/>
      <c r="P45" s="584"/>
      <c r="Q45" s="584"/>
      <c r="R45" s="584"/>
      <c r="S45" s="584"/>
      <c r="T45" s="584"/>
      <c r="U45" s="584"/>
      <c r="V45" s="584"/>
      <c r="W45" s="584"/>
      <c r="X45" s="584"/>
      <c r="Y45" s="584"/>
      <c r="Z45" s="584"/>
      <c r="AA45" s="584"/>
      <c r="AB45" s="584"/>
      <c r="AC45" s="584"/>
      <c r="AD45" s="584"/>
      <c r="AE45" s="584"/>
      <c r="AF45" s="584"/>
      <c r="AG45" s="584"/>
      <c r="AH45" s="584"/>
      <c r="AI45" s="584"/>
      <c r="AJ45" s="584"/>
      <c r="AK45" s="584"/>
    </row>
    <row r="46" spans="11:37" x14ac:dyDescent="0.25">
      <c r="K46" t="str">
        <f>IF(COUNTIF(eQuest_Schedule_Importer[[#This Row],[Monday]:[Friday]],"X")&gt;=1,"TRUE","")</f>
        <v/>
      </c>
      <c r="L46" t="str">
        <f>IF(SUM(COUNTIF(eQuest_Schedule_Importer[[#This Row],[Sunday]],"X"),COUNTIF(eQuest_Schedule_Importer[[#This Row],[Saturday]],"X"))&gt;=1,"TRUE","")</f>
        <v/>
      </c>
      <c r="M46" t="str">
        <f>IF(eQuest_Schedule_Importer[[#This Row],[Holiday]]="X","TRUE","")</f>
        <v/>
      </c>
      <c r="N46" s="584"/>
      <c r="O46" s="584"/>
      <c r="P46" s="584"/>
      <c r="Q46" s="584"/>
      <c r="R46" s="584"/>
      <c r="S46" s="584"/>
      <c r="T46" s="584"/>
      <c r="U46" s="584"/>
      <c r="V46" s="584"/>
      <c r="W46" s="584"/>
      <c r="X46" s="584"/>
      <c r="Y46" s="584"/>
      <c r="Z46" s="584"/>
      <c r="AA46" s="584"/>
      <c r="AB46" s="584"/>
      <c r="AC46" s="584"/>
      <c r="AD46" s="584"/>
      <c r="AE46" s="584"/>
      <c r="AF46" s="584"/>
      <c r="AG46" s="584"/>
      <c r="AH46" s="584"/>
      <c r="AI46" s="584"/>
      <c r="AJ46" s="584"/>
      <c r="AK46" s="584"/>
    </row>
    <row r="47" spans="11:37" x14ac:dyDescent="0.25">
      <c r="K47" t="str">
        <f>IF(COUNTIF(eQuest_Schedule_Importer[[#This Row],[Monday]:[Friday]],"X")&gt;=1,"TRUE","")</f>
        <v/>
      </c>
      <c r="L47" t="str">
        <f>IF(SUM(COUNTIF(eQuest_Schedule_Importer[[#This Row],[Sunday]],"X"),COUNTIF(eQuest_Schedule_Importer[[#This Row],[Saturday]],"X"))&gt;=1,"TRUE","")</f>
        <v/>
      </c>
      <c r="M47" t="str">
        <f>IF(eQuest_Schedule_Importer[[#This Row],[Holiday]]="X","TRUE","")</f>
        <v/>
      </c>
      <c r="N47" s="584"/>
      <c r="O47" s="584"/>
      <c r="P47" s="584"/>
      <c r="Q47" s="584"/>
      <c r="R47" s="584"/>
      <c r="S47" s="584"/>
      <c r="T47" s="584"/>
      <c r="U47" s="584"/>
      <c r="V47" s="584"/>
      <c r="W47" s="584"/>
      <c r="X47" s="584"/>
      <c r="Y47" s="584"/>
      <c r="Z47" s="584"/>
      <c r="AA47" s="584"/>
      <c r="AB47" s="584"/>
      <c r="AC47" s="584"/>
      <c r="AD47" s="584"/>
      <c r="AE47" s="584"/>
      <c r="AF47" s="584"/>
      <c r="AG47" s="584"/>
      <c r="AH47" s="584"/>
      <c r="AI47" s="584"/>
      <c r="AJ47" s="584"/>
      <c r="AK47" s="584"/>
    </row>
    <row r="48" spans="11:37" x14ac:dyDescent="0.25">
      <c r="K48" t="str">
        <f>IF(COUNTIF(eQuest_Schedule_Importer[[#This Row],[Monday]:[Friday]],"X")&gt;=1,"TRUE","")</f>
        <v/>
      </c>
      <c r="L48" t="str">
        <f>IF(SUM(COUNTIF(eQuest_Schedule_Importer[[#This Row],[Sunday]],"X"),COUNTIF(eQuest_Schedule_Importer[[#This Row],[Saturday]],"X"))&gt;=1,"TRUE","")</f>
        <v/>
      </c>
      <c r="M48" t="str">
        <f>IF(eQuest_Schedule_Importer[[#This Row],[Holiday]]="X","TRUE","")</f>
        <v/>
      </c>
      <c r="N48" s="584"/>
      <c r="O48" s="584"/>
      <c r="P48" s="584"/>
      <c r="Q48" s="584"/>
      <c r="R48" s="584"/>
      <c r="S48" s="584"/>
      <c r="T48" s="584"/>
      <c r="U48" s="584"/>
      <c r="V48" s="584"/>
      <c r="W48" s="584"/>
      <c r="X48" s="584"/>
      <c r="Y48" s="584"/>
      <c r="Z48" s="584"/>
      <c r="AA48" s="584"/>
      <c r="AB48" s="584"/>
      <c r="AC48" s="584"/>
      <c r="AD48" s="584"/>
      <c r="AE48" s="584"/>
      <c r="AF48" s="584"/>
      <c r="AG48" s="584"/>
      <c r="AH48" s="584"/>
      <c r="AI48" s="584"/>
      <c r="AJ48" s="584"/>
      <c r="AK48" s="584"/>
    </row>
    <row r="49" spans="11:37" x14ac:dyDescent="0.25">
      <c r="K49" t="str">
        <f>IF(COUNTIF(eQuest_Schedule_Importer[[#This Row],[Monday]:[Friday]],"X")&gt;=1,"TRUE","")</f>
        <v/>
      </c>
      <c r="L49" t="str">
        <f>IF(SUM(COUNTIF(eQuest_Schedule_Importer[[#This Row],[Sunday]],"X"),COUNTIF(eQuest_Schedule_Importer[[#This Row],[Saturday]],"X"))&gt;=1,"TRUE","")</f>
        <v/>
      </c>
      <c r="M49" t="str">
        <f>IF(eQuest_Schedule_Importer[[#This Row],[Holiday]]="X","TRUE","")</f>
        <v/>
      </c>
      <c r="N49" s="584"/>
      <c r="O49" s="584"/>
      <c r="P49" s="584"/>
      <c r="Q49" s="584"/>
      <c r="R49" s="584"/>
      <c r="S49" s="584"/>
      <c r="T49" s="584"/>
      <c r="U49" s="584"/>
      <c r="V49" s="584"/>
      <c r="W49" s="584"/>
      <c r="X49" s="584"/>
      <c r="Y49" s="584"/>
      <c r="Z49" s="584"/>
      <c r="AA49" s="584"/>
      <c r="AB49" s="584"/>
      <c r="AC49" s="584"/>
      <c r="AD49" s="584"/>
      <c r="AE49" s="584"/>
      <c r="AF49" s="584"/>
      <c r="AG49" s="584"/>
      <c r="AH49" s="584"/>
      <c r="AI49" s="584"/>
      <c r="AJ49" s="584"/>
      <c r="AK49" s="584"/>
    </row>
    <row r="50" spans="11:37" x14ac:dyDescent="0.25">
      <c r="K50" t="str">
        <f>IF(COUNTIF(eQuest_Schedule_Importer[[#This Row],[Monday]:[Friday]],"X")&gt;=1,"TRUE","")</f>
        <v/>
      </c>
      <c r="L50" t="str">
        <f>IF(SUM(COUNTIF(eQuest_Schedule_Importer[[#This Row],[Sunday]],"X"),COUNTIF(eQuest_Schedule_Importer[[#This Row],[Saturday]],"X"))&gt;=1,"TRUE","")</f>
        <v/>
      </c>
      <c r="M50" t="str">
        <f>IF(eQuest_Schedule_Importer[[#This Row],[Holiday]]="X","TRUE","")</f>
        <v/>
      </c>
      <c r="N50" s="584"/>
      <c r="O50" s="584"/>
      <c r="P50" s="584"/>
      <c r="Q50" s="584"/>
      <c r="R50" s="584"/>
      <c r="S50" s="584"/>
      <c r="T50" s="584"/>
      <c r="U50" s="584"/>
      <c r="V50" s="584"/>
      <c r="W50" s="584"/>
      <c r="X50" s="584"/>
      <c r="Y50" s="584"/>
      <c r="Z50" s="584"/>
      <c r="AA50" s="584"/>
      <c r="AB50" s="584"/>
      <c r="AC50" s="584"/>
      <c r="AD50" s="584"/>
      <c r="AE50" s="584"/>
      <c r="AF50" s="584"/>
      <c r="AG50" s="584"/>
      <c r="AH50" s="584"/>
      <c r="AI50" s="584"/>
      <c r="AJ50" s="584"/>
      <c r="AK50" s="584"/>
    </row>
    <row r="51" spans="11:37" x14ac:dyDescent="0.25">
      <c r="K51" t="str">
        <f>IF(COUNTIF(eQuest_Schedule_Importer[[#This Row],[Monday]:[Friday]],"X")&gt;=1,"TRUE","")</f>
        <v/>
      </c>
      <c r="L51" t="str">
        <f>IF(SUM(COUNTIF(eQuest_Schedule_Importer[[#This Row],[Sunday]],"X"),COUNTIF(eQuest_Schedule_Importer[[#This Row],[Saturday]],"X"))&gt;=1,"TRUE","")</f>
        <v/>
      </c>
      <c r="M51" t="str">
        <f>IF(eQuest_Schedule_Importer[[#This Row],[Holiday]]="X","TRUE","")</f>
        <v/>
      </c>
      <c r="N51" s="584"/>
      <c r="O51" s="584"/>
      <c r="P51" s="584"/>
      <c r="Q51" s="584"/>
      <c r="R51" s="584"/>
      <c r="S51" s="584"/>
      <c r="T51" s="584"/>
      <c r="U51" s="584"/>
      <c r="V51" s="584"/>
      <c r="W51" s="584"/>
      <c r="X51" s="584"/>
      <c r="Y51" s="584"/>
      <c r="Z51" s="584"/>
      <c r="AA51" s="584"/>
      <c r="AB51" s="584"/>
      <c r="AC51" s="584"/>
      <c r="AD51" s="584"/>
      <c r="AE51" s="584"/>
      <c r="AF51" s="584"/>
      <c r="AG51" s="584"/>
      <c r="AH51" s="584"/>
      <c r="AI51" s="584"/>
      <c r="AJ51" s="584"/>
      <c r="AK51" s="584"/>
    </row>
    <row r="52" spans="11:37" x14ac:dyDescent="0.25">
      <c r="K52" t="str">
        <f>IF(COUNTIF(eQuest_Schedule_Importer[[#This Row],[Monday]:[Friday]],"X")&gt;=1,"TRUE","")</f>
        <v/>
      </c>
      <c r="L52" t="str">
        <f>IF(SUM(COUNTIF(eQuest_Schedule_Importer[[#This Row],[Sunday]],"X"),COUNTIF(eQuest_Schedule_Importer[[#This Row],[Saturday]],"X"))&gt;=1,"TRUE","")</f>
        <v/>
      </c>
      <c r="M52" t="str">
        <f>IF(eQuest_Schedule_Importer[[#This Row],[Holiday]]="X","TRUE","")</f>
        <v/>
      </c>
      <c r="N52" s="584"/>
      <c r="O52" s="584"/>
      <c r="P52" s="584"/>
      <c r="Q52" s="584"/>
      <c r="R52" s="584"/>
      <c r="S52" s="584"/>
      <c r="T52" s="584"/>
      <c r="U52" s="584"/>
      <c r="V52" s="584"/>
      <c r="W52" s="584"/>
      <c r="X52" s="584"/>
      <c r="Y52" s="584"/>
      <c r="Z52" s="584"/>
      <c r="AA52" s="584"/>
      <c r="AB52" s="584"/>
      <c r="AC52" s="584"/>
      <c r="AD52" s="584"/>
      <c r="AE52" s="584"/>
      <c r="AF52" s="584"/>
      <c r="AG52" s="584"/>
      <c r="AH52" s="584"/>
      <c r="AI52" s="584"/>
      <c r="AJ52" s="584"/>
      <c r="AK52" s="584"/>
    </row>
    <row r="53" spans="11:37" x14ac:dyDescent="0.25">
      <c r="K53" t="str">
        <f>IF(COUNTIF(eQuest_Schedule_Importer[[#This Row],[Monday]:[Friday]],"X")&gt;=1,"TRUE","")</f>
        <v/>
      </c>
      <c r="L53" t="str">
        <f>IF(SUM(COUNTIF(eQuest_Schedule_Importer[[#This Row],[Sunday]],"X"),COUNTIF(eQuest_Schedule_Importer[[#This Row],[Saturday]],"X"))&gt;=1,"TRUE","")</f>
        <v/>
      </c>
      <c r="M53" t="str">
        <f>IF(eQuest_Schedule_Importer[[#This Row],[Holiday]]="X","TRUE","")</f>
        <v/>
      </c>
      <c r="N53" s="584"/>
      <c r="O53" s="584"/>
      <c r="P53" s="584"/>
      <c r="Q53" s="584"/>
      <c r="R53" s="584"/>
      <c r="S53" s="584"/>
      <c r="T53" s="584"/>
      <c r="U53" s="584"/>
      <c r="V53" s="584"/>
      <c r="W53" s="584"/>
      <c r="X53" s="584"/>
      <c r="Y53" s="584"/>
      <c r="Z53" s="584"/>
      <c r="AA53" s="584"/>
      <c r="AB53" s="584"/>
      <c r="AC53" s="584"/>
      <c r="AD53" s="584"/>
      <c r="AE53" s="584"/>
      <c r="AF53" s="584"/>
      <c r="AG53" s="584"/>
      <c r="AH53" s="584"/>
      <c r="AI53" s="584"/>
      <c r="AJ53" s="584"/>
      <c r="AK53" s="584"/>
    </row>
    <row r="54" spans="11:37" x14ac:dyDescent="0.25">
      <c r="K54" t="str">
        <f>IF(COUNTIF(eQuest_Schedule_Importer[[#This Row],[Monday]:[Friday]],"X")&gt;=1,"TRUE","")</f>
        <v/>
      </c>
      <c r="L54" t="str">
        <f>IF(SUM(COUNTIF(eQuest_Schedule_Importer[[#This Row],[Sunday]],"X"),COUNTIF(eQuest_Schedule_Importer[[#This Row],[Saturday]],"X"))&gt;=1,"TRUE","")</f>
        <v/>
      </c>
      <c r="M54" t="str">
        <f>IF(eQuest_Schedule_Importer[[#This Row],[Holiday]]="X","TRUE","")</f>
        <v/>
      </c>
      <c r="N54" s="584"/>
      <c r="O54" s="584"/>
      <c r="P54" s="584"/>
      <c r="Q54" s="584"/>
      <c r="R54" s="584"/>
      <c r="S54" s="584"/>
      <c r="T54" s="584"/>
      <c r="U54" s="584"/>
      <c r="V54" s="584"/>
      <c r="W54" s="584"/>
      <c r="X54" s="584"/>
      <c r="Y54" s="584"/>
      <c r="Z54" s="584"/>
      <c r="AA54" s="584"/>
      <c r="AB54" s="584"/>
      <c r="AC54" s="584"/>
      <c r="AD54" s="584"/>
      <c r="AE54" s="584"/>
      <c r="AF54" s="584"/>
      <c r="AG54" s="584"/>
      <c r="AH54" s="584"/>
      <c r="AI54" s="584"/>
      <c r="AJ54" s="584"/>
      <c r="AK54" s="584"/>
    </row>
    <row r="55" spans="11:37" x14ac:dyDescent="0.25">
      <c r="K55" t="str">
        <f>IF(COUNTIF(eQuest_Schedule_Importer[[#This Row],[Monday]:[Friday]],"X")&gt;=1,"TRUE","")</f>
        <v/>
      </c>
      <c r="L55" t="str">
        <f>IF(SUM(COUNTIF(eQuest_Schedule_Importer[[#This Row],[Sunday]],"X"),COUNTIF(eQuest_Schedule_Importer[[#This Row],[Saturday]],"X"))&gt;=1,"TRUE","")</f>
        <v/>
      </c>
      <c r="M55" t="str">
        <f>IF(eQuest_Schedule_Importer[[#This Row],[Holiday]]="X","TRUE","")</f>
        <v/>
      </c>
      <c r="N55" s="584"/>
      <c r="O55" s="584"/>
      <c r="P55" s="584"/>
      <c r="Q55" s="584"/>
      <c r="R55" s="584"/>
      <c r="S55" s="584"/>
      <c r="T55" s="584"/>
      <c r="U55" s="584"/>
      <c r="V55" s="584"/>
      <c r="W55" s="584"/>
      <c r="X55" s="584"/>
      <c r="Y55" s="584"/>
      <c r="Z55" s="584"/>
      <c r="AA55" s="584"/>
      <c r="AB55" s="584"/>
      <c r="AC55" s="584"/>
      <c r="AD55" s="584"/>
      <c r="AE55" s="584"/>
      <c r="AF55" s="584"/>
      <c r="AG55" s="584"/>
      <c r="AH55" s="584"/>
      <c r="AI55" s="584"/>
      <c r="AJ55" s="584"/>
      <c r="AK55" s="584"/>
    </row>
    <row r="56" spans="11:37" x14ac:dyDescent="0.25">
      <c r="K56" t="str">
        <f>IF(COUNTIF(eQuest_Schedule_Importer[[#This Row],[Monday]:[Friday]],"X")&gt;=1,"TRUE","")</f>
        <v/>
      </c>
      <c r="L56" t="str">
        <f>IF(SUM(COUNTIF(eQuest_Schedule_Importer[[#This Row],[Sunday]],"X"),COUNTIF(eQuest_Schedule_Importer[[#This Row],[Saturday]],"X"))&gt;=1,"TRUE","")</f>
        <v/>
      </c>
      <c r="M56" t="str">
        <f>IF(eQuest_Schedule_Importer[[#This Row],[Holiday]]="X","TRUE","")</f>
        <v/>
      </c>
      <c r="N56" s="584"/>
      <c r="O56" s="584"/>
      <c r="P56" s="584"/>
      <c r="Q56" s="584"/>
      <c r="R56" s="584"/>
      <c r="S56" s="584"/>
      <c r="T56" s="584"/>
      <c r="U56" s="584"/>
      <c r="V56" s="584"/>
      <c r="W56" s="584"/>
      <c r="X56" s="584"/>
      <c r="Y56" s="584"/>
      <c r="Z56" s="584"/>
      <c r="AA56" s="584"/>
      <c r="AB56" s="584"/>
      <c r="AC56" s="584"/>
      <c r="AD56" s="584"/>
      <c r="AE56" s="584"/>
      <c r="AF56" s="584"/>
      <c r="AG56" s="584"/>
      <c r="AH56" s="584"/>
      <c r="AI56" s="584"/>
      <c r="AJ56" s="584"/>
      <c r="AK56" s="584"/>
    </row>
    <row r="57" spans="11:37" x14ac:dyDescent="0.25">
      <c r="K57" t="str">
        <f>IF(COUNTIF(eQuest_Schedule_Importer[[#This Row],[Monday]:[Friday]],"X")&gt;=1,"TRUE","")</f>
        <v/>
      </c>
      <c r="L57" t="str">
        <f>IF(SUM(COUNTIF(eQuest_Schedule_Importer[[#This Row],[Sunday]],"X"),COUNTIF(eQuest_Schedule_Importer[[#This Row],[Saturday]],"X"))&gt;=1,"TRUE","")</f>
        <v/>
      </c>
      <c r="M57" t="str">
        <f>IF(eQuest_Schedule_Importer[[#This Row],[Holiday]]="X","TRUE","")</f>
        <v/>
      </c>
      <c r="N57" s="584"/>
      <c r="O57" s="584"/>
      <c r="P57" s="584"/>
      <c r="Q57" s="584"/>
      <c r="R57" s="584"/>
      <c r="S57" s="584"/>
      <c r="T57" s="584"/>
      <c r="U57" s="584"/>
      <c r="V57" s="584"/>
      <c r="W57" s="584"/>
      <c r="X57" s="584"/>
      <c r="Y57" s="584"/>
      <c r="Z57" s="584"/>
      <c r="AA57" s="584"/>
      <c r="AB57" s="584"/>
      <c r="AC57" s="584"/>
      <c r="AD57" s="584"/>
      <c r="AE57" s="584"/>
      <c r="AF57" s="584"/>
      <c r="AG57" s="584"/>
      <c r="AH57" s="584"/>
      <c r="AI57" s="584"/>
      <c r="AJ57" s="584"/>
      <c r="AK57" s="584"/>
    </row>
    <row r="58" spans="11:37" x14ac:dyDescent="0.25">
      <c r="K58" t="str">
        <f>IF(COUNTIF(eQuest_Schedule_Importer[[#This Row],[Monday]:[Friday]],"X")&gt;=1,"TRUE","")</f>
        <v/>
      </c>
      <c r="L58" t="str">
        <f>IF(SUM(COUNTIF(eQuest_Schedule_Importer[[#This Row],[Sunday]],"X"),COUNTIF(eQuest_Schedule_Importer[[#This Row],[Saturday]],"X"))&gt;=1,"TRUE","")</f>
        <v/>
      </c>
      <c r="M58" t="str">
        <f>IF(eQuest_Schedule_Importer[[#This Row],[Holiday]]="X","TRUE","")</f>
        <v/>
      </c>
      <c r="N58" s="584"/>
      <c r="O58" s="584"/>
      <c r="P58" s="584"/>
      <c r="Q58" s="584"/>
      <c r="R58" s="584"/>
      <c r="S58" s="584"/>
      <c r="T58" s="584"/>
      <c r="U58" s="584"/>
      <c r="V58" s="584"/>
      <c r="W58" s="584"/>
      <c r="X58" s="584"/>
      <c r="Y58" s="584"/>
      <c r="Z58" s="584"/>
      <c r="AA58" s="584"/>
      <c r="AB58" s="584"/>
      <c r="AC58" s="584"/>
      <c r="AD58" s="584"/>
      <c r="AE58" s="584"/>
      <c r="AF58" s="584"/>
      <c r="AG58" s="584"/>
      <c r="AH58" s="584"/>
      <c r="AI58" s="584"/>
      <c r="AJ58" s="584"/>
      <c r="AK58" s="584"/>
    </row>
    <row r="59" spans="11:37" x14ac:dyDescent="0.25">
      <c r="K59" t="str">
        <f>IF(COUNTIF(eQuest_Schedule_Importer[[#This Row],[Monday]:[Friday]],"X")&gt;=1,"TRUE","")</f>
        <v/>
      </c>
      <c r="L59" t="str">
        <f>IF(SUM(COUNTIF(eQuest_Schedule_Importer[[#This Row],[Sunday]],"X"),COUNTIF(eQuest_Schedule_Importer[[#This Row],[Saturday]],"X"))&gt;=1,"TRUE","")</f>
        <v/>
      </c>
      <c r="M59" t="str">
        <f>IF(eQuest_Schedule_Importer[[#This Row],[Holiday]]="X","TRUE","")</f>
        <v/>
      </c>
      <c r="N59" s="584"/>
      <c r="O59" s="584"/>
      <c r="P59" s="584"/>
      <c r="Q59" s="584"/>
      <c r="R59" s="584"/>
      <c r="S59" s="584"/>
      <c r="T59" s="584"/>
      <c r="U59" s="584"/>
      <c r="V59" s="584"/>
      <c r="W59" s="584"/>
      <c r="X59" s="584"/>
      <c r="Y59" s="584"/>
      <c r="Z59" s="584"/>
      <c r="AA59" s="584"/>
      <c r="AB59" s="584"/>
      <c r="AC59" s="584"/>
      <c r="AD59" s="584"/>
      <c r="AE59" s="584"/>
      <c r="AF59" s="584"/>
      <c r="AG59" s="584"/>
      <c r="AH59" s="584"/>
      <c r="AI59" s="584"/>
      <c r="AJ59" s="584"/>
      <c r="AK59" s="584"/>
    </row>
    <row r="60" spans="11:37" x14ac:dyDescent="0.25">
      <c r="K60" t="str">
        <f>IF(COUNTIF(eQuest_Schedule_Importer[[#This Row],[Monday]:[Friday]],"X")&gt;=1,"TRUE","")</f>
        <v/>
      </c>
      <c r="L60" t="str">
        <f>IF(SUM(COUNTIF(eQuest_Schedule_Importer[[#This Row],[Sunday]],"X"),COUNTIF(eQuest_Schedule_Importer[[#This Row],[Saturday]],"X"))&gt;=1,"TRUE","")</f>
        <v/>
      </c>
      <c r="M60" t="str">
        <f>IF(eQuest_Schedule_Importer[[#This Row],[Holiday]]="X","TRUE","")</f>
        <v/>
      </c>
      <c r="N60" s="584"/>
      <c r="O60" s="584"/>
      <c r="P60" s="584"/>
      <c r="Q60" s="584"/>
      <c r="R60" s="584"/>
      <c r="S60" s="584"/>
      <c r="T60" s="584"/>
      <c r="U60" s="584"/>
      <c r="V60" s="584"/>
      <c r="W60" s="584"/>
      <c r="X60" s="584"/>
      <c r="Y60" s="584"/>
      <c r="Z60" s="584"/>
      <c r="AA60" s="584"/>
      <c r="AB60" s="584"/>
      <c r="AC60" s="584"/>
      <c r="AD60" s="584"/>
      <c r="AE60" s="584"/>
      <c r="AF60" s="584"/>
      <c r="AG60" s="584"/>
      <c r="AH60" s="584"/>
      <c r="AI60" s="584"/>
      <c r="AJ60" s="584"/>
      <c r="AK60" s="584"/>
    </row>
    <row r="61" spans="11:37" x14ac:dyDescent="0.25">
      <c r="K61" t="str">
        <f>IF(COUNTIF(eQuest_Schedule_Importer[[#This Row],[Monday]:[Friday]],"X")&gt;=1,"TRUE","")</f>
        <v/>
      </c>
      <c r="L61" t="str">
        <f>IF(SUM(COUNTIF(eQuest_Schedule_Importer[[#This Row],[Sunday]],"X"),COUNTIF(eQuest_Schedule_Importer[[#This Row],[Saturday]],"X"))&gt;=1,"TRUE","")</f>
        <v/>
      </c>
      <c r="M61" t="str">
        <f>IF(eQuest_Schedule_Importer[[#This Row],[Holiday]]="X","TRUE","")</f>
        <v/>
      </c>
      <c r="N61" s="584"/>
      <c r="O61" s="584"/>
      <c r="P61" s="584"/>
      <c r="Q61" s="584"/>
      <c r="R61" s="584"/>
      <c r="S61" s="584"/>
      <c r="T61" s="584"/>
      <c r="U61" s="584"/>
      <c r="V61" s="584"/>
      <c r="W61" s="584"/>
      <c r="X61" s="584"/>
      <c r="Y61" s="584"/>
      <c r="Z61" s="584"/>
      <c r="AA61" s="584"/>
      <c r="AB61" s="584"/>
      <c r="AC61" s="584"/>
      <c r="AD61" s="584"/>
      <c r="AE61" s="584"/>
      <c r="AF61" s="584"/>
      <c r="AG61" s="584"/>
      <c r="AH61" s="584"/>
      <c r="AI61" s="584"/>
      <c r="AJ61" s="584"/>
      <c r="AK61" s="584"/>
    </row>
    <row r="62" spans="11:37" x14ac:dyDescent="0.25">
      <c r="K62" t="str">
        <f>IF(COUNTIF(eQuest_Schedule_Importer[[#This Row],[Monday]:[Friday]],"X")&gt;=1,"TRUE","")</f>
        <v/>
      </c>
      <c r="L62" t="str">
        <f>IF(SUM(COUNTIF(eQuest_Schedule_Importer[[#This Row],[Sunday]],"X"),COUNTIF(eQuest_Schedule_Importer[[#This Row],[Saturday]],"X"))&gt;=1,"TRUE","")</f>
        <v/>
      </c>
      <c r="M62" t="str">
        <f>IF(eQuest_Schedule_Importer[[#This Row],[Holiday]]="X","TRUE","")</f>
        <v/>
      </c>
      <c r="N62" s="584"/>
      <c r="O62" s="584"/>
      <c r="P62" s="584"/>
      <c r="Q62" s="584"/>
      <c r="R62" s="584"/>
      <c r="S62" s="584"/>
      <c r="T62" s="584"/>
      <c r="U62" s="584"/>
      <c r="V62" s="584"/>
      <c r="W62" s="584"/>
      <c r="X62" s="584"/>
      <c r="Y62" s="584"/>
      <c r="Z62" s="584"/>
      <c r="AA62" s="584"/>
      <c r="AB62" s="584"/>
      <c r="AC62" s="584"/>
      <c r="AD62" s="584"/>
      <c r="AE62" s="584"/>
      <c r="AF62" s="584"/>
      <c r="AG62" s="584"/>
      <c r="AH62" s="584"/>
      <c r="AI62" s="584"/>
      <c r="AJ62" s="584"/>
      <c r="AK62" s="584"/>
    </row>
    <row r="63" spans="11:37" x14ac:dyDescent="0.25">
      <c r="K63" t="str">
        <f>IF(COUNTIF(eQuest_Schedule_Importer[[#This Row],[Monday]:[Friday]],"X")&gt;=1,"TRUE","")</f>
        <v/>
      </c>
      <c r="L63" t="str">
        <f>IF(SUM(COUNTIF(eQuest_Schedule_Importer[[#This Row],[Sunday]],"X"),COUNTIF(eQuest_Schedule_Importer[[#This Row],[Saturday]],"X"))&gt;=1,"TRUE","")</f>
        <v/>
      </c>
      <c r="M63" t="str">
        <f>IF(eQuest_Schedule_Importer[[#This Row],[Holiday]]="X","TRUE","")</f>
        <v/>
      </c>
      <c r="N63" s="584"/>
      <c r="O63" s="584"/>
      <c r="P63" s="584"/>
      <c r="Q63" s="584"/>
      <c r="R63" s="584"/>
      <c r="S63" s="584"/>
      <c r="T63" s="584"/>
      <c r="U63" s="584"/>
      <c r="V63" s="584"/>
      <c r="W63" s="584"/>
      <c r="X63" s="584"/>
      <c r="Y63" s="584"/>
      <c r="Z63" s="584"/>
      <c r="AA63" s="584"/>
      <c r="AB63" s="584"/>
      <c r="AC63" s="584"/>
      <c r="AD63" s="584"/>
      <c r="AE63" s="584"/>
      <c r="AF63" s="584"/>
      <c r="AG63" s="584"/>
      <c r="AH63" s="584"/>
      <c r="AI63" s="584"/>
      <c r="AJ63" s="584"/>
      <c r="AK63" s="584"/>
    </row>
    <row r="64" spans="11:37" x14ac:dyDescent="0.25">
      <c r="K64" t="str">
        <f>IF(COUNTIF(eQuest_Schedule_Importer[[#This Row],[Monday]:[Friday]],"X")&gt;=1,"TRUE","")</f>
        <v/>
      </c>
      <c r="L64" t="str">
        <f>IF(SUM(COUNTIF(eQuest_Schedule_Importer[[#This Row],[Sunday]],"X"),COUNTIF(eQuest_Schedule_Importer[[#This Row],[Saturday]],"X"))&gt;=1,"TRUE","")</f>
        <v/>
      </c>
      <c r="M64" t="str">
        <f>IF(eQuest_Schedule_Importer[[#This Row],[Holiday]]="X","TRUE","")</f>
        <v/>
      </c>
      <c r="N64" s="584"/>
      <c r="O64" s="584"/>
      <c r="P64" s="584"/>
      <c r="Q64" s="584"/>
      <c r="R64" s="584"/>
      <c r="S64" s="584"/>
      <c r="T64" s="584"/>
      <c r="U64" s="584"/>
      <c r="V64" s="584"/>
      <c r="W64" s="584"/>
      <c r="X64" s="584"/>
      <c r="Y64" s="584"/>
      <c r="Z64" s="584"/>
      <c r="AA64" s="584"/>
      <c r="AB64" s="584"/>
      <c r="AC64" s="584"/>
      <c r="AD64" s="584"/>
      <c r="AE64" s="584"/>
      <c r="AF64" s="584"/>
      <c r="AG64" s="584"/>
      <c r="AH64" s="584"/>
      <c r="AI64" s="584"/>
      <c r="AJ64" s="584"/>
      <c r="AK64" s="584"/>
    </row>
    <row r="65" spans="11:37" x14ac:dyDescent="0.25">
      <c r="K65" t="str">
        <f>IF(COUNTIF(eQuest_Schedule_Importer[[#This Row],[Monday]:[Friday]],"X")&gt;=1,"TRUE","")</f>
        <v/>
      </c>
      <c r="L65" t="str">
        <f>IF(SUM(COUNTIF(eQuest_Schedule_Importer[[#This Row],[Sunday]],"X"),COUNTIF(eQuest_Schedule_Importer[[#This Row],[Saturday]],"X"))&gt;=1,"TRUE","")</f>
        <v/>
      </c>
      <c r="M65" t="str">
        <f>IF(eQuest_Schedule_Importer[[#This Row],[Holiday]]="X","TRUE","")</f>
        <v/>
      </c>
      <c r="N65" s="584"/>
      <c r="O65" s="584"/>
      <c r="P65" s="584"/>
      <c r="Q65" s="584"/>
      <c r="R65" s="584"/>
      <c r="S65" s="584"/>
      <c r="T65" s="584"/>
      <c r="U65" s="584"/>
      <c r="V65" s="584"/>
      <c r="W65" s="584"/>
      <c r="X65" s="584"/>
      <c r="Y65" s="584"/>
      <c r="Z65" s="584"/>
      <c r="AA65" s="584"/>
      <c r="AB65" s="584"/>
      <c r="AC65" s="584"/>
      <c r="AD65" s="584"/>
      <c r="AE65" s="584"/>
      <c r="AF65" s="584"/>
      <c r="AG65" s="584"/>
      <c r="AH65" s="584"/>
      <c r="AI65" s="584"/>
      <c r="AJ65" s="584"/>
      <c r="AK65" s="584"/>
    </row>
    <row r="66" spans="11:37" x14ac:dyDescent="0.25">
      <c r="K66" t="str">
        <f>IF(COUNTIF(eQuest_Schedule_Importer[[#This Row],[Monday]:[Friday]],"X")&gt;=1,"TRUE","")</f>
        <v/>
      </c>
      <c r="L66" t="str">
        <f>IF(SUM(COUNTIF(eQuest_Schedule_Importer[[#This Row],[Sunday]],"X"),COUNTIF(eQuest_Schedule_Importer[[#This Row],[Saturday]],"X"))&gt;=1,"TRUE","")</f>
        <v/>
      </c>
      <c r="M66" t="str">
        <f>IF(eQuest_Schedule_Importer[[#This Row],[Holiday]]="X","TRUE","")</f>
        <v/>
      </c>
      <c r="N66" s="584"/>
      <c r="O66" s="584"/>
      <c r="P66" s="584"/>
      <c r="Q66" s="584"/>
      <c r="R66" s="584"/>
      <c r="S66" s="584"/>
      <c r="T66" s="584"/>
      <c r="U66" s="584"/>
      <c r="V66" s="584"/>
      <c r="W66" s="584"/>
      <c r="X66" s="584"/>
      <c r="Y66" s="584"/>
      <c r="Z66" s="584"/>
      <c r="AA66" s="584"/>
      <c r="AB66" s="584"/>
      <c r="AC66" s="584"/>
      <c r="AD66" s="584"/>
      <c r="AE66" s="584"/>
      <c r="AF66" s="584"/>
      <c r="AG66" s="584"/>
      <c r="AH66" s="584"/>
      <c r="AI66" s="584"/>
      <c r="AJ66" s="584"/>
      <c r="AK66" s="584"/>
    </row>
    <row r="67" spans="11:37" x14ac:dyDescent="0.25">
      <c r="K67" t="str">
        <f>IF(COUNTIF(eQuest_Schedule_Importer[[#This Row],[Monday]:[Friday]],"X")&gt;=1,"TRUE","")</f>
        <v/>
      </c>
      <c r="L67" t="str">
        <f>IF(SUM(COUNTIF(eQuest_Schedule_Importer[[#This Row],[Sunday]],"X"),COUNTIF(eQuest_Schedule_Importer[[#This Row],[Saturday]],"X"))&gt;=1,"TRUE","")</f>
        <v/>
      </c>
      <c r="M67" t="str">
        <f>IF(eQuest_Schedule_Importer[[#This Row],[Holiday]]="X","TRUE","")</f>
        <v/>
      </c>
      <c r="N67" s="584"/>
      <c r="O67" s="584"/>
      <c r="P67" s="584"/>
      <c r="Q67" s="584"/>
      <c r="R67" s="584"/>
      <c r="S67" s="584"/>
      <c r="T67" s="584"/>
      <c r="U67" s="584"/>
      <c r="V67" s="584"/>
      <c r="W67" s="584"/>
      <c r="X67" s="584"/>
      <c r="Y67" s="584"/>
      <c r="Z67" s="584"/>
      <c r="AA67" s="584"/>
      <c r="AB67" s="584"/>
      <c r="AC67" s="584"/>
      <c r="AD67" s="584"/>
      <c r="AE67" s="584"/>
      <c r="AF67" s="584"/>
      <c r="AG67" s="584"/>
      <c r="AH67" s="584"/>
      <c r="AI67" s="584"/>
      <c r="AJ67" s="584"/>
      <c r="AK67" s="584"/>
    </row>
    <row r="68" spans="11:37" x14ac:dyDescent="0.25">
      <c r="K68" t="str">
        <f>IF(COUNTIF(eQuest_Schedule_Importer[[#This Row],[Monday]:[Friday]],"X")&gt;=1,"TRUE","")</f>
        <v/>
      </c>
      <c r="L68" t="str">
        <f>IF(SUM(COUNTIF(eQuest_Schedule_Importer[[#This Row],[Sunday]],"X"),COUNTIF(eQuest_Schedule_Importer[[#This Row],[Saturday]],"X"))&gt;=1,"TRUE","")</f>
        <v/>
      </c>
      <c r="M68" t="str">
        <f>IF(eQuest_Schedule_Importer[[#This Row],[Holiday]]="X","TRUE","")</f>
        <v/>
      </c>
      <c r="N68" s="584"/>
      <c r="O68" s="584"/>
      <c r="P68" s="584"/>
      <c r="Q68" s="584"/>
      <c r="R68" s="584"/>
      <c r="S68" s="584"/>
      <c r="T68" s="584"/>
      <c r="U68" s="584"/>
      <c r="V68" s="584"/>
      <c r="W68" s="584"/>
      <c r="X68" s="584"/>
      <c r="Y68" s="584"/>
      <c r="Z68" s="584"/>
      <c r="AA68" s="584"/>
      <c r="AB68" s="584"/>
      <c r="AC68" s="584"/>
      <c r="AD68" s="584"/>
      <c r="AE68" s="584"/>
      <c r="AF68" s="584"/>
      <c r="AG68" s="584"/>
      <c r="AH68" s="584"/>
      <c r="AI68" s="584"/>
      <c r="AJ68" s="584"/>
      <c r="AK68" s="584"/>
    </row>
    <row r="69" spans="11:37" x14ac:dyDescent="0.25">
      <c r="K69" t="str">
        <f>IF(COUNTIF(eQuest_Schedule_Importer[[#This Row],[Monday]:[Friday]],"X")&gt;=1,"TRUE","")</f>
        <v/>
      </c>
      <c r="L69" t="str">
        <f>IF(SUM(COUNTIF(eQuest_Schedule_Importer[[#This Row],[Sunday]],"X"),COUNTIF(eQuest_Schedule_Importer[[#This Row],[Saturday]],"X"))&gt;=1,"TRUE","")</f>
        <v/>
      </c>
      <c r="M69" t="str">
        <f>IF(eQuest_Schedule_Importer[[#This Row],[Holiday]]="X","TRUE","")</f>
        <v/>
      </c>
      <c r="N69" s="584"/>
      <c r="O69" s="584"/>
      <c r="P69" s="584"/>
      <c r="Q69" s="584"/>
      <c r="R69" s="584"/>
      <c r="S69" s="584"/>
      <c r="T69" s="584"/>
      <c r="U69" s="584"/>
      <c r="V69" s="584"/>
      <c r="W69" s="584"/>
      <c r="X69" s="584"/>
      <c r="Y69" s="584"/>
      <c r="Z69" s="584"/>
      <c r="AA69" s="584"/>
      <c r="AB69" s="584"/>
      <c r="AC69" s="584"/>
      <c r="AD69" s="584"/>
      <c r="AE69" s="584"/>
      <c r="AF69" s="584"/>
      <c r="AG69" s="584"/>
      <c r="AH69" s="584"/>
      <c r="AI69" s="584"/>
      <c r="AJ69" s="584"/>
      <c r="AK69" s="584"/>
    </row>
    <row r="70" spans="11:37" x14ac:dyDescent="0.25">
      <c r="K70" t="str">
        <f>IF(COUNTIF(eQuest_Schedule_Importer[[#This Row],[Monday]:[Friday]],"X")&gt;=1,"TRUE","")</f>
        <v/>
      </c>
      <c r="L70" t="str">
        <f>IF(SUM(COUNTIF(eQuest_Schedule_Importer[[#This Row],[Sunday]],"X"),COUNTIF(eQuest_Schedule_Importer[[#This Row],[Saturday]],"X"))&gt;=1,"TRUE","")</f>
        <v/>
      </c>
      <c r="M70" t="str">
        <f>IF(eQuest_Schedule_Importer[[#This Row],[Holiday]]="X","TRUE","")</f>
        <v/>
      </c>
      <c r="N70" s="584"/>
      <c r="O70" s="584"/>
      <c r="P70" s="584"/>
      <c r="Q70" s="584"/>
      <c r="R70" s="584"/>
      <c r="S70" s="584"/>
      <c r="T70" s="584"/>
      <c r="U70" s="584"/>
      <c r="V70" s="584"/>
      <c r="W70" s="584"/>
      <c r="X70" s="584"/>
      <c r="Y70" s="584"/>
      <c r="Z70" s="584"/>
      <c r="AA70" s="584"/>
      <c r="AB70" s="584"/>
      <c r="AC70" s="584"/>
      <c r="AD70" s="584"/>
      <c r="AE70" s="584"/>
      <c r="AF70" s="584"/>
      <c r="AG70" s="584"/>
      <c r="AH70" s="584"/>
      <c r="AI70" s="584"/>
      <c r="AJ70" s="584"/>
      <c r="AK70" s="584"/>
    </row>
    <row r="71" spans="11:37" x14ac:dyDescent="0.25">
      <c r="K71" t="str">
        <f>IF(COUNTIF(eQuest_Schedule_Importer[[#This Row],[Monday]:[Friday]],"X")&gt;=1,"TRUE","")</f>
        <v/>
      </c>
      <c r="L71" t="str">
        <f>IF(SUM(COUNTIF(eQuest_Schedule_Importer[[#This Row],[Sunday]],"X"),COUNTIF(eQuest_Schedule_Importer[[#This Row],[Saturday]],"X"))&gt;=1,"TRUE","")</f>
        <v/>
      </c>
      <c r="M71" t="str">
        <f>IF(eQuest_Schedule_Importer[[#This Row],[Holiday]]="X","TRUE","")</f>
        <v/>
      </c>
      <c r="N71" s="584"/>
      <c r="O71" s="584"/>
      <c r="P71" s="584"/>
      <c r="Q71" s="584"/>
      <c r="R71" s="584"/>
      <c r="S71" s="584"/>
      <c r="T71" s="584"/>
      <c r="U71" s="584"/>
      <c r="V71" s="584"/>
      <c r="W71" s="584"/>
      <c r="X71" s="584"/>
      <c r="Y71" s="584"/>
      <c r="Z71" s="584"/>
      <c r="AA71" s="584"/>
      <c r="AB71" s="584"/>
      <c r="AC71" s="584"/>
      <c r="AD71" s="584"/>
      <c r="AE71" s="584"/>
      <c r="AF71" s="584"/>
      <c r="AG71" s="584"/>
      <c r="AH71" s="584"/>
      <c r="AI71" s="584"/>
      <c r="AJ71" s="584"/>
      <c r="AK71" s="584"/>
    </row>
    <row r="72" spans="11:37" x14ac:dyDescent="0.25">
      <c r="K72" t="str">
        <f>IF(COUNTIF(eQuest_Schedule_Importer[[#This Row],[Monday]:[Friday]],"X")&gt;=1,"TRUE","")</f>
        <v/>
      </c>
      <c r="L72" t="str">
        <f>IF(SUM(COUNTIF(eQuest_Schedule_Importer[[#This Row],[Sunday]],"X"),COUNTIF(eQuest_Schedule_Importer[[#This Row],[Saturday]],"X"))&gt;=1,"TRUE","")</f>
        <v/>
      </c>
      <c r="M72" t="str">
        <f>IF(eQuest_Schedule_Importer[[#This Row],[Holiday]]="X","TRUE","")</f>
        <v/>
      </c>
      <c r="N72" s="584"/>
      <c r="O72" s="584"/>
      <c r="P72" s="584"/>
      <c r="Q72" s="584"/>
      <c r="R72" s="584"/>
      <c r="S72" s="584"/>
      <c r="T72" s="584"/>
      <c r="U72" s="584"/>
      <c r="V72" s="584"/>
      <c r="W72" s="584"/>
      <c r="X72" s="584"/>
      <c r="Y72" s="584"/>
      <c r="Z72" s="584"/>
      <c r="AA72" s="584"/>
      <c r="AB72" s="584"/>
      <c r="AC72" s="584"/>
      <c r="AD72" s="584"/>
      <c r="AE72" s="584"/>
      <c r="AF72" s="584"/>
      <c r="AG72" s="584"/>
      <c r="AH72" s="584"/>
      <c r="AI72" s="584"/>
      <c r="AJ72" s="584"/>
      <c r="AK72" s="584"/>
    </row>
    <row r="73" spans="11:37" x14ac:dyDescent="0.25">
      <c r="K73" t="str">
        <f>IF(COUNTIF(eQuest_Schedule_Importer[[#This Row],[Monday]:[Friday]],"X")&gt;=1,"TRUE","")</f>
        <v/>
      </c>
      <c r="L73" t="str">
        <f>IF(SUM(COUNTIF(eQuest_Schedule_Importer[[#This Row],[Sunday]],"X"),COUNTIF(eQuest_Schedule_Importer[[#This Row],[Saturday]],"X"))&gt;=1,"TRUE","")</f>
        <v/>
      </c>
      <c r="M73" t="str">
        <f>IF(eQuest_Schedule_Importer[[#This Row],[Holiday]]="X","TRUE","")</f>
        <v/>
      </c>
      <c r="N73" s="584"/>
      <c r="O73" s="584"/>
      <c r="P73" s="584"/>
      <c r="Q73" s="584"/>
      <c r="R73" s="584"/>
      <c r="S73" s="584"/>
      <c r="T73" s="584"/>
      <c r="U73" s="584"/>
      <c r="V73" s="584"/>
      <c r="W73" s="584"/>
      <c r="X73" s="584"/>
      <c r="Y73" s="584"/>
      <c r="Z73" s="584"/>
      <c r="AA73" s="584"/>
      <c r="AB73" s="584"/>
      <c r="AC73" s="584"/>
      <c r="AD73" s="584"/>
      <c r="AE73" s="584"/>
      <c r="AF73" s="584"/>
      <c r="AG73" s="584"/>
      <c r="AH73" s="584"/>
      <c r="AI73" s="584"/>
      <c r="AJ73" s="584"/>
      <c r="AK73" s="584"/>
    </row>
    <row r="74" spans="11:37" x14ac:dyDescent="0.25">
      <c r="K74" t="str">
        <f>IF(COUNTIF(eQuest_Schedule_Importer[[#This Row],[Monday]:[Friday]],"X")&gt;=1,"TRUE","")</f>
        <v/>
      </c>
      <c r="L74" t="str">
        <f>IF(SUM(COUNTIF(eQuest_Schedule_Importer[[#This Row],[Sunday]],"X"),COUNTIF(eQuest_Schedule_Importer[[#This Row],[Saturday]],"X"))&gt;=1,"TRUE","")</f>
        <v/>
      </c>
      <c r="M74" t="str">
        <f>IF(eQuest_Schedule_Importer[[#This Row],[Holiday]]="X","TRUE","")</f>
        <v/>
      </c>
      <c r="N74" s="584"/>
      <c r="O74" s="584"/>
      <c r="P74" s="584"/>
      <c r="Q74" s="584"/>
      <c r="R74" s="584"/>
      <c r="S74" s="584"/>
      <c r="T74" s="584"/>
      <c r="U74" s="584"/>
      <c r="V74" s="584"/>
      <c r="W74" s="584"/>
      <c r="X74" s="584"/>
      <c r="Y74" s="584"/>
      <c r="Z74" s="584"/>
      <c r="AA74" s="584"/>
      <c r="AB74" s="584"/>
      <c r="AC74" s="584"/>
      <c r="AD74" s="584"/>
      <c r="AE74" s="584"/>
      <c r="AF74" s="584"/>
      <c r="AG74" s="584"/>
      <c r="AH74" s="584"/>
      <c r="AI74" s="584"/>
      <c r="AJ74" s="584"/>
      <c r="AK74" s="584"/>
    </row>
    <row r="75" spans="11:37" x14ac:dyDescent="0.25">
      <c r="K75" t="str">
        <f>IF(COUNTIF(eQuest_Schedule_Importer[[#This Row],[Monday]:[Friday]],"X")&gt;=1,"TRUE","")</f>
        <v/>
      </c>
      <c r="L75" t="str">
        <f>IF(SUM(COUNTIF(eQuest_Schedule_Importer[[#This Row],[Sunday]],"X"),COUNTIF(eQuest_Schedule_Importer[[#This Row],[Saturday]],"X"))&gt;=1,"TRUE","")</f>
        <v/>
      </c>
      <c r="M75" t="str">
        <f>IF(eQuest_Schedule_Importer[[#This Row],[Holiday]]="X","TRUE","")</f>
        <v/>
      </c>
      <c r="N75" s="584"/>
      <c r="O75" s="584"/>
      <c r="P75" s="584"/>
      <c r="Q75" s="584"/>
      <c r="R75" s="584"/>
      <c r="S75" s="584"/>
      <c r="T75" s="584"/>
      <c r="U75" s="584"/>
      <c r="V75" s="584"/>
      <c r="W75" s="584"/>
      <c r="X75" s="584"/>
      <c r="Y75" s="584"/>
      <c r="Z75" s="584"/>
      <c r="AA75" s="584"/>
      <c r="AB75" s="584"/>
      <c r="AC75" s="584"/>
      <c r="AD75" s="584"/>
      <c r="AE75" s="584"/>
      <c r="AF75" s="584"/>
      <c r="AG75" s="584"/>
      <c r="AH75" s="584"/>
      <c r="AI75" s="584"/>
      <c r="AJ75" s="584"/>
      <c r="AK75" s="584"/>
    </row>
    <row r="76" spans="11:37" x14ac:dyDescent="0.25">
      <c r="K76" t="str">
        <f>IF(COUNTIF(eQuest_Schedule_Importer[[#This Row],[Monday]:[Friday]],"X")&gt;=1,"TRUE","")</f>
        <v/>
      </c>
      <c r="L76" t="str">
        <f>IF(SUM(COUNTIF(eQuest_Schedule_Importer[[#This Row],[Sunday]],"X"),COUNTIF(eQuest_Schedule_Importer[[#This Row],[Saturday]],"X"))&gt;=1,"TRUE","")</f>
        <v/>
      </c>
      <c r="M76" t="str">
        <f>IF(eQuest_Schedule_Importer[[#This Row],[Holiday]]="X","TRUE","")</f>
        <v/>
      </c>
      <c r="N76" s="584"/>
      <c r="O76" s="584"/>
      <c r="P76" s="584"/>
      <c r="Q76" s="584"/>
      <c r="R76" s="584"/>
      <c r="S76" s="584"/>
      <c r="T76" s="584"/>
      <c r="U76" s="584"/>
      <c r="V76" s="584"/>
      <c r="W76" s="584"/>
      <c r="X76" s="584"/>
      <c r="Y76" s="584"/>
      <c r="Z76" s="584"/>
      <c r="AA76" s="584"/>
      <c r="AB76" s="584"/>
      <c r="AC76" s="584"/>
      <c r="AD76" s="584"/>
      <c r="AE76" s="584"/>
      <c r="AF76" s="584"/>
      <c r="AG76" s="584"/>
      <c r="AH76" s="584"/>
      <c r="AI76" s="584"/>
      <c r="AJ76" s="584"/>
      <c r="AK76" s="584"/>
    </row>
    <row r="77" spans="11:37" x14ac:dyDescent="0.25">
      <c r="K77" t="str">
        <f>IF(COUNTIF(eQuest_Schedule_Importer[[#This Row],[Monday]:[Friday]],"X")&gt;=1,"TRUE","")</f>
        <v/>
      </c>
      <c r="L77" t="str">
        <f>IF(SUM(COUNTIF(eQuest_Schedule_Importer[[#This Row],[Sunday]],"X"),COUNTIF(eQuest_Schedule_Importer[[#This Row],[Saturday]],"X"))&gt;=1,"TRUE","")</f>
        <v/>
      </c>
      <c r="M77" t="str">
        <f>IF(eQuest_Schedule_Importer[[#This Row],[Holiday]]="X","TRUE","")</f>
        <v/>
      </c>
      <c r="N77" s="584"/>
      <c r="O77" s="584"/>
      <c r="P77" s="584"/>
      <c r="Q77" s="584"/>
      <c r="R77" s="584"/>
      <c r="S77" s="584"/>
      <c r="T77" s="584"/>
      <c r="U77" s="584"/>
      <c r="V77" s="584"/>
      <c r="W77" s="584"/>
      <c r="X77" s="584"/>
      <c r="Y77" s="584"/>
      <c r="Z77" s="584"/>
      <c r="AA77" s="584"/>
      <c r="AB77" s="584"/>
      <c r="AC77" s="584"/>
      <c r="AD77" s="584"/>
      <c r="AE77" s="584"/>
      <c r="AF77" s="584"/>
      <c r="AG77" s="584"/>
      <c r="AH77" s="584"/>
      <c r="AI77" s="584"/>
      <c r="AJ77" s="584"/>
      <c r="AK77" s="584"/>
    </row>
    <row r="78" spans="11:37" x14ac:dyDescent="0.25">
      <c r="K78" t="str">
        <f>IF(COUNTIF(eQuest_Schedule_Importer[[#This Row],[Monday]:[Friday]],"X")&gt;=1,"TRUE","")</f>
        <v/>
      </c>
      <c r="L78" t="str">
        <f>IF(SUM(COUNTIF(eQuest_Schedule_Importer[[#This Row],[Sunday]],"X"),COUNTIF(eQuest_Schedule_Importer[[#This Row],[Saturday]],"X"))&gt;=1,"TRUE","")</f>
        <v/>
      </c>
      <c r="M78" t="str">
        <f>IF(eQuest_Schedule_Importer[[#This Row],[Holiday]]="X","TRUE","")</f>
        <v/>
      </c>
      <c r="N78" s="584"/>
      <c r="O78" s="584"/>
      <c r="P78" s="584"/>
      <c r="Q78" s="584"/>
      <c r="R78" s="584"/>
      <c r="S78" s="584"/>
      <c r="T78" s="584"/>
      <c r="U78" s="584"/>
      <c r="V78" s="584"/>
      <c r="W78" s="584"/>
      <c r="X78" s="584"/>
      <c r="Y78" s="584"/>
      <c r="Z78" s="584"/>
      <c r="AA78" s="584"/>
      <c r="AB78" s="584"/>
      <c r="AC78" s="584"/>
      <c r="AD78" s="584"/>
      <c r="AE78" s="584"/>
      <c r="AF78" s="584"/>
      <c r="AG78" s="584"/>
      <c r="AH78" s="584"/>
      <c r="AI78" s="584"/>
      <c r="AJ78" s="584"/>
      <c r="AK78" s="584"/>
    </row>
    <row r="79" spans="11:37" x14ac:dyDescent="0.25">
      <c r="K79" t="str">
        <f>IF(COUNTIF(eQuest_Schedule_Importer[[#This Row],[Monday]:[Friday]],"X")&gt;=1,"TRUE","")</f>
        <v/>
      </c>
      <c r="L79" t="str">
        <f>IF(SUM(COUNTIF(eQuest_Schedule_Importer[[#This Row],[Sunday]],"X"),COUNTIF(eQuest_Schedule_Importer[[#This Row],[Saturday]],"X"))&gt;=1,"TRUE","")</f>
        <v/>
      </c>
      <c r="M79" t="str">
        <f>IF(eQuest_Schedule_Importer[[#This Row],[Holiday]]="X","TRUE","")</f>
        <v/>
      </c>
      <c r="N79" s="584"/>
      <c r="O79" s="584"/>
      <c r="P79" s="584"/>
      <c r="Q79" s="584"/>
      <c r="R79" s="584"/>
      <c r="S79" s="584"/>
      <c r="T79" s="584"/>
      <c r="U79" s="584"/>
      <c r="V79" s="584"/>
      <c r="W79" s="584"/>
      <c r="X79" s="584"/>
      <c r="Y79" s="584"/>
      <c r="Z79" s="584"/>
      <c r="AA79" s="584"/>
      <c r="AB79" s="584"/>
      <c r="AC79" s="584"/>
      <c r="AD79" s="584"/>
      <c r="AE79" s="584"/>
      <c r="AF79" s="584"/>
      <c r="AG79" s="584"/>
      <c r="AH79" s="584"/>
      <c r="AI79" s="584"/>
      <c r="AJ79" s="584"/>
      <c r="AK79" s="584"/>
    </row>
    <row r="80" spans="11:37" x14ac:dyDescent="0.25">
      <c r="K80" t="str">
        <f>IF(COUNTIF(eQuest_Schedule_Importer[[#This Row],[Monday]:[Friday]],"X")&gt;=1,"TRUE","")</f>
        <v/>
      </c>
      <c r="L80" t="str">
        <f>IF(SUM(COUNTIF(eQuest_Schedule_Importer[[#This Row],[Sunday]],"X"),COUNTIF(eQuest_Schedule_Importer[[#This Row],[Saturday]],"X"))&gt;=1,"TRUE","")</f>
        <v/>
      </c>
      <c r="M80" t="str">
        <f>IF(eQuest_Schedule_Importer[[#This Row],[Holiday]]="X","TRUE","")</f>
        <v/>
      </c>
      <c r="N80" s="584"/>
      <c r="O80" s="584"/>
      <c r="P80" s="584"/>
      <c r="Q80" s="584"/>
      <c r="R80" s="584"/>
      <c r="S80" s="584"/>
      <c r="T80" s="584"/>
      <c r="U80" s="584"/>
      <c r="V80" s="584"/>
      <c r="W80" s="584"/>
      <c r="X80" s="584"/>
      <c r="Y80" s="584"/>
      <c r="Z80" s="584"/>
      <c r="AA80" s="584"/>
      <c r="AB80" s="584"/>
      <c r="AC80" s="584"/>
      <c r="AD80" s="584"/>
      <c r="AE80" s="584"/>
      <c r="AF80" s="584"/>
      <c r="AG80" s="584"/>
      <c r="AH80" s="584"/>
      <c r="AI80" s="584"/>
      <c r="AJ80" s="584"/>
      <c r="AK80" s="584"/>
    </row>
  </sheetData>
  <phoneticPr fontId="49"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706E3-F679-4402-9276-9C1BDFB87A2F}">
  <sheetPr codeName="Sheet9"/>
  <dimension ref="A1:BE130"/>
  <sheetViews>
    <sheetView zoomScale="90" zoomScaleNormal="90" workbookViewId="0">
      <selection activeCell="AC24" sqref="AC24"/>
    </sheetView>
  </sheetViews>
  <sheetFormatPr defaultRowHeight="15" x14ac:dyDescent="0.25"/>
  <cols>
    <col min="1" max="2" width="4.28515625" customWidth="1"/>
    <col min="3" max="3" width="9.5703125" bestFit="1" customWidth="1"/>
    <col min="4" max="28" width="4.28515625" customWidth="1"/>
    <col min="30" max="31" width="4.28515625" customWidth="1"/>
    <col min="32" max="32" width="9.5703125" bestFit="1" customWidth="1"/>
    <col min="33" max="57" width="4.28515625" customWidth="1"/>
  </cols>
  <sheetData>
    <row r="1" spans="1:57" ht="15.75" thickBot="1" x14ac:dyDescent="0.3">
      <c r="A1" s="185" t="s">
        <v>12</v>
      </c>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7"/>
    </row>
    <row r="2" spans="1:57" ht="15.75" thickBot="1" x14ac:dyDescent="0.3">
      <c r="A2" s="188" t="s">
        <v>1021</v>
      </c>
      <c r="B2" s="189"/>
      <c r="C2" s="189"/>
      <c r="D2" s="189"/>
      <c r="E2" s="189"/>
      <c r="F2" s="189"/>
      <c r="G2" s="189"/>
      <c r="H2" s="189"/>
      <c r="I2" s="189"/>
      <c r="J2" s="189"/>
      <c r="K2" s="189"/>
      <c r="L2" s="189"/>
      <c r="M2" s="189"/>
      <c r="N2" s="189"/>
      <c r="O2" s="189"/>
      <c r="P2" s="189"/>
      <c r="Q2" s="189"/>
      <c r="R2" s="189"/>
      <c r="S2" s="189"/>
      <c r="T2" s="189"/>
      <c r="U2" s="189"/>
      <c r="V2" s="189"/>
      <c r="W2" s="189"/>
      <c r="X2" s="189"/>
      <c r="Y2" s="189"/>
      <c r="Z2" s="189"/>
      <c r="AA2" s="189"/>
      <c r="AB2" s="190"/>
    </row>
    <row r="5" spans="1:57" hidden="1" x14ac:dyDescent="0.25">
      <c r="D5">
        <v>1</v>
      </c>
      <c r="E5">
        <v>2</v>
      </c>
      <c r="F5">
        <v>3</v>
      </c>
      <c r="G5">
        <v>4</v>
      </c>
      <c r="H5">
        <v>5</v>
      </c>
      <c r="I5">
        <v>6</v>
      </c>
      <c r="J5">
        <v>7</v>
      </c>
      <c r="K5">
        <v>8</v>
      </c>
      <c r="L5">
        <v>9</v>
      </c>
      <c r="M5">
        <v>10</v>
      </c>
      <c r="N5">
        <v>11</v>
      </c>
      <c r="O5">
        <v>12</v>
      </c>
      <c r="P5">
        <v>13</v>
      </c>
      <c r="Q5">
        <v>14</v>
      </c>
      <c r="R5">
        <v>15</v>
      </c>
      <c r="S5">
        <v>16</v>
      </c>
      <c r="T5">
        <v>17</v>
      </c>
      <c r="U5">
        <v>18</v>
      </c>
      <c r="V5">
        <v>19</v>
      </c>
      <c r="W5">
        <v>20</v>
      </c>
      <c r="X5">
        <v>21</v>
      </c>
      <c r="Y5">
        <v>22</v>
      </c>
      <c r="Z5">
        <v>23</v>
      </c>
      <c r="AA5">
        <v>24</v>
      </c>
      <c r="AG5">
        <v>1</v>
      </c>
      <c r="AH5">
        <v>2</v>
      </c>
      <c r="AI5">
        <v>3</v>
      </c>
      <c r="AJ5">
        <v>4</v>
      </c>
      <c r="AK5">
        <v>5</v>
      </c>
      <c r="AL5">
        <v>6</v>
      </c>
      <c r="AM5">
        <v>7</v>
      </c>
      <c r="AN5">
        <v>8</v>
      </c>
      <c r="AO5">
        <v>9</v>
      </c>
      <c r="AP5">
        <v>10</v>
      </c>
      <c r="AQ5">
        <v>11</v>
      </c>
      <c r="AR5">
        <v>12</v>
      </c>
      <c r="AS5">
        <v>13</v>
      </c>
      <c r="AT5">
        <v>14</v>
      </c>
      <c r="AU5">
        <v>15</v>
      </c>
      <c r="AV5">
        <v>16</v>
      </c>
      <c r="AW5">
        <v>17</v>
      </c>
      <c r="AX5">
        <v>18</v>
      </c>
      <c r="AY5">
        <v>19</v>
      </c>
      <c r="AZ5">
        <v>20</v>
      </c>
      <c r="BA5">
        <v>21</v>
      </c>
      <c r="BB5">
        <v>22</v>
      </c>
      <c r="BC5">
        <v>23</v>
      </c>
      <c r="BD5">
        <v>24</v>
      </c>
    </row>
    <row r="6" spans="1:57" ht="18.75" x14ac:dyDescent="0.3">
      <c r="A6" s="765" t="s">
        <v>1022</v>
      </c>
      <c r="B6" s="765"/>
      <c r="C6" s="765"/>
      <c r="D6" s="765"/>
      <c r="E6" s="765"/>
      <c r="F6" s="765"/>
      <c r="G6" s="765"/>
      <c r="H6" s="765"/>
      <c r="I6" s="765"/>
      <c r="J6" s="765"/>
      <c r="K6" s="765"/>
      <c r="L6" s="765"/>
      <c r="M6" s="765"/>
      <c r="N6" s="765"/>
      <c r="O6" s="765"/>
      <c r="P6" s="765"/>
      <c r="Q6" s="765"/>
      <c r="R6" s="765"/>
      <c r="S6" s="765"/>
      <c r="T6" s="765"/>
      <c r="U6" s="765"/>
      <c r="V6" s="765"/>
      <c r="W6" s="765"/>
      <c r="X6" s="765"/>
      <c r="Y6" s="765"/>
      <c r="Z6" s="765"/>
      <c r="AA6" s="765"/>
      <c r="AB6" s="765"/>
      <c r="AD6" s="766" t="s">
        <v>1023</v>
      </c>
      <c r="AE6" s="766"/>
      <c r="AF6" s="766"/>
      <c r="AG6" s="766"/>
      <c r="AH6" s="766"/>
      <c r="AI6" s="766"/>
      <c r="AJ6" s="766"/>
      <c r="AK6" s="766"/>
      <c r="AL6" s="766"/>
      <c r="AM6" s="766"/>
      <c r="AN6" s="766"/>
      <c r="AO6" s="766"/>
      <c r="AP6" s="766"/>
      <c r="AQ6" s="766"/>
      <c r="AR6" s="766"/>
      <c r="AS6" s="766"/>
      <c r="AT6" s="766"/>
      <c r="AU6" s="766"/>
      <c r="AV6" s="766"/>
      <c r="AW6" s="766"/>
      <c r="AX6" s="766"/>
      <c r="AY6" s="766"/>
      <c r="AZ6" s="766"/>
      <c r="BA6" s="766"/>
      <c r="BB6" s="766"/>
      <c r="BC6" s="766"/>
      <c r="BD6" s="766"/>
      <c r="BE6" s="766"/>
    </row>
    <row r="7" spans="1:57" ht="15.75" x14ac:dyDescent="0.25">
      <c r="D7" s="764" t="s">
        <v>1024</v>
      </c>
      <c r="E7" s="764"/>
      <c r="F7" s="764"/>
      <c r="G7" s="764"/>
      <c r="H7" s="764"/>
      <c r="I7" s="764"/>
      <c r="J7" s="764"/>
      <c r="K7" s="764"/>
      <c r="L7" s="764"/>
      <c r="M7" s="764"/>
      <c r="AG7" s="767" t="str">
        <f>D7</f>
        <v>SFVA Circulation</v>
      </c>
      <c r="AH7" s="767"/>
      <c r="AI7" s="767"/>
      <c r="AJ7" s="767"/>
      <c r="AK7" s="767"/>
      <c r="AL7" s="767"/>
      <c r="AM7" s="767"/>
      <c r="AN7" s="767"/>
      <c r="AO7" s="767"/>
      <c r="AP7" s="767"/>
    </row>
    <row r="9" spans="1:57" x14ac:dyDescent="0.25">
      <c r="D9" t="str">
        <f>CONCATENATE(D7," ",A6)</f>
        <v>SFVA Circulation Occupancy Schedule</v>
      </c>
      <c r="AG9" t="str">
        <f>CONCATENATE(AG7," ",AD6)</f>
        <v>SFVA Circulation Lighting and Euipment Schedule</v>
      </c>
    </row>
    <row r="23" spans="1:57" x14ac:dyDescent="0.25">
      <c r="C23" t="s">
        <v>1025</v>
      </c>
      <c r="D23" s="191" cm="1">
        <f t="array" ref="D23">INDEX('IES Schedule Importer'!$A$4:$S$1048576,MATCH($D7,'IES Schedule Importer'!$A$4:$A$1048576,0)+1+D$5,5)/100</f>
        <v>0</v>
      </c>
      <c r="E23" s="191" cm="1">
        <f t="array" ref="E23">INDEX('IES Schedule Importer'!$A$4:$S$1048576,MATCH($D7,'IES Schedule Importer'!$A$4:$A$1048576,0)+1+E$5,5)/100</f>
        <v>0</v>
      </c>
      <c r="F23" s="191" cm="1">
        <f t="array" ref="F23">INDEX('IES Schedule Importer'!$A$4:$S$1048576,MATCH($D7,'IES Schedule Importer'!$A$4:$A$1048576,0)+1+F$5,5)/100</f>
        <v>0</v>
      </c>
      <c r="G23" s="191" cm="1">
        <f t="array" ref="G23">INDEX('IES Schedule Importer'!$A$4:$S$1048576,MATCH($D7,'IES Schedule Importer'!$A$4:$A$1048576,0)+1+G$5,5)/100</f>
        <v>0</v>
      </c>
      <c r="H23" s="191" cm="1">
        <f t="array" ref="H23">INDEX('IES Schedule Importer'!$A$4:$S$1048576,MATCH($D7,'IES Schedule Importer'!$A$4:$A$1048576,0)+1+H$5,5)/100</f>
        <v>0</v>
      </c>
      <c r="I23" s="191" cm="1">
        <f t="array" ref="I23">INDEX('IES Schedule Importer'!$A$4:$S$1048576,MATCH($D7,'IES Schedule Importer'!$A$4:$A$1048576,0)+1+I$5,5)/100</f>
        <v>0</v>
      </c>
      <c r="J23" s="191" cm="1">
        <f t="array" ref="J23">INDEX('IES Schedule Importer'!$A$4:$S$1048576,MATCH($D7,'IES Schedule Importer'!$A$4:$A$1048576,0)+1+J$5,5)/100</f>
        <v>0.1</v>
      </c>
      <c r="K23" s="191" cm="1">
        <f t="array" ref="K23">INDEX('IES Schedule Importer'!$A$4:$S$1048576,MATCH($D7,'IES Schedule Importer'!$A$4:$A$1048576,0)+1+K$5,5)/100</f>
        <v>0.2</v>
      </c>
      <c r="L23" s="191" cm="1">
        <f t="array" ref="L23">INDEX('IES Schedule Importer'!$A$4:$S$1048576,MATCH($D7,'IES Schedule Importer'!$A$4:$A$1048576,0)+1+L$5,5)/100</f>
        <v>0.95</v>
      </c>
      <c r="M23" s="191" cm="1">
        <f t="array" ref="M23">INDEX('IES Schedule Importer'!$A$4:$S$1048576,MATCH($D7,'IES Schedule Importer'!$A$4:$A$1048576,0)+1+M$5,5)/100</f>
        <v>0.95</v>
      </c>
      <c r="N23" s="191" cm="1">
        <f t="array" ref="N23">INDEX('IES Schedule Importer'!$A$4:$S$1048576,MATCH($D7,'IES Schedule Importer'!$A$4:$A$1048576,0)+1+N$5,5)/100</f>
        <v>0.95</v>
      </c>
      <c r="O23" s="191" cm="1">
        <f t="array" ref="O23">INDEX('IES Schedule Importer'!$A$4:$S$1048576,MATCH($D7,'IES Schedule Importer'!$A$4:$A$1048576,0)+1+O$5,5)/100</f>
        <v>0.95</v>
      </c>
      <c r="P23" s="191" cm="1">
        <f t="array" ref="P23">INDEX('IES Schedule Importer'!$A$4:$S$1048576,MATCH($D7,'IES Schedule Importer'!$A$4:$A$1048576,0)+1+P$5,5)/100</f>
        <v>0.5</v>
      </c>
      <c r="Q23" s="191" cm="1">
        <f t="array" ref="Q23">INDEX('IES Schedule Importer'!$A$4:$S$1048576,MATCH($D7,'IES Schedule Importer'!$A$4:$A$1048576,0)+1+Q$5,5)/100</f>
        <v>0.95</v>
      </c>
      <c r="R23" s="191" cm="1">
        <f t="array" ref="R23">INDEX('IES Schedule Importer'!$A$4:$S$1048576,MATCH($D7,'IES Schedule Importer'!$A$4:$A$1048576,0)+1+R$5,5)/100</f>
        <v>0.95</v>
      </c>
      <c r="S23" s="191" cm="1">
        <f t="array" ref="S23">INDEX('IES Schedule Importer'!$A$4:$S$1048576,MATCH($D7,'IES Schedule Importer'!$A$4:$A$1048576,0)+1+S$5,5)/100</f>
        <v>0.95</v>
      </c>
      <c r="T23" s="191" cm="1">
        <f t="array" ref="T23">INDEX('IES Schedule Importer'!$A$4:$S$1048576,MATCH($D7,'IES Schedule Importer'!$A$4:$A$1048576,0)+1+T$5,5)/100</f>
        <v>0.95</v>
      </c>
      <c r="U23" s="191" cm="1">
        <f t="array" ref="U23">INDEX('IES Schedule Importer'!$A$4:$S$1048576,MATCH($D7,'IES Schedule Importer'!$A$4:$A$1048576,0)+1+U$5,5)/100</f>
        <v>0.3</v>
      </c>
      <c r="V23" s="191" cm="1">
        <f t="array" ref="V23">INDEX('IES Schedule Importer'!$A$4:$S$1048576,MATCH($D7,'IES Schedule Importer'!$A$4:$A$1048576,0)+1+V$5,5)/100</f>
        <v>0.1</v>
      </c>
      <c r="W23" s="191" cm="1">
        <f t="array" ref="W23">INDEX('IES Schedule Importer'!$A$4:$S$1048576,MATCH($D7,'IES Schedule Importer'!$A$4:$A$1048576,0)+1+W$5,5)/100</f>
        <v>0.1</v>
      </c>
      <c r="X23" s="191" cm="1">
        <f t="array" ref="X23">INDEX('IES Schedule Importer'!$A$4:$S$1048576,MATCH($D7,'IES Schedule Importer'!$A$4:$A$1048576,0)+1+X$5,5)/100</f>
        <v>0.1</v>
      </c>
      <c r="Y23" s="191" cm="1">
        <f t="array" ref="Y23">INDEX('IES Schedule Importer'!$A$4:$S$1048576,MATCH($D7,'IES Schedule Importer'!$A$4:$A$1048576,0)+1+Y$5,5)/100</f>
        <v>0.1</v>
      </c>
      <c r="Z23" s="191" cm="1">
        <f t="array" ref="Z23">INDEX('IES Schedule Importer'!$A$4:$S$1048576,MATCH($D7,'IES Schedule Importer'!$A$4:$A$1048576,0)+1+Z$5,5)/100</f>
        <v>0.05</v>
      </c>
      <c r="AA23" s="191" cm="1">
        <f t="array" ref="AA23">INDEX('IES Schedule Importer'!$A$4:$S$1048576,MATCH($D7,'IES Schedule Importer'!$A$4:$A$1048576,0)+1+AA$5,5)/100</f>
        <v>0.05</v>
      </c>
      <c r="AF23" t="s">
        <v>1025</v>
      </c>
      <c r="AG23" s="191" cm="1">
        <f t="array" ref="AG23">INDEX('IES Schedule Importer'!$A$4:$S$1048576,MATCH($AG7,'IES Schedule Importer'!$A$4:$A$1048576,0)+1+AG$5,8)/100</f>
        <v>0.05</v>
      </c>
      <c r="AH23" s="191" cm="1">
        <f t="array" ref="AH23">INDEX('IES Schedule Importer'!$A$4:$S$1048576,MATCH($AG7,'IES Schedule Importer'!$A$4:$A$1048576,0)+1+AH$5,8)/100</f>
        <v>0.05</v>
      </c>
      <c r="AI23" s="191" cm="1">
        <f t="array" ref="AI23">INDEX('IES Schedule Importer'!$A$4:$S$1048576,MATCH($AG7,'IES Schedule Importer'!$A$4:$A$1048576,0)+1+AI$5,8)/100</f>
        <v>0.05</v>
      </c>
      <c r="AJ23" s="191" cm="1">
        <f t="array" ref="AJ23">INDEX('IES Schedule Importer'!$A$4:$S$1048576,MATCH($AG7,'IES Schedule Importer'!$A$4:$A$1048576,0)+1+AJ$5,8)/100</f>
        <v>0.05</v>
      </c>
      <c r="AK23" s="191" cm="1">
        <f t="array" ref="AK23">INDEX('IES Schedule Importer'!$A$4:$S$1048576,MATCH($AG7,'IES Schedule Importer'!$A$4:$A$1048576,0)+1+AK$5,8)/100</f>
        <v>0.05</v>
      </c>
      <c r="AL23" s="191" cm="1">
        <f t="array" ref="AL23">INDEX('IES Schedule Importer'!$A$4:$S$1048576,MATCH($AG7,'IES Schedule Importer'!$A$4:$A$1048576,0)+1+AL$5,8)/100</f>
        <v>0.1</v>
      </c>
      <c r="AM23" s="191" cm="1">
        <f t="array" ref="AM23">INDEX('IES Schedule Importer'!$A$4:$S$1048576,MATCH($AG7,'IES Schedule Importer'!$A$4:$A$1048576,0)+1+AM$5,8)/100</f>
        <v>0.1</v>
      </c>
      <c r="AN23" s="191" cm="1">
        <f t="array" ref="AN23">INDEX('IES Schedule Importer'!$A$4:$S$1048576,MATCH($AG7,'IES Schedule Importer'!$A$4:$A$1048576,0)+1+AN$5,8)/100</f>
        <v>0.3</v>
      </c>
      <c r="AO23" s="191" cm="1">
        <f t="array" ref="AO23">INDEX('IES Schedule Importer'!$A$4:$S$1048576,MATCH($AG7,'IES Schedule Importer'!$A$4:$A$1048576,0)+1+AO$5,8)/100</f>
        <v>0.9</v>
      </c>
      <c r="AP23" s="191" cm="1">
        <f t="array" ref="AP23">INDEX('IES Schedule Importer'!$A$4:$S$1048576,MATCH($AG7,'IES Schedule Importer'!$A$4:$A$1048576,0)+1+AP$5,8)/100</f>
        <v>0.9</v>
      </c>
      <c r="AQ23" s="191" cm="1">
        <f t="array" ref="AQ23">INDEX('IES Schedule Importer'!$A$4:$S$1048576,MATCH($AG7,'IES Schedule Importer'!$A$4:$A$1048576,0)+1+AQ$5,8)/100</f>
        <v>0.9</v>
      </c>
      <c r="AR23" s="191" cm="1">
        <f t="array" ref="AR23">INDEX('IES Schedule Importer'!$A$4:$S$1048576,MATCH($AG7,'IES Schedule Importer'!$A$4:$A$1048576,0)+1+AR$5,8)/100</f>
        <v>0.9</v>
      </c>
      <c r="AS23" s="191" cm="1">
        <f t="array" ref="AS23">INDEX('IES Schedule Importer'!$A$4:$S$1048576,MATCH($AG7,'IES Schedule Importer'!$A$4:$A$1048576,0)+1+AS$5,8)/100</f>
        <v>0.8</v>
      </c>
      <c r="AT23" s="191" cm="1">
        <f t="array" ref="AT23">INDEX('IES Schedule Importer'!$A$4:$S$1048576,MATCH($AG7,'IES Schedule Importer'!$A$4:$A$1048576,0)+1+AT$5,8)/100</f>
        <v>0.9</v>
      </c>
      <c r="AU23" s="191" cm="1">
        <f t="array" ref="AU23">INDEX('IES Schedule Importer'!$A$4:$S$1048576,MATCH($AG7,'IES Schedule Importer'!$A$4:$A$1048576,0)+1+AU$5,8)/100</f>
        <v>0.9</v>
      </c>
      <c r="AV23" s="191" cm="1">
        <f t="array" ref="AV23">INDEX('IES Schedule Importer'!$A$4:$S$1048576,MATCH($AG7,'IES Schedule Importer'!$A$4:$A$1048576,0)+1+AV$5,8)/100</f>
        <v>0.9</v>
      </c>
      <c r="AW23" s="191" cm="1">
        <f t="array" ref="AW23">INDEX('IES Schedule Importer'!$A$4:$S$1048576,MATCH($AG7,'IES Schedule Importer'!$A$4:$A$1048576,0)+1+AW$5,8)/100</f>
        <v>0.9</v>
      </c>
      <c r="AX23" s="191" cm="1">
        <f t="array" ref="AX23">INDEX('IES Schedule Importer'!$A$4:$S$1048576,MATCH($AG7,'IES Schedule Importer'!$A$4:$A$1048576,0)+1+AX$5,8)/100</f>
        <v>0.5</v>
      </c>
      <c r="AY23" s="191" cm="1">
        <f t="array" ref="AY23">INDEX('IES Schedule Importer'!$A$4:$S$1048576,MATCH($AG7,'IES Schedule Importer'!$A$4:$A$1048576,0)+1+AY$5,8)/100</f>
        <v>0.3</v>
      </c>
      <c r="AZ23" s="191" cm="1">
        <f t="array" ref="AZ23">INDEX('IES Schedule Importer'!$A$4:$S$1048576,MATCH($AG7,'IES Schedule Importer'!$A$4:$A$1048576,0)+1+AZ$5,8)/100</f>
        <v>0.3</v>
      </c>
      <c r="BA23" s="191" cm="1">
        <f t="array" ref="BA23">INDEX('IES Schedule Importer'!$A$4:$S$1048576,MATCH($AG7,'IES Schedule Importer'!$A$4:$A$1048576,0)+1+BA$5,8)/100</f>
        <v>0.2</v>
      </c>
      <c r="BB23" s="191" cm="1">
        <f t="array" ref="BB23">INDEX('IES Schedule Importer'!$A$4:$S$1048576,MATCH($AG7,'IES Schedule Importer'!$A$4:$A$1048576,0)+1+BB$5,8)/100</f>
        <v>0.2</v>
      </c>
      <c r="BC23" s="191" cm="1">
        <f t="array" ref="BC23">INDEX('IES Schedule Importer'!$A$4:$S$1048576,MATCH($AG7,'IES Schedule Importer'!$A$4:$A$1048576,0)+1+BC$5,8)/100</f>
        <v>0.1</v>
      </c>
      <c r="BD23" s="191" cm="1">
        <f t="array" ref="BD23">INDEX('IES Schedule Importer'!$A$4:$S$1048576,MATCH($AG7,'IES Schedule Importer'!$A$4:$A$1048576,0)+1+BD$5,8)/100</f>
        <v>0.05</v>
      </c>
    </row>
    <row r="24" spans="1:57" x14ac:dyDescent="0.25">
      <c r="C24" t="s">
        <v>1026</v>
      </c>
      <c r="D24" s="191" cm="1">
        <f t="array" ref="D24">INDEX('IES Schedule Importer'!$A$4:$S$1048576,MATCH($D7,'IES Schedule Importer'!$A$4:$A$1048576,0)+1+D$5,6)/100</f>
        <v>0</v>
      </c>
      <c r="E24" s="191" cm="1">
        <f t="array" ref="E24">INDEX('IES Schedule Importer'!$A$4:$S$1048576,MATCH($D7,'IES Schedule Importer'!$A$4:$A$1048576,0)+1+E$5,6)/100</f>
        <v>0</v>
      </c>
      <c r="F24" s="191" cm="1">
        <f t="array" ref="F24">INDEX('IES Schedule Importer'!$A$4:$S$1048576,MATCH($D7,'IES Schedule Importer'!$A$4:$A$1048576,0)+1+F$5,6)/100</f>
        <v>0</v>
      </c>
      <c r="G24" s="191" cm="1">
        <f t="array" ref="G24">INDEX('IES Schedule Importer'!$A$4:$S$1048576,MATCH($D7,'IES Schedule Importer'!$A$4:$A$1048576,0)+1+G$5,6)/100</f>
        <v>0</v>
      </c>
      <c r="H24" s="191" cm="1">
        <f t="array" ref="H24">INDEX('IES Schedule Importer'!$A$4:$S$1048576,MATCH($D7,'IES Schedule Importer'!$A$4:$A$1048576,0)+1+H$5,6)/100</f>
        <v>0</v>
      </c>
      <c r="I24" s="191" cm="1">
        <f t="array" ref="I24">INDEX('IES Schedule Importer'!$A$4:$S$1048576,MATCH($D7,'IES Schedule Importer'!$A$4:$A$1048576,0)+1+I$5,6)/100</f>
        <v>0</v>
      </c>
      <c r="J24" s="191" cm="1">
        <f t="array" ref="J24">INDEX('IES Schedule Importer'!$A$4:$S$1048576,MATCH($D7,'IES Schedule Importer'!$A$4:$A$1048576,0)+1+J$5,6)/100</f>
        <v>0.1</v>
      </c>
      <c r="K24" s="191" cm="1">
        <f t="array" ref="K24">INDEX('IES Schedule Importer'!$A$4:$S$1048576,MATCH($D7,'IES Schedule Importer'!$A$4:$A$1048576,0)+1+K$5,6)/100</f>
        <v>0.1</v>
      </c>
      <c r="L24" s="191" cm="1">
        <f t="array" ref="L24">INDEX('IES Schedule Importer'!$A$4:$S$1048576,MATCH($D7,'IES Schedule Importer'!$A$4:$A$1048576,0)+1+L$5,6)/100</f>
        <v>0.3</v>
      </c>
      <c r="M24" s="191" cm="1">
        <f t="array" ref="M24">INDEX('IES Schedule Importer'!$A$4:$S$1048576,MATCH($D7,'IES Schedule Importer'!$A$4:$A$1048576,0)+1+M$5,6)/100</f>
        <v>0.3</v>
      </c>
      <c r="N24" s="191" cm="1">
        <f t="array" ref="N24">INDEX('IES Schedule Importer'!$A$4:$S$1048576,MATCH($D7,'IES Schedule Importer'!$A$4:$A$1048576,0)+1+N$5,6)/100</f>
        <v>0.3</v>
      </c>
      <c r="O24" s="191" cm="1">
        <f t="array" ref="O24">INDEX('IES Schedule Importer'!$A$4:$S$1048576,MATCH($D7,'IES Schedule Importer'!$A$4:$A$1048576,0)+1+O$5,6)/100</f>
        <v>0.3</v>
      </c>
      <c r="P24" s="191" cm="1">
        <f t="array" ref="P24">INDEX('IES Schedule Importer'!$A$4:$S$1048576,MATCH($D7,'IES Schedule Importer'!$A$4:$A$1048576,0)+1+P$5,6)/100</f>
        <v>0.3</v>
      </c>
      <c r="Q24" s="191" cm="1">
        <f t="array" ref="Q24">INDEX('IES Schedule Importer'!$A$4:$S$1048576,MATCH($D7,'IES Schedule Importer'!$A$4:$A$1048576,0)+1+Q$5,6)/100</f>
        <v>0.1</v>
      </c>
      <c r="R24" s="191" cm="1">
        <f t="array" ref="R24">INDEX('IES Schedule Importer'!$A$4:$S$1048576,MATCH($D7,'IES Schedule Importer'!$A$4:$A$1048576,0)+1+R$5,6)/100</f>
        <v>0.1</v>
      </c>
      <c r="S24" s="191" cm="1">
        <f t="array" ref="S24">INDEX('IES Schedule Importer'!$A$4:$S$1048576,MATCH($D7,'IES Schedule Importer'!$A$4:$A$1048576,0)+1+S$5,6)/100</f>
        <v>0.1</v>
      </c>
      <c r="T24" s="191" cm="1">
        <f t="array" ref="T24">INDEX('IES Schedule Importer'!$A$4:$S$1048576,MATCH($D7,'IES Schedule Importer'!$A$4:$A$1048576,0)+1+T$5,6)/100</f>
        <v>0.1</v>
      </c>
      <c r="U24" s="191" cm="1">
        <f t="array" ref="U24">INDEX('IES Schedule Importer'!$A$4:$S$1048576,MATCH($D7,'IES Schedule Importer'!$A$4:$A$1048576,0)+1+U$5,6)/100</f>
        <v>0.05</v>
      </c>
      <c r="V24" s="191" cm="1">
        <f t="array" ref="V24">INDEX('IES Schedule Importer'!$A$4:$S$1048576,MATCH($D7,'IES Schedule Importer'!$A$4:$A$1048576,0)+1+V$5,6)/100</f>
        <v>0.05</v>
      </c>
      <c r="W24" s="191" cm="1">
        <f t="array" ref="W24">INDEX('IES Schedule Importer'!$A$4:$S$1048576,MATCH($D7,'IES Schedule Importer'!$A$4:$A$1048576,0)+1+W$5,6)/100</f>
        <v>0</v>
      </c>
      <c r="X24" s="191" cm="1">
        <f t="array" ref="X24">INDEX('IES Schedule Importer'!$A$4:$S$1048576,MATCH($D7,'IES Schedule Importer'!$A$4:$A$1048576,0)+1+X$5,6)/100</f>
        <v>0</v>
      </c>
      <c r="Y24" s="191" cm="1">
        <f t="array" ref="Y24">INDEX('IES Schedule Importer'!$A$4:$S$1048576,MATCH($D7,'IES Schedule Importer'!$A$4:$A$1048576,0)+1+Y$5,6)/100</f>
        <v>0</v>
      </c>
      <c r="Z24" s="191" cm="1">
        <f t="array" ref="Z24">INDEX('IES Schedule Importer'!$A$4:$S$1048576,MATCH($D7,'IES Schedule Importer'!$A$4:$A$1048576,0)+1+Z$5,6)/100</f>
        <v>0</v>
      </c>
      <c r="AA24" s="191" cm="1">
        <f t="array" ref="AA24">INDEX('IES Schedule Importer'!$A$4:$S$1048576,MATCH($D7,'IES Schedule Importer'!$A$4:$A$1048576,0)+1+AA$5,6)/100</f>
        <v>0</v>
      </c>
      <c r="AF24" t="s">
        <v>1026</v>
      </c>
      <c r="AG24" s="191" cm="1">
        <f t="array" ref="AG24">INDEX('IES Schedule Importer'!$A$4:$S$1048576,MATCH($AG7,'IES Schedule Importer'!$A$4:$A$1048576,0)+1+AG$5,9)/100</f>
        <v>0.05</v>
      </c>
      <c r="AH24" s="191" cm="1">
        <f t="array" ref="AH24">INDEX('IES Schedule Importer'!$A$4:$S$1048576,MATCH($AG7,'IES Schedule Importer'!$A$4:$A$1048576,0)+1+AH$5,9)/100</f>
        <v>0.05</v>
      </c>
      <c r="AI24" s="191" cm="1">
        <f t="array" ref="AI24">INDEX('IES Schedule Importer'!$A$4:$S$1048576,MATCH($AG7,'IES Schedule Importer'!$A$4:$A$1048576,0)+1+AI$5,9)/100</f>
        <v>0.05</v>
      </c>
      <c r="AJ24" s="191" cm="1">
        <f t="array" ref="AJ24">INDEX('IES Schedule Importer'!$A$4:$S$1048576,MATCH($AG7,'IES Schedule Importer'!$A$4:$A$1048576,0)+1+AJ$5,9)/100</f>
        <v>0.05</v>
      </c>
      <c r="AK24" s="191" cm="1">
        <f t="array" ref="AK24">INDEX('IES Schedule Importer'!$A$4:$S$1048576,MATCH($AG7,'IES Schedule Importer'!$A$4:$A$1048576,0)+1+AK$5,9)/100</f>
        <v>0.05</v>
      </c>
      <c r="AL24" s="191" cm="1">
        <f t="array" ref="AL24">INDEX('IES Schedule Importer'!$A$4:$S$1048576,MATCH($AG7,'IES Schedule Importer'!$A$4:$A$1048576,0)+1+AL$5,9)/100</f>
        <v>0.05</v>
      </c>
      <c r="AM24" s="191" cm="1">
        <f t="array" ref="AM24">INDEX('IES Schedule Importer'!$A$4:$S$1048576,MATCH($AG7,'IES Schedule Importer'!$A$4:$A$1048576,0)+1+AM$5,9)/100</f>
        <v>0.1</v>
      </c>
      <c r="AN24" s="191" cm="1">
        <f t="array" ref="AN24">INDEX('IES Schedule Importer'!$A$4:$S$1048576,MATCH($AG7,'IES Schedule Importer'!$A$4:$A$1048576,0)+1+AN$5,9)/100</f>
        <v>0.1</v>
      </c>
      <c r="AO24" s="191" cm="1">
        <f t="array" ref="AO24">INDEX('IES Schedule Importer'!$A$4:$S$1048576,MATCH($AG7,'IES Schedule Importer'!$A$4:$A$1048576,0)+1+AO$5,9)/100</f>
        <v>0.3</v>
      </c>
      <c r="AP24" s="191" cm="1">
        <f t="array" ref="AP24">INDEX('IES Schedule Importer'!$A$4:$S$1048576,MATCH($AG7,'IES Schedule Importer'!$A$4:$A$1048576,0)+1+AP$5,9)/100</f>
        <v>0.3</v>
      </c>
      <c r="AQ24" s="191" cm="1">
        <f t="array" ref="AQ24">INDEX('IES Schedule Importer'!$A$4:$S$1048576,MATCH($AG7,'IES Schedule Importer'!$A$4:$A$1048576,0)+1+AQ$5,9)/100</f>
        <v>0.3</v>
      </c>
      <c r="AR24" s="191" cm="1">
        <f t="array" ref="AR24">INDEX('IES Schedule Importer'!$A$4:$S$1048576,MATCH($AG7,'IES Schedule Importer'!$A$4:$A$1048576,0)+1+AR$5,9)/100</f>
        <v>0.3</v>
      </c>
      <c r="AS24" s="191" cm="1">
        <f t="array" ref="AS24">INDEX('IES Schedule Importer'!$A$4:$S$1048576,MATCH($AG7,'IES Schedule Importer'!$A$4:$A$1048576,0)+1+AS$5,9)/100</f>
        <v>0.15</v>
      </c>
      <c r="AT24" s="191" cm="1">
        <f t="array" ref="AT24">INDEX('IES Schedule Importer'!$A$4:$S$1048576,MATCH($AG7,'IES Schedule Importer'!$A$4:$A$1048576,0)+1+AT$5,9)/100</f>
        <v>0.15</v>
      </c>
      <c r="AU24" s="191" cm="1">
        <f t="array" ref="AU24">INDEX('IES Schedule Importer'!$A$4:$S$1048576,MATCH($AG7,'IES Schedule Importer'!$A$4:$A$1048576,0)+1+AU$5,9)/100</f>
        <v>0.15</v>
      </c>
      <c r="AV24" s="191" cm="1">
        <f t="array" ref="AV24">INDEX('IES Schedule Importer'!$A$4:$S$1048576,MATCH($AG7,'IES Schedule Importer'!$A$4:$A$1048576,0)+1+AV$5,9)/100</f>
        <v>0.15</v>
      </c>
      <c r="AW24" s="191" cm="1">
        <f t="array" ref="AW24">INDEX('IES Schedule Importer'!$A$4:$S$1048576,MATCH($AG7,'IES Schedule Importer'!$A$4:$A$1048576,0)+1+AW$5,9)/100</f>
        <v>0.15</v>
      </c>
      <c r="AX24" s="191" cm="1">
        <f t="array" ref="AX24">INDEX('IES Schedule Importer'!$A$4:$S$1048576,MATCH($AG7,'IES Schedule Importer'!$A$4:$A$1048576,0)+1+AX$5,9)/100</f>
        <v>0.05</v>
      </c>
      <c r="AY24" s="191" cm="1">
        <f t="array" ref="AY24">INDEX('IES Schedule Importer'!$A$4:$S$1048576,MATCH($AG7,'IES Schedule Importer'!$A$4:$A$1048576,0)+1+AY$5,9)/100</f>
        <v>0.05</v>
      </c>
      <c r="AZ24" s="191" cm="1">
        <f t="array" ref="AZ24">INDEX('IES Schedule Importer'!$A$4:$S$1048576,MATCH($AG7,'IES Schedule Importer'!$A$4:$A$1048576,0)+1+AZ$5,9)/100</f>
        <v>0.05</v>
      </c>
      <c r="BA24" s="191" cm="1">
        <f t="array" ref="BA24">INDEX('IES Schedule Importer'!$A$4:$S$1048576,MATCH($AG7,'IES Schedule Importer'!$A$4:$A$1048576,0)+1+BA$5,9)/100</f>
        <v>0.05</v>
      </c>
      <c r="BB24" s="191" cm="1">
        <f t="array" ref="BB24">INDEX('IES Schedule Importer'!$A$4:$S$1048576,MATCH($AG7,'IES Schedule Importer'!$A$4:$A$1048576,0)+1+BB$5,9)/100</f>
        <v>0.05</v>
      </c>
      <c r="BC24" s="191" cm="1">
        <f t="array" ref="BC24">INDEX('IES Schedule Importer'!$A$4:$S$1048576,MATCH($AG7,'IES Schedule Importer'!$A$4:$A$1048576,0)+1+BC$5,9)/100</f>
        <v>0.05</v>
      </c>
      <c r="BD24" s="191" cm="1">
        <f t="array" ref="BD24">INDEX('IES Schedule Importer'!$A$4:$S$1048576,MATCH($AG7,'IES Schedule Importer'!$A$4:$A$1048576,0)+1+BD$5,9)/100</f>
        <v>0.05</v>
      </c>
    </row>
    <row r="25" spans="1:57" x14ac:dyDescent="0.25">
      <c r="C25" t="s">
        <v>1027</v>
      </c>
      <c r="D25" s="191" cm="1">
        <f t="array" ref="D25">INDEX('IES Schedule Importer'!$A$4:$S$1048576,MATCH($D7,'IES Schedule Importer'!$A$4:$A$1048576,0)+1+D$5,7)/100</f>
        <v>0</v>
      </c>
      <c r="E25" s="191" cm="1">
        <f t="array" ref="E25">INDEX('IES Schedule Importer'!$A$4:$S$1048576,MATCH($D7,'IES Schedule Importer'!$A$4:$A$1048576,0)+1+E$5,7)/100</f>
        <v>0</v>
      </c>
      <c r="F25" s="191" cm="1">
        <f t="array" ref="F25">INDEX('IES Schedule Importer'!$A$4:$S$1048576,MATCH($D7,'IES Schedule Importer'!$A$4:$A$1048576,0)+1+F$5,7)/100</f>
        <v>0</v>
      </c>
      <c r="G25" s="191" cm="1">
        <f t="array" ref="G25">INDEX('IES Schedule Importer'!$A$4:$S$1048576,MATCH($D7,'IES Schedule Importer'!$A$4:$A$1048576,0)+1+G$5,7)/100</f>
        <v>0</v>
      </c>
      <c r="H25" s="191" cm="1">
        <f t="array" ref="H25">INDEX('IES Schedule Importer'!$A$4:$S$1048576,MATCH($D7,'IES Schedule Importer'!$A$4:$A$1048576,0)+1+H$5,7)/100</f>
        <v>0</v>
      </c>
      <c r="I25" s="191" cm="1">
        <f t="array" ref="I25">INDEX('IES Schedule Importer'!$A$4:$S$1048576,MATCH($D7,'IES Schedule Importer'!$A$4:$A$1048576,0)+1+I$5,7)/100</f>
        <v>0</v>
      </c>
      <c r="J25" s="191" cm="1">
        <f t="array" ref="J25">INDEX('IES Schedule Importer'!$A$4:$S$1048576,MATCH($D7,'IES Schedule Importer'!$A$4:$A$1048576,0)+1+J$5,7)/100</f>
        <v>0.05</v>
      </c>
      <c r="K25" s="191" cm="1">
        <f t="array" ref="K25">INDEX('IES Schedule Importer'!$A$4:$S$1048576,MATCH($D7,'IES Schedule Importer'!$A$4:$A$1048576,0)+1+K$5,7)/100</f>
        <v>0.05</v>
      </c>
      <c r="L25" s="191" cm="1">
        <f t="array" ref="L25">INDEX('IES Schedule Importer'!$A$4:$S$1048576,MATCH($D7,'IES Schedule Importer'!$A$4:$A$1048576,0)+1+L$5,7)/100</f>
        <v>0.05</v>
      </c>
      <c r="M25" s="191" cm="1">
        <f t="array" ref="M25">INDEX('IES Schedule Importer'!$A$4:$S$1048576,MATCH($D7,'IES Schedule Importer'!$A$4:$A$1048576,0)+1+M$5,7)/100</f>
        <v>0.05</v>
      </c>
      <c r="N25" s="191" cm="1">
        <f t="array" ref="N25">INDEX('IES Schedule Importer'!$A$4:$S$1048576,MATCH($D7,'IES Schedule Importer'!$A$4:$A$1048576,0)+1+N$5,7)/100</f>
        <v>0.05</v>
      </c>
      <c r="O25" s="191" cm="1">
        <f t="array" ref="O25">INDEX('IES Schedule Importer'!$A$4:$S$1048576,MATCH($D7,'IES Schedule Importer'!$A$4:$A$1048576,0)+1+O$5,7)/100</f>
        <v>0.05</v>
      </c>
      <c r="P25" s="191" cm="1">
        <f t="array" ref="P25">INDEX('IES Schedule Importer'!$A$4:$S$1048576,MATCH($D7,'IES Schedule Importer'!$A$4:$A$1048576,0)+1+P$5,7)/100</f>
        <v>0.05</v>
      </c>
      <c r="Q25" s="191" cm="1">
        <f t="array" ref="Q25">INDEX('IES Schedule Importer'!$A$4:$S$1048576,MATCH($D7,'IES Schedule Importer'!$A$4:$A$1048576,0)+1+Q$5,7)/100</f>
        <v>0.05</v>
      </c>
      <c r="R25" s="191" cm="1">
        <f t="array" ref="R25">INDEX('IES Schedule Importer'!$A$4:$S$1048576,MATCH($D7,'IES Schedule Importer'!$A$4:$A$1048576,0)+1+R$5,7)/100</f>
        <v>0.05</v>
      </c>
      <c r="S25" s="191" cm="1">
        <f t="array" ref="S25">INDEX('IES Schedule Importer'!$A$4:$S$1048576,MATCH($D7,'IES Schedule Importer'!$A$4:$A$1048576,0)+1+S$5,7)/100</f>
        <v>0.05</v>
      </c>
      <c r="T25" s="191" cm="1">
        <f t="array" ref="T25">INDEX('IES Schedule Importer'!$A$4:$S$1048576,MATCH($D7,'IES Schedule Importer'!$A$4:$A$1048576,0)+1+T$5,7)/100</f>
        <v>0.05</v>
      </c>
      <c r="U25" s="191" cm="1">
        <f t="array" ref="U25">INDEX('IES Schedule Importer'!$A$4:$S$1048576,MATCH($D7,'IES Schedule Importer'!$A$4:$A$1048576,0)+1+U$5,7)/100</f>
        <v>0.05</v>
      </c>
      <c r="V25" s="191" cm="1">
        <f t="array" ref="V25">INDEX('IES Schedule Importer'!$A$4:$S$1048576,MATCH($D7,'IES Schedule Importer'!$A$4:$A$1048576,0)+1+V$5,7)/100</f>
        <v>0</v>
      </c>
      <c r="W25" s="191" cm="1">
        <f t="array" ref="W25">INDEX('IES Schedule Importer'!$A$4:$S$1048576,MATCH($D7,'IES Schedule Importer'!$A$4:$A$1048576,0)+1+W$5,7)/100</f>
        <v>0</v>
      </c>
      <c r="X25" s="191" cm="1">
        <f t="array" ref="X25">INDEX('IES Schedule Importer'!$A$4:$S$1048576,MATCH($D7,'IES Schedule Importer'!$A$4:$A$1048576,0)+1+X$5,7)/100</f>
        <v>0</v>
      </c>
      <c r="Y25" s="191" cm="1">
        <f t="array" ref="Y25">INDEX('IES Schedule Importer'!$A$4:$S$1048576,MATCH($D7,'IES Schedule Importer'!$A$4:$A$1048576,0)+1+Y$5,7)/100</f>
        <v>0</v>
      </c>
      <c r="Z25" s="191" cm="1">
        <f t="array" ref="Z25">INDEX('IES Schedule Importer'!$A$4:$S$1048576,MATCH($D7,'IES Schedule Importer'!$A$4:$A$1048576,0)+1+Z$5,7)/100</f>
        <v>0</v>
      </c>
      <c r="AA25" s="191" cm="1">
        <f t="array" ref="AA25">INDEX('IES Schedule Importer'!$A$4:$S$1048576,MATCH($D7,'IES Schedule Importer'!$A$4:$A$1048576,0)+1+AA$5,7)/100</f>
        <v>0</v>
      </c>
      <c r="AF25" t="s">
        <v>1027</v>
      </c>
      <c r="AG25" s="191" cm="1">
        <f t="array" ref="AG25">INDEX('IES Schedule Importer'!$A$4:$S$1048576,MATCH($AG7,'IES Schedule Importer'!$A$4:$A$1048576,0)+1+AG$5,10)/100</f>
        <v>0.05</v>
      </c>
      <c r="AH25" s="191" cm="1">
        <f t="array" ref="AH25">INDEX('IES Schedule Importer'!$A$4:$S$1048576,MATCH($AG7,'IES Schedule Importer'!$A$4:$A$1048576,0)+1+AH$5,10)/100</f>
        <v>0.05</v>
      </c>
      <c r="AI25" s="191" cm="1">
        <f t="array" ref="AI25">INDEX('IES Schedule Importer'!$A$4:$S$1048576,MATCH($AG7,'IES Schedule Importer'!$A$4:$A$1048576,0)+1+AI$5,10)/100</f>
        <v>0.05</v>
      </c>
      <c r="AJ25" s="191" cm="1">
        <f t="array" ref="AJ25">INDEX('IES Schedule Importer'!$A$4:$S$1048576,MATCH($AG7,'IES Schedule Importer'!$A$4:$A$1048576,0)+1+AJ$5,10)/100</f>
        <v>0.05</v>
      </c>
      <c r="AK25" s="191" cm="1">
        <f t="array" ref="AK25">INDEX('IES Schedule Importer'!$A$4:$S$1048576,MATCH($AG7,'IES Schedule Importer'!$A$4:$A$1048576,0)+1+AK$5,10)/100</f>
        <v>0.05</v>
      </c>
      <c r="AL25" s="191" cm="1">
        <f t="array" ref="AL25">INDEX('IES Schedule Importer'!$A$4:$S$1048576,MATCH($AG7,'IES Schedule Importer'!$A$4:$A$1048576,0)+1+AL$5,10)/100</f>
        <v>0.05</v>
      </c>
      <c r="AM25" s="191" cm="1">
        <f t="array" ref="AM25">INDEX('IES Schedule Importer'!$A$4:$S$1048576,MATCH($AG7,'IES Schedule Importer'!$A$4:$A$1048576,0)+1+AM$5,10)/100</f>
        <v>0.05</v>
      </c>
      <c r="AN25" s="191" cm="1">
        <f t="array" ref="AN25">INDEX('IES Schedule Importer'!$A$4:$S$1048576,MATCH($AG7,'IES Schedule Importer'!$A$4:$A$1048576,0)+1+AN$5,10)/100</f>
        <v>0.05</v>
      </c>
      <c r="AO25" s="191" cm="1">
        <f t="array" ref="AO25">INDEX('IES Schedule Importer'!$A$4:$S$1048576,MATCH($AG7,'IES Schedule Importer'!$A$4:$A$1048576,0)+1+AO$5,10)/100</f>
        <v>0.05</v>
      </c>
      <c r="AP25" s="191" cm="1">
        <f t="array" ref="AP25">INDEX('IES Schedule Importer'!$A$4:$S$1048576,MATCH($AG7,'IES Schedule Importer'!$A$4:$A$1048576,0)+1+AP$5,10)/100</f>
        <v>0.05</v>
      </c>
      <c r="AQ25" s="191" cm="1">
        <f t="array" ref="AQ25">INDEX('IES Schedule Importer'!$A$4:$S$1048576,MATCH($AG7,'IES Schedule Importer'!$A$4:$A$1048576,0)+1+AQ$5,10)/100</f>
        <v>0.05</v>
      </c>
      <c r="AR25" s="191" cm="1">
        <f t="array" ref="AR25">INDEX('IES Schedule Importer'!$A$4:$S$1048576,MATCH($AG7,'IES Schedule Importer'!$A$4:$A$1048576,0)+1+AR$5,10)/100</f>
        <v>0.05</v>
      </c>
      <c r="AS25" s="191" cm="1">
        <f t="array" ref="AS25">INDEX('IES Schedule Importer'!$A$4:$S$1048576,MATCH($AG7,'IES Schedule Importer'!$A$4:$A$1048576,0)+1+AS$5,10)/100</f>
        <v>0.05</v>
      </c>
      <c r="AT25" s="191" cm="1">
        <f t="array" ref="AT25">INDEX('IES Schedule Importer'!$A$4:$S$1048576,MATCH($AG7,'IES Schedule Importer'!$A$4:$A$1048576,0)+1+AT$5,10)/100</f>
        <v>0.05</v>
      </c>
      <c r="AU25" s="191" cm="1">
        <f t="array" ref="AU25">INDEX('IES Schedule Importer'!$A$4:$S$1048576,MATCH($AG7,'IES Schedule Importer'!$A$4:$A$1048576,0)+1+AU$5,10)/100</f>
        <v>0.05</v>
      </c>
      <c r="AV25" s="191" cm="1">
        <f t="array" ref="AV25">INDEX('IES Schedule Importer'!$A$4:$S$1048576,MATCH($AG7,'IES Schedule Importer'!$A$4:$A$1048576,0)+1+AV$5,10)/100</f>
        <v>0.05</v>
      </c>
      <c r="AW25" s="191" cm="1">
        <f t="array" ref="AW25">INDEX('IES Schedule Importer'!$A$4:$S$1048576,MATCH($AG7,'IES Schedule Importer'!$A$4:$A$1048576,0)+1+AW$5,10)/100</f>
        <v>0.05</v>
      </c>
      <c r="AX25" s="191" cm="1">
        <f t="array" ref="AX25">INDEX('IES Schedule Importer'!$A$4:$S$1048576,MATCH($AG7,'IES Schedule Importer'!$A$4:$A$1048576,0)+1+AX$5,10)/100</f>
        <v>0.05</v>
      </c>
      <c r="AY25" s="191" cm="1">
        <f t="array" ref="AY25">INDEX('IES Schedule Importer'!$A$4:$S$1048576,MATCH($AG7,'IES Schedule Importer'!$A$4:$A$1048576,0)+1+AY$5,10)/100</f>
        <v>0.05</v>
      </c>
      <c r="AZ25" s="191" cm="1">
        <f t="array" ref="AZ25">INDEX('IES Schedule Importer'!$A$4:$S$1048576,MATCH($AG7,'IES Schedule Importer'!$A$4:$A$1048576,0)+1+AZ$5,10)/100</f>
        <v>0.05</v>
      </c>
      <c r="BA25" s="191" cm="1">
        <f t="array" ref="BA25">INDEX('IES Schedule Importer'!$A$4:$S$1048576,MATCH($AG7,'IES Schedule Importer'!$A$4:$A$1048576,0)+1+BA$5,10)/100</f>
        <v>0.05</v>
      </c>
      <c r="BB25" s="191" cm="1">
        <f t="array" ref="BB25">INDEX('IES Schedule Importer'!$A$4:$S$1048576,MATCH($AG7,'IES Schedule Importer'!$A$4:$A$1048576,0)+1+BB$5,10)/100</f>
        <v>0.05</v>
      </c>
      <c r="BC25" s="191" cm="1">
        <f t="array" ref="BC25">INDEX('IES Schedule Importer'!$A$4:$S$1048576,MATCH($AG7,'IES Schedule Importer'!$A$4:$A$1048576,0)+1+BC$5,10)/100</f>
        <v>0.05</v>
      </c>
      <c r="BD25" s="191" cm="1">
        <f t="array" ref="BD25">INDEX('IES Schedule Importer'!$A$4:$S$1048576,MATCH($AG7,'IES Schedule Importer'!$A$4:$A$1048576,0)+1+BD$5,10)/100</f>
        <v>0.05</v>
      </c>
    </row>
    <row r="27" spans="1:57" x14ac:dyDescent="0.25">
      <c r="A27" s="192"/>
      <c r="B27" s="192"/>
      <c r="C27" s="192"/>
      <c r="D27" s="192"/>
      <c r="E27" s="192"/>
      <c r="F27" s="192"/>
      <c r="G27" s="192"/>
      <c r="H27" s="192"/>
      <c r="I27" s="192"/>
      <c r="J27" s="192"/>
      <c r="K27" s="192"/>
      <c r="L27" s="192"/>
      <c r="M27" s="192"/>
      <c r="N27" s="192"/>
      <c r="O27" s="192"/>
      <c r="P27" s="192"/>
      <c r="Q27" s="192"/>
      <c r="R27" s="192"/>
      <c r="S27" s="192"/>
      <c r="T27" s="192"/>
      <c r="U27" s="192"/>
      <c r="V27" s="192"/>
      <c r="W27" s="192"/>
      <c r="X27" s="192"/>
      <c r="Y27" s="192"/>
      <c r="Z27" s="192"/>
      <c r="AA27" s="192"/>
      <c r="AB27" s="192"/>
      <c r="AC27" s="192"/>
      <c r="AD27" s="192"/>
      <c r="AE27" s="192"/>
      <c r="AF27" s="192"/>
      <c r="AG27" s="192"/>
      <c r="AH27" s="192"/>
      <c r="AI27" s="192"/>
      <c r="AJ27" s="192"/>
      <c r="AK27" s="192"/>
      <c r="AL27" s="192"/>
      <c r="AM27" s="192"/>
      <c r="AN27" s="192"/>
      <c r="AO27" s="192"/>
      <c r="AP27" s="192"/>
      <c r="AQ27" s="192"/>
      <c r="AR27" s="192"/>
      <c r="AS27" s="192"/>
      <c r="AT27" s="192"/>
      <c r="AU27" s="192"/>
      <c r="AV27" s="192"/>
      <c r="AW27" s="192"/>
      <c r="AX27" s="192"/>
      <c r="AY27" s="192"/>
      <c r="AZ27" s="192"/>
      <c r="BA27" s="192"/>
      <c r="BB27" s="192"/>
      <c r="BC27" s="192"/>
      <c r="BD27" s="192"/>
      <c r="BE27" s="192"/>
    </row>
    <row r="28" spans="1:57" ht="15.75" x14ac:dyDescent="0.25">
      <c r="D28" s="764" t="s">
        <v>1028</v>
      </c>
      <c r="E28" s="764"/>
      <c r="F28" s="764"/>
      <c r="G28" s="764"/>
      <c r="H28" s="764"/>
      <c r="I28" s="764"/>
      <c r="J28" s="764"/>
      <c r="K28" s="764"/>
      <c r="L28" s="764"/>
      <c r="M28" s="764"/>
      <c r="AG28" s="767" t="str">
        <f>D28</f>
        <v>SFVA Office</v>
      </c>
      <c r="AH28" s="767"/>
      <c r="AI28" s="767"/>
      <c r="AJ28" s="767"/>
      <c r="AK28" s="767"/>
      <c r="AL28" s="767"/>
      <c r="AM28" s="767"/>
      <c r="AN28" s="767"/>
      <c r="AO28" s="767"/>
      <c r="AP28" s="767"/>
    </row>
    <row r="44" spans="1:57" x14ac:dyDescent="0.25">
      <c r="C44" t="s">
        <v>1025</v>
      </c>
      <c r="D44" s="191" cm="1">
        <f t="array" ref="D44">INDEX('IES Schedule Importer'!$A$4:$S$1048576,MATCH($D28,'IES Schedule Importer'!$A$4:$A$1048576,0)+1+D$5,5)/100</f>
        <v>0</v>
      </c>
      <c r="E44" s="191" cm="1">
        <f t="array" ref="E44">INDEX('IES Schedule Importer'!$A$4:$S$1048576,MATCH($D28,'IES Schedule Importer'!$A$4:$A$1048576,0)+1+E$5,5)/100</f>
        <v>0</v>
      </c>
      <c r="F44" s="191" cm="1">
        <f t="array" ref="F44">INDEX('IES Schedule Importer'!$A$4:$S$1048576,MATCH($D28,'IES Schedule Importer'!$A$4:$A$1048576,0)+1+F$5,5)/100</f>
        <v>0</v>
      </c>
      <c r="G44" s="191" cm="1">
        <f t="array" ref="G44">INDEX('IES Schedule Importer'!$A$4:$S$1048576,MATCH($D28,'IES Schedule Importer'!$A$4:$A$1048576,0)+1+G$5,5)/100</f>
        <v>0</v>
      </c>
      <c r="H44" s="191" cm="1">
        <f t="array" ref="H44">INDEX('IES Schedule Importer'!$A$4:$S$1048576,MATCH($D28,'IES Schedule Importer'!$A$4:$A$1048576,0)+1+H$5,5)/100</f>
        <v>0</v>
      </c>
      <c r="I44" s="191" cm="1">
        <f t="array" ref="I44">INDEX('IES Schedule Importer'!$A$4:$S$1048576,MATCH($D28,'IES Schedule Importer'!$A$4:$A$1048576,0)+1+I$5,5)/100</f>
        <v>0</v>
      </c>
      <c r="J44" s="191" cm="1">
        <f t="array" ref="J44">INDEX('IES Schedule Importer'!$A$4:$S$1048576,MATCH($D28,'IES Schedule Importer'!$A$4:$A$1048576,0)+1+J$5,5)/100</f>
        <v>0.1</v>
      </c>
      <c r="K44" s="191" cm="1">
        <f t="array" ref="K44">INDEX('IES Schedule Importer'!$A$4:$S$1048576,MATCH($D28,'IES Schedule Importer'!$A$4:$A$1048576,0)+1+K$5,5)/100</f>
        <v>0.2</v>
      </c>
      <c r="L44" s="191" cm="1">
        <f t="array" ref="L44">INDEX('IES Schedule Importer'!$A$4:$S$1048576,MATCH($D28,'IES Schedule Importer'!$A$4:$A$1048576,0)+1+L$5,5)/100</f>
        <v>0.95</v>
      </c>
      <c r="M44" s="191" cm="1">
        <f t="array" ref="M44">INDEX('IES Schedule Importer'!$A$4:$S$1048576,MATCH($D28,'IES Schedule Importer'!$A$4:$A$1048576,0)+1+M$5,5)/100</f>
        <v>0.95</v>
      </c>
      <c r="N44" s="191" cm="1">
        <f t="array" ref="N44">INDEX('IES Schedule Importer'!$A$4:$S$1048576,MATCH($D28,'IES Schedule Importer'!$A$4:$A$1048576,0)+1+N$5,5)/100</f>
        <v>0.95</v>
      </c>
      <c r="O44" s="191" cm="1">
        <f t="array" ref="O44">INDEX('IES Schedule Importer'!$A$4:$S$1048576,MATCH($D28,'IES Schedule Importer'!$A$4:$A$1048576,0)+1+O$5,5)/100</f>
        <v>0.95</v>
      </c>
      <c r="P44" s="191" cm="1">
        <f t="array" ref="P44">INDEX('IES Schedule Importer'!$A$4:$S$1048576,MATCH($D28,'IES Schedule Importer'!$A$4:$A$1048576,0)+1+P$5,5)/100</f>
        <v>0.5</v>
      </c>
      <c r="Q44" s="191" cm="1">
        <f t="array" ref="Q44">INDEX('IES Schedule Importer'!$A$4:$S$1048576,MATCH($D28,'IES Schedule Importer'!$A$4:$A$1048576,0)+1+Q$5,5)/100</f>
        <v>0.95</v>
      </c>
      <c r="R44" s="191" cm="1">
        <f t="array" ref="R44">INDEX('IES Schedule Importer'!$A$4:$S$1048576,MATCH($D28,'IES Schedule Importer'!$A$4:$A$1048576,0)+1+R$5,5)/100</f>
        <v>0.95</v>
      </c>
      <c r="S44" s="191" cm="1">
        <f t="array" ref="S44">INDEX('IES Schedule Importer'!$A$4:$S$1048576,MATCH($D28,'IES Schedule Importer'!$A$4:$A$1048576,0)+1+S$5,5)/100</f>
        <v>0.95</v>
      </c>
      <c r="T44" s="191" cm="1">
        <f t="array" ref="T44">INDEX('IES Schedule Importer'!$A$4:$S$1048576,MATCH($D28,'IES Schedule Importer'!$A$4:$A$1048576,0)+1+T$5,5)/100</f>
        <v>0.95</v>
      </c>
      <c r="U44" s="191" cm="1">
        <f t="array" ref="U44">INDEX('IES Schedule Importer'!$A$4:$S$1048576,MATCH($D28,'IES Schedule Importer'!$A$4:$A$1048576,0)+1+U$5,5)/100</f>
        <v>0.3</v>
      </c>
      <c r="V44" s="191" cm="1">
        <f t="array" ref="V44">INDEX('IES Schedule Importer'!$A$4:$S$1048576,MATCH($D28,'IES Schedule Importer'!$A$4:$A$1048576,0)+1+V$5,5)/100</f>
        <v>0.1</v>
      </c>
      <c r="W44" s="191" cm="1">
        <f t="array" ref="W44">INDEX('IES Schedule Importer'!$A$4:$S$1048576,MATCH($D28,'IES Schedule Importer'!$A$4:$A$1048576,0)+1+W$5,5)/100</f>
        <v>0.1</v>
      </c>
      <c r="X44" s="191" cm="1">
        <f t="array" ref="X44">INDEX('IES Schedule Importer'!$A$4:$S$1048576,MATCH($D28,'IES Schedule Importer'!$A$4:$A$1048576,0)+1+X$5,5)/100</f>
        <v>0.1</v>
      </c>
      <c r="Y44" s="191" cm="1">
        <f t="array" ref="Y44">INDEX('IES Schedule Importer'!$A$4:$S$1048576,MATCH($D28,'IES Schedule Importer'!$A$4:$A$1048576,0)+1+Y$5,5)/100</f>
        <v>0.1</v>
      </c>
      <c r="Z44" s="191" cm="1">
        <f t="array" ref="Z44">INDEX('IES Schedule Importer'!$A$4:$S$1048576,MATCH($D28,'IES Schedule Importer'!$A$4:$A$1048576,0)+1+Z$5,5)/100</f>
        <v>0.05</v>
      </c>
      <c r="AA44" s="191" cm="1">
        <f t="array" ref="AA44">INDEX('IES Schedule Importer'!$A$4:$S$1048576,MATCH($D28,'IES Schedule Importer'!$A$4:$A$1048576,0)+1+AA$5,5)/100</f>
        <v>0.05</v>
      </c>
      <c r="AF44" t="s">
        <v>1025</v>
      </c>
      <c r="AG44" s="191" cm="1">
        <f t="array" ref="AG44">INDEX('IES Schedule Importer'!$A$4:$S$1048576,MATCH($AG28,'IES Schedule Importer'!$A$4:$A$1048576,0)+1+AG$5,8)/100</f>
        <v>0.05</v>
      </c>
      <c r="AH44" s="191" cm="1">
        <f t="array" ref="AH44">INDEX('IES Schedule Importer'!$A$4:$S$1048576,MATCH($AG28,'IES Schedule Importer'!$A$4:$A$1048576,0)+1+AH$5,8)/100</f>
        <v>0.05</v>
      </c>
      <c r="AI44" s="191" cm="1">
        <f t="array" ref="AI44">INDEX('IES Schedule Importer'!$A$4:$S$1048576,MATCH($AG28,'IES Schedule Importer'!$A$4:$A$1048576,0)+1+AI$5,8)/100</f>
        <v>0.05</v>
      </c>
      <c r="AJ44" s="191" cm="1">
        <f t="array" ref="AJ44">INDEX('IES Schedule Importer'!$A$4:$S$1048576,MATCH($AG28,'IES Schedule Importer'!$A$4:$A$1048576,0)+1+AJ$5,8)/100</f>
        <v>0.05</v>
      </c>
      <c r="AK44" s="191" cm="1">
        <f t="array" ref="AK44">INDEX('IES Schedule Importer'!$A$4:$S$1048576,MATCH($AG28,'IES Schedule Importer'!$A$4:$A$1048576,0)+1+AK$5,8)/100</f>
        <v>0.05</v>
      </c>
      <c r="AL44" s="191" cm="1">
        <f t="array" ref="AL44">INDEX('IES Schedule Importer'!$A$4:$S$1048576,MATCH($AG28,'IES Schedule Importer'!$A$4:$A$1048576,0)+1+AL$5,8)/100</f>
        <v>0.1</v>
      </c>
      <c r="AM44" s="191" cm="1">
        <f t="array" ref="AM44">INDEX('IES Schedule Importer'!$A$4:$S$1048576,MATCH($AG28,'IES Schedule Importer'!$A$4:$A$1048576,0)+1+AM$5,8)/100</f>
        <v>0.1</v>
      </c>
      <c r="AN44" s="191" cm="1">
        <f t="array" ref="AN44">INDEX('IES Schedule Importer'!$A$4:$S$1048576,MATCH($AG28,'IES Schedule Importer'!$A$4:$A$1048576,0)+1+AN$5,8)/100</f>
        <v>0.3</v>
      </c>
      <c r="AO44" s="191" cm="1">
        <f t="array" ref="AO44">INDEX('IES Schedule Importer'!$A$4:$S$1048576,MATCH($AG28,'IES Schedule Importer'!$A$4:$A$1048576,0)+1+AO$5,8)/100</f>
        <v>0.9</v>
      </c>
      <c r="AP44" s="191" cm="1">
        <f t="array" ref="AP44">INDEX('IES Schedule Importer'!$A$4:$S$1048576,MATCH($AG28,'IES Schedule Importer'!$A$4:$A$1048576,0)+1+AP$5,8)/100</f>
        <v>0.9</v>
      </c>
      <c r="AQ44" s="191" cm="1">
        <f t="array" ref="AQ44">INDEX('IES Schedule Importer'!$A$4:$S$1048576,MATCH($AG28,'IES Schedule Importer'!$A$4:$A$1048576,0)+1+AQ$5,8)/100</f>
        <v>0.9</v>
      </c>
      <c r="AR44" s="191" cm="1">
        <f t="array" ref="AR44">INDEX('IES Schedule Importer'!$A$4:$S$1048576,MATCH($AG28,'IES Schedule Importer'!$A$4:$A$1048576,0)+1+AR$5,8)/100</f>
        <v>0.9</v>
      </c>
      <c r="AS44" s="191" cm="1">
        <f t="array" ref="AS44">INDEX('IES Schedule Importer'!$A$4:$S$1048576,MATCH($AG28,'IES Schedule Importer'!$A$4:$A$1048576,0)+1+AS$5,8)/100</f>
        <v>0.8</v>
      </c>
      <c r="AT44" s="191" cm="1">
        <f t="array" ref="AT44">INDEX('IES Schedule Importer'!$A$4:$S$1048576,MATCH($AG28,'IES Schedule Importer'!$A$4:$A$1048576,0)+1+AT$5,8)/100</f>
        <v>0.9</v>
      </c>
      <c r="AU44" s="191" cm="1">
        <f t="array" ref="AU44">INDEX('IES Schedule Importer'!$A$4:$S$1048576,MATCH($AG28,'IES Schedule Importer'!$A$4:$A$1048576,0)+1+AU$5,8)/100</f>
        <v>0.9</v>
      </c>
      <c r="AV44" s="191" cm="1">
        <f t="array" ref="AV44">INDEX('IES Schedule Importer'!$A$4:$S$1048576,MATCH($AG28,'IES Schedule Importer'!$A$4:$A$1048576,0)+1+AV$5,8)/100</f>
        <v>0.9</v>
      </c>
      <c r="AW44" s="191" cm="1">
        <f t="array" ref="AW44">INDEX('IES Schedule Importer'!$A$4:$S$1048576,MATCH($AG28,'IES Schedule Importer'!$A$4:$A$1048576,0)+1+AW$5,8)/100</f>
        <v>0.9</v>
      </c>
      <c r="AX44" s="191" cm="1">
        <f t="array" ref="AX44">INDEX('IES Schedule Importer'!$A$4:$S$1048576,MATCH($AG28,'IES Schedule Importer'!$A$4:$A$1048576,0)+1+AX$5,8)/100</f>
        <v>0.4</v>
      </c>
      <c r="AY44" s="191" cm="1">
        <f t="array" ref="AY44">INDEX('IES Schedule Importer'!$A$4:$S$1048576,MATCH($AG28,'IES Schedule Importer'!$A$4:$A$1048576,0)+1+AY$5,8)/100</f>
        <v>0.3</v>
      </c>
      <c r="AZ44" s="191" cm="1">
        <f t="array" ref="AZ44">INDEX('IES Schedule Importer'!$A$4:$S$1048576,MATCH($AG28,'IES Schedule Importer'!$A$4:$A$1048576,0)+1+AZ$5,8)/100</f>
        <v>0.3</v>
      </c>
      <c r="BA44" s="191" cm="1">
        <f t="array" ref="BA44">INDEX('IES Schedule Importer'!$A$4:$S$1048576,MATCH($AG28,'IES Schedule Importer'!$A$4:$A$1048576,0)+1+BA$5,8)/100</f>
        <v>0.2</v>
      </c>
      <c r="BB44" s="191" cm="1">
        <f t="array" ref="BB44">INDEX('IES Schedule Importer'!$A$4:$S$1048576,MATCH($AG28,'IES Schedule Importer'!$A$4:$A$1048576,0)+1+BB$5,8)/100</f>
        <v>0.2</v>
      </c>
      <c r="BC44" s="191" cm="1">
        <f t="array" ref="BC44">INDEX('IES Schedule Importer'!$A$4:$S$1048576,MATCH($AG28,'IES Schedule Importer'!$A$4:$A$1048576,0)+1+BC$5,8)/100</f>
        <v>0.1</v>
      </c>
      <c r="BD44" s="191" cm="1">
        <f t="array" ref="BD44">INDEX('IES Schedule Importer'!$A$4:$S$1048576,MATCH($AG28,'IES Schedule Importer'!$A$4:$A$1048576,0)+1+BD$5,8)/100</f>
        <v>0.05</v>
      </c>
    </row>
    <row r="45" spans="1:57" x14ac:dyDescent="0.25">
      <c r="C45" t="s">
        <v>1026</v>
      </c>
      <c r="D45" s="191" cm="1">
        <f t="array" ref="D45">INDEX('IES Schedule Importer'!$A$4:$S$1048576,MATCH($D28,'IES Schedule Importer'!$A$4:$A$1048576,0)+1+D$5,6)/100</f>
        <v>0</v>
      </c>
      <c r="E45" s="191" cm="1">
        <f t="array" ref="E45">INDEX('IES Schedule Importer'!$A$4:$S$1048576,MATCH($D28,'IES Schedule Importer'!$A$4:$A$1048576,0)+1+E$5,6)/100</f>
        <v>0</v>
      </c>
      <c r="F45" s="191" cm="1">
        <f t="array" ref="F45">INDEX('IES Schedule Importer'!$A$4:$S$1048576,MATCH($D28,'IES Schedule Importer'!$A$4:$A$1048576,0)+1+F$5,6)/100</f>
        <v>0</v>
      </c>
      <c r="G45" s="191" cm="1">
        <f t="array" ref="G45">INDEX('IES Schedule Importer'!$A$4:$S$1048576,MATCH($D28,'IES Schedule Importer'!$A$4:$A$1048576,0)+1+G$5,6)/100</f>
        <v>0</v>
      </c>
      <c r="H45" s="191" cm="1">
        <f t="array" ref="H45">INDEX('IES Schedule Importer'!$A$4:$S$1048576,MATCH($D28,'IES Schedule Importer'!$A$4:$A$1048576,0)+1+H$5,6)/100</f>
        <v>0</v>
      </c>
      <c r="I45" s="191" cm="1">
        <f t="array" ref="I45">INDEX('IES Schedule Importer'!$A$4:$S$1048576,MATCH($D28,'IES Schedule Importer'!$A$4:$A$1048576,0)+1+I$5,6)/100</f>
        <v>0</v>
      </c>
      <c r="J45" s="191" cm="1">
        <f t="array" ref="J45">INDEX('IES Schedule Importer'!$A$4:$S$1048576,MATCH($D28,'IES Schedule Importer'!$A$4:$A$1048576,0)+1+J$5,6)/100</f>
        <v>0.1</v>
      </c>
      <c r="K45" s="191" cm="1">
        <f t="array" ref="K45">INDEX('IES Schedule Importer'!$A$4:$S$1048576,MATCH($D28,'IES Schedule Importer'!$A$4:$A$1048576,0)+1+K$5,6)/100</f>
        <v>0.1</v>
      </c>
      <c r="L45" s="191" cm="1">
        <f t="array" ref="L45">INDEX('IES Schedule Importer'!$A$4:$S$1048576,MATCH($D28,'IES Schedule Importer'!$A$4:$A$1048576,0)+1+L$5,6)/100</f>
        <v>0.3</v>
      </c>
      <c r="M45" s="191" cm="1">
        <f t="array" ref="M45">INDEX('IES Schedule Importer'!$A$4:$S$1048576,MATCH($D28,'IES Schedule Importer'!$A$4:$A$1048576,0)+1+M$5,6)/100</f>
        <v>0.3</v>
      </c>
      <c r="N45" s="191" cm="1">
        <f t="array" ref="N45">INDEX('IES Schedule Importer'!$A$4:$S$1048576,MATCH($D28,'IES Schedule Importer'!$A$4:$A$1048576,0)+1+N$5,6)/100</f>
        <v>0.3</v>
      </c>
      <c r="O45" s="191" cm="1">
        <f t="array" ref="O45">INDEX('IES Schedule Importer'!$A$4:$S$1048576,MATCH($D28,'IES Schedule Importer'!$A$4:$A$1048576,0)+1+O$5,6)/100</f>
        <v>0.3</v>
      </c>
      <c r="P45" s="191" cm="1">
        <f t="array" ref="P45">INDEX('IES Schedule Importer'!$A$4:$S$1048576,MATCH($D28,'IES Schedule Importer'!$A$4:$A$1048576,0)+1+P$5,6)/100</f>
        <v>0.1</v>
      </c>
      <c r="Q45" s="191" cm="1">
        <f t="array" ref="Q45">INDEX('IES Schedule Importer'!$A$4:$S$1048576,MATCH($D28,'IES Schedule Importer'!$A$4:$A$1048576,0)+1+Q$5,6)/100</f>
        <v>0.1</v>
      </c>
      <c r="R45" s="191" cm="1">
        <f t="array" ref="R45">INDEX('IES Schedule Importer'!$A$4:$S$1048576,MATCH($D28,'IES Schedule Importer'!$A$4:$A$1048576,0)+1+R$5,6)/100</f>
        <v>0.1</v>
      </c>
      <c r="S45" s="191" cm="1">
        <f t="array" ref="S45">INDEX('IES Schedule Importer'!$A$4:$S$1048576,MATCH($D28,'IES Schedule Importer'!$A$4:$A$1048576,0)+1+S$5,6)/100</f>
        <v>0.1</v>
      </c>
      <c r="T45" s="191" cm="1">
        <f t="array" ref="T45">INDEX('IES Schedule Importer'!$A$4:$S$1048576,MATCH($D28,'IES Schedule Importer'!$A$4:$A$1048576,0)+1+T$5,6)/100</f>
        <v>0.1</v>
      </c>
      <c r="U45" s="191" cm="1">
        <f t="array" ref="U45">INDEX('IES Schedule Importer'!$A$4:$S$1048576,MATCH($D28,'IES Schedule Importer'!$A$4:$A$1048576,0)+1+U$5,6)/100</f>
        <v>0.05</v>
      </c>
      <c r="V45" s="191" cm="1">
        <f t="array" ref="V45">INDEX('IES Schedule Importer'!$A$4:$S$1048576,MATCH($D28,'IES Schedule Importer'!$A$4:$A$1048576,0)+1+V$5,6)/100</f>
        <v>0.05</v>
      </c>
      <c r="W45" s="191" cm="1">
        <f t="array" ref="W45">INDEX('IES Schedule Importer'!$A$4:$S$1048576,MATCH($D28,'IES Schedule Importer'!$A$4:$A$1048576,0)+1+W$5,6)/100</f>
        <v>0</v>
      </c>
      <c r="X45" s="191" cm="1">
        <f t="array" ref="X45">INDEX('IES Schedule Importer'!$A$4:$S$1048576,MATCH($D28,'IES Schedule Importer'!$A$4:$A$1048576,0)+1+X$5,6)/100</f>
        <v>0</v>
      </c>
      <c r="Y45" s="191" cm="1">
        <f t="array" ref="Y45">INDEX('IES Schedule Importer'!$A$4:$S$1048576,MATCH($D28,'IES Schedule Importer'!$A$4:$A$1048576,0)+1+Y$5,6)/100</f>
        <v>0</v>
      </c>
      <c r="Z45" s="191" cm="1">
        <f t="array" ref="Z45">INDEX('IES Schedule Importer'!$A$4:$S$1048576,MATCH($D28,'IES Schedule Importer'!$A$4:$A$1048576,0)+1+Z$5,6)/100</f>
        <v>0</v>
      </c>
      <c r="AA45" s="191" cm="1">
        <f t="array" ref="AA45">INDEX('IES Schedule Importer'!$A$4:$S$1048576,MATCH($D28,'IES Schedule Importer'!$A$4:$A$1048576,0)+1+AA$5,6)/100</f>
        <v>0</v>
      </c>
      <c r="AF45" t="s">
        <v>1026</v>
      </c>
      <c r="AG45" s="191" cm="1">
        <f t="array" ref="AG45">INDEX('IES Schedule Importer'!$A$4:$S$1048576,MATCH($AG28,'IES Schedule Importer'!$A$4:$A$1048576,0)+1+AG$5,9)/100</f>
        <v>0.05</v>
      </c>
      <c r="AH45" s="191" cm="1">
        <f t="array" ref="AH45">INDEX('IES Schedule Importer'!$A$4:$S$1048576,MATCH($AG28,'IES Schedule Importer'!$A$4:$A$1048576,0)+1+AH$5,9)/100</f>
        <v>0.05</v>
      </c>
      <c r="AI45" s="191" cm="1">
        <f t="array" ref="AI45">INDEX('IES Schedule Importer'!$A$4:$S$1048576,MATCH($AG28,'IES Schedule Importer'!$A$4:$A$1048576,0)+1+AI$5,9)/100</f>
        <v>0.05</v>
      </c>
      <c r="AJ45" s="191" cm="1">
        <f t="array" ref="AJ45">INDEX('IES Schedule Importer'!$A$4:$S$1048576,MATCH($AG28,'IES Schedule Importer'!$A$4:$A$1048576,0)+1+AJ$5,9)/100</f>
        <v>0.05</v>
      </c>
      <c r="AK45" s="191" cm="1">
        <f t="array" ref="AK45">INDEX('IES Schedule Importer'!$A$4:$S$1048576,MATCH($AG28,'IES Schedule Importer'!$A$4:$A$1048576,0)+1+AK$5,9)/100</f>
        <v>0.05</v>
      </c>
      <c r="AL45" s="191" cm="1">
        <f t="array" ref="AL45">INDEX('IES Schedule Importer'!$A$4:$S$1048576,MATCH($AG28,'IES Schedule Importer'!$A$4:$A$1048576,0)+1+AL$5,9)/100</f>
        <v>0.05</v>
      </c>
      <c r="AM45" s="191" cm="1">
        <f t="array" ref="AM45">INDEX('IES Schedule Importer'!$A$4:$S$1048576,MATCH($AG28,'IES Schedule Importer'!$A$4:$A$1048576,0)+1+AM$5,9)/100</f>
        <v>0.1</v>
      </c>
      <c r="AN45" s="191" cm="1">
        <f t="array" ref="AN45">INDEX('IES Schedule Importer'!$A$4:$S$1048576,MATCH($AG28,'IES Schedule Importer'!$A$4:$A$1048576,0)+1+AN$5,9)/100</f>
        <v>0.1</v>
      </c>
      <c r="AO45" s="191" cm="1">
        <f t="array" ref="AO45">INDEX('IES Schedule Importer'!$A$4:$S$1048576,MATCH($AG28,'IES Schedule Importer'!$A$4:$A$1048576,0)+1+AO$5,9)/100</f>
        <v>0.3</v>
      </c>
      <c r="AP45" s="191" cm="1">
        <f t="array" ref="AP45">INDEX('IES Schedule Importer'!$A$4:$S$1048576,MATCH($AG28,'IES Schedule Importer'!$A$4:$A$1048576,0)+1+AP$5,9)/100</f>
        <v>0.3</v>
      </c>
      <c r="AQ45" s="191" cm="1">
        <f t="array" ref="AQ45">INDEX('IES Schedule Importer'!$A$4:$S$1048576,MATCH($AG28,'IES Schedule Importer'!$A$4:$A$1048576,0)+1+AQ$5,9)/100</f>
        <v>0.3</v>
      </c>
      <c r="AR45" s="191" cm="1">
        <f t="array" ref="AR45">INDEX('IES Schedule Importer'!$A$4:$S$1048576,MATCH($AG28,'IES Schedule Importer'!$A$4:$A$1048576,0)+1+AR$5,9)/100</f>
        <v>0.3</v>
      </c>
      <c r="AS45" s="191" cm="1">
        <f t="array" ref="AS45">INDEX('IES Schedule Importer'!$A$4:$S$1048576,MATCH($AG28,'IES Schedule Importer'!$A$4:$A$1048576,0)+1+AS$5,9)/100</f>
        <v>0.15</v>
      </c>
      <c r="AT45" s="191" cm="1">
        <f t="array" ref="AT45">INDEX('IES Schedule Importer'!$A$4:$S$1048576,MATCH($AG28,'IES Schedule Importer'!$A$4:$A$1048576,0)+1+AT$5,9)/100</f>
        <v>0.15</v>
      </c>
      <c r="AU45" s="191" cm="1">
        <f t="array" ref="AU45">INDEX('IES Schedule Importer'!$A$4:$S$1048576,MATCH($AG28,'IES Schedule Importer'!$A$4:$A$1048576,0)+1+AU$5,9)/100</f>
        <v>0.15</v>
      </c>
      <c r="AV45" s="191" cm="1">
        <f t="array" ref="AV45">INDEX('IES Schedule Importer'!$A$4:$S$1048576,MATCH($AG28,'IES Schedule Importer'!$A$4:$A$1048576,0)+1+AV$5,9)/100</f>
        <v>0.15</v>
      </c>
      <c r="AW45" s="191" cm="1">
        <f t="array" ref="AW45">INDEX('IES Schedule Importer'!$A$4:$S$1048576,MATCH($AG28,'IES Schedule Importer'!$A$4:$A$1048576,0)+1+AW$5,9)/100</f>
        <v>0.15</v>
      </c>
      <c r="AX45" s="191" cm="1">
        <f t="array" ref="AX45">INDEX('IES Schedule Importer'!$A$4:$S$1048576,MATCH($AG28,'IES Schedule Importer'!$A$4:$A$1048576,0)+1+AX$5,9)/100</f>
        <v>0.05</v>
      </c>
      <c r="AY45" s="191" cm="1">
        <f t="array" ref="AY45">INDEX('IES Schedule Importer'!$A$4:$S$1048576,MATCH($AG28,'IES Schedule Importer'!$A$4:$A$1048576,0)+1+AY$5,9)/100</f>
        <v>0.05</v>
      </c>
      <c r="AZ45" s="191" cm="1">
        <f t="array" ref="AZ45">INDEX('IES Schedule Importer'!$A$4:$S$1048576,MATCH($AG28,'IES Schedule Importer'!$A$4:$A$1048576,0)+1+AZ$5,9)/100</f>
        <v>0.05</v>
      </c>
      <c r="BA45" s="191" cm="1">
        <f t="array" ref="BA45">INDEX('IES Schedule Importer'!$A$4:$S$1048576,MATCH($AG28,'IES Schedule Importer'!$A$4:$A$1048576,0)+1+BA$5,9)/100</f>
        <v>0.05</v>
      </c>
      <c r="BB45" s="191" cm="1">
        <f t="array" ref="BB45">INDEX('IES Schedule Importer'!$A$4:$S$1048576,MATCH($AG28,'IES Schedule Importer'!$A$4:$A$1048576,0)+1+BB$5,9)/100</f>
        <v>0.05</v>
      </c>
      <c r="BC45" s="191" cm="1">
        <f t="array" ref="BC45">INDEX('IES Schedule Importer'!$A$4:$S$1048576,MATCH($AG28,'IES Schedule Importer'!$A$4:$A$1048576,0)+1+BC$5,9)/100</f>
        <v>0.05</v>
      </c>
      <c r="BD45" s="191" cm="1">
        <f t="array" ref="BD45">INDEX('IES Schedule Importer'!$A$4:$S$1048576,MATCH($AG28,'IES Schedule Importer'!$A$4:$A$1048576,0)+1+BD$5,9)/100</f>
        <v>0.05</v>
      </c>
    </row>
    <row r="46" spans="1:57" x14ac:dyDescent="0.25">
      <c r="C46" t="s">
        <v>1027</v>
      </c>
      <c r="D46" s="191" cm="1">
        <f t="array" ref="D46">INDEX('IES Schedule Importer'!$A$4:$S$1048576,MATCH($D28,'IES Schedule Importer'!$A$4:$A$1048576,0)+1+D$5,7)/100</f>
        <v>0</v>
      </c>
      <c r="E46" s="191" cm="1">
        <f t="array" ref="E46">INDEX('IES Schedule Importer'!$A$4:$S$1048576,MATCH($D28,'IES Schedule Importer'!$A$4:$A$1048576,0)+1+E$5,7)/100</f>
        <v>0</v>
      </c>
      <c r="F46" s="191" cm="1">
        <f t="array" ref="F46">INDEX('IES Schedule Importer'!$A$4:$S$1048576,MATCH($D28,'IES Schedule Importer'!$A$4:$A$1048576,0)+1+F$5,7)/100</f>
        <v>0</v>
      </c>
      <c r="G46" s="191" cm="1">
        <f t="array" ref="G46">INDEX('IES Schedule Importer'!$A$4:$S$1048576,MATCH($D28,'IES Schedule Importer'!$A$4:$A$1048576,0)+1+G$5,7)/100</f>
        <v>0</v>
      </c>
      <c r="H46" s="191" cm="1">
        <f t="array" ref="H46">INDEX('IES Schedule Importer'!$A$4:$S$1048576,MATCH($D28,'IES Schedule Importer'!$A$4:$A$1048576,0)+1+H$5,7)/100</f>
        <v>0</v>
      </c>
      <c r="I46" s="191" cm="1">
        <f t="array" ref="I46">INDEX('IES Schedule Importer'!$A$4:$S$1048576,MATCH($D28,'IES Schedule Importer'!$A$4:$A$1048576,0)+1+I$5,7)/100</f>
        <v>0</v>
      </c>
      <c r="J46" s="191" cm="1">
        <f t="array" ref="J46">INDEX('IES Schedule Importer'!$A$4:$S$1048576,MATCH($D28,'IES Schedule Importer'!$A$4:$A$1048576,0)+1+J$5,7)/100</f>
        <v>0.05</v>
      </c>
      <c r="K46" s="191" cm="1">
        <f t="array" ref="K46">INDEX('IES Schedule Importer'!$A$4:$S$1048576,MATCH($D28,'IES Schedule Importer'!$A$4:$A$1048576,0)+1+K$5,7)/100</f>
        <v>0.05</v>
      </c>
      <c r="L46" s="191" cm="1">
        <f t="array" ref="L46">INDEX('IES Schedule Importer'!$A$4:$S$1048576,MATCH($D28,'IES Schedule Importer'!$A$4:$A$1048576,0)+1+L$5,7)/100</f>
        <v>0.05</v>
      </c>
      <c r="M46" s="191" cm="1">
        <f t="array" ref="M46">INDEX('IES Schedule Importer'!$A$4:$S$1048576,MATCH($D28,'IES Schedule Importer'!$A$4:$A$1048576,0)+1+M$5,7)/100</f>
        <v>0.05</v>
      </c>
      <c r="N46" s="191" cm="1">
        <f t="array" ref="N46">INDEX('IES Schedule Importer'!$A$4:$S$1048576,MATCH($D28,'IES Schedule Importer'!$A$4:$A$1048576,0)+1+N$5,7)/100</f>
        <v>0.05</v>
      </c>
      <c r="O46" s="191" cm="1">
        <f t="array" ref="O46">INDEX('IES Schedule Importer'!$A$4:$S$1048576,MATCH($D28,'IES Schedule Importer'!$A$4:$A$1048576,0)+1+O$5,7)/100</f>
        <v>0.05</v>
      </c>
      <c r="P46" s="191" cm="1">
        <f t="array" ref="P46">INDEX('IES Schedule Importer'!$A$4:$S$1048576,MATCH($D28,'IES Schedule Importer'!$A$4:$A$1048576,0)+1+P$5,7)/100</f>
        <v>0.05</v>
      </c>
      <c r="Q46" s="191" cm="1">
        <f t="array" ref="Q46">INDEX('IES Schedule Importer'!$A$4:$S$1048576,MATCH($D28,'IES Schedule Importer'!$A$4:$A$1048576,0)+1+Q$5,7)/100</f>
        <v>0.05</v>
      </c>
      <c r="R46" s="191" cm="1">
        <f t="array" ref="R46">INDEX('IES Schedule Importer'!$A$4:$S$1048576,MATCH($D28,'IES Schedule Importer'!$A$4:$A$1048576,0)+1+R$5,7)/100</f>
        <v>0.05</v>
      </c>
      <c r="S46" s="191" cm="1">
        <f t="array" ref="S46">INDEX('IES Schedule Importer'!$A$4:$S$1048576,MATCH($D28,'IES Schedule Importer'!$A$4:$A$1048576,0)+1+S$5,7)/100</f>
        <v>0.05</v>
      </c>
      <c r="T46" s="191" cm="1">
        <f t="array" ref="T46">INDEX('IES Schedule Importer'!$A$4:$S$1048576,MATCH($D28,'IES Schedule Importer'!$A$4:$A$1048576,0)+1+T$5,7)/100</f>
        <v>0.05</v>
      </c>
      <c r="U46" s="191" cm="1">
        <f t="array" ref="U46">INDEX('IES Schedule Importer'!$A$4:$S$1048576,MATCH($D28,'IES Schedule Importer'!$A$4:$A$1048576,0)+1+U$5,7)/100</f>
        <v>0.05</v>
      </c>
      <c r="V46" s="191" cm="1">
        <f t="array" ref="V46">INDEX('IES Schedule Importer'!$A$4:$S$1048576,MATCH($D28,'IES Schedule Importer'!$A$4:$A$1048576,0)+1+V$5,7)/100</f>
        <v>0</v>
      </c>
      <c r="W46" s="191" cm="1">
        <f t="array" ref="W46">INDEX('IES Schedule Importer'!$A$4:$S$1048576,MATCH($D28,'IES Schedule Importer'!$A$4:$A$1048576,0)+1+W$5,7)/100</f>
        <v>0</v>
      </c>
      <c r="X46" s="191" cm="1">
        <f t="array" ref="X46">INDEX('IES Schedule Importer'!$A$4:$S$1048576,MATCH($D28,'IES Schedule Importer'!$A$4:$A$1048576,0)+1+X$5,7)/100</f>
        <v>0</v>
      </c>
      <c r="Y46" s="191" cm="1">
        <f t="array" ref="Y46">INDEX('IES Schedule Importer'!$A$4:$S$1048576,MATCH($D28,'IES Schedule Importer'!$A$4:$A$1048576,0)+1+Y$5,7)/100</f>
        <v>0</v>
      </c>
      <c r="Z46" s="191" cm="1">
        <f t="array" ref="Z46">INDEX('IES Schedule Importer'!$A$4:$S$1048576,MATCH($D28,'IES Schedule Importer'!$A$4:$A$1048576,0)+1+Z$5,7)/100</f>
        <v>0</v>
      </c>
      <c r="AA46" s="191" cm="1">
        <f t="array" ref="AA46">INDEX('IES Schedule Importer'!$A$4:$S$1048576,MATCH($D28,'IES Schedule Importer'!$A$4:$A$1048576,0)+1+AA$5,7)/100</f>
        <v>0</v>
      </c>
      <c r="AF46" t="s">
        <v>1027</v>
      </c>
      <c r="AG46" s="191" cm="1">
        <f t="array" ref="AG46">INDEX('IES Schedule Importer'!$A$4:$S$1048576,MATCH($AG28,'IES Schedule Importer'!$A$4:$A$1048576,0)+1+AG$5,10)/100</f>
        <v>0.05</v>
      </c>
      <c r="AH46" s="191" cm="1">
        <f t="array" ref="AH46">INDEX('IES Schedule Importer'!$A$4:$S$1048576,MATCH($AG28,'IES Schedule Importer'!$A$4:$A$1048576,0)+1+AH$5,10)/100</f>
        <v>0.05</v>
      </c>
      <c r="AI46" s="191" cm="1">
        <f t="array" ref="AI46">INDEX('IES Schedule Importer'!$A$4:$S$1048576,MATCH($AG28,'IES Schedule Importer'!$A$4:$A$1048576,0)+1+AI$5,10)/100</f>
        <v>0.05</v>
      </c>
      <c r="AJ46" s="191" cm="1">
        <f t="array" ref="AJ46">INDEX('IES Schedule Importer'!$A$4:$S$1048576,MATCH($AG28,'IES Schedule Importer'!$A$4:$A$1048576,0)+1+AJ$5,10)/100</f>
        <v>0.05</v>
      </c>
      <c r="AK46" s="191" cm="1">
        <f t="array" ref="AK46">INDEX('IES Schedule Importer'!$A$4:$S$1048576,MATCH($AG28,'IES Schedule Importer'!$A$4:$A$1048576,0)+1+AK$5,10)/100</f>
        <v>0.05</v>
      </c>
      <c r="AL46" s="191" cm="1">
        <f t="array" ref="AL46">INDEX('IES Schedule Importer'!$A$4:$S$1048576,MATCH($AG28,'IES Schedule Importer'!$A$4:$A$1048576,0)+1+AL$5,10)/100</f>
        <v>0.05</v>
      </c>
      <c r="AM46" s="191" cm="1">
        <f t="array" ref="AM46">INDEX('IES Schedule Importer'!$A$4:$S$1048576,MATCH($AG28,'IES Schedule Importer'!$A$4:$A$1048576,0)+1+AM$5,10)/100</f>
        <v>0.05</v>
      </c>
      <c r="AN46" s="191" cm="1">
        <f t="array" ref="AN46">INDEX('IES Schedule Importer'!$A$4:$S$1048576,MATCH($AG28,'IES Schedule Importer'!$A$4:$A$1048576,0)+1+AN$5,10)/100</f>
        <v>0.05</v>
      </c>
      <c r="AO46" s="191" cm="1">
        <f t="array" ref="AO46">INDEX('IES Schedule Importer'!$A$4:$S$1048576,MATCH($AG28,'IES Schedule Importer'!$A$4:$A$1048576,0)+1+AO$5,10)/100</f>
        <v>0.05</v>
      </c>
      <c r="AP46" s="191" cm="1">
        <f t="array" ref="AP46">INDEX('IES Schedule Importer'!$A$4:$S$1048576,MATCH($AG28,'IES Schedule Importer'!$A$4:$A$1048576,0)+1+AP$5,10)/100</f>
        <v>0.05</v>
      </c>
      <c r="AQ46" s="191" cm="1">
        <f t="array" ref="AQ46">INDEX('IES Schedule Importer'!$A$4:$S$1048576,MATCH($AG28,'IES Schedule Importer'!$A$4:$A$1048576,0)+1+AQ$5,10)/100</f>
        <v>0.05</v>
      </c>
      <c r="AR46" s="191" cm="1">
        <f t="array" ref="AR46">INDEX('IES Schedule Importer'!$A$4:$S$1048576,MATCH($AG28,'IES Schedule Importer'!$A$4:$A$1048576,0)+1+AR$5,10)/100</f>
        <v>0.05</v>
      </c>
      <c r="AS46" s="191" cm="1">
        <f t="array" ref="AS46">INDEX('IES Schedule Importer'!$A$4:$S$1048576,MATCH($AG28,'IES Schedule Importer'!$A$4:$A$1048576,0)+1+AS$5,10)/100</f>
        <v>0.05</v>
      </c>
      <c r="AT46" s="191" cm="1">
        <f t="array" ref="AT46">INDEX('IES Schedule Importer'!$A$4:$S$1048576,MATCH($AG28,'IES Schedule Importer'!$A$4:$A$1048576,0)+1+AT$5,10)/100</f>
        <v>0.05</v>
      </c>
      <c r="AU46" s="191" cm="1">
        <f t="array" ref="AU46">INDEX('IES Schedule Importer'!$A$4:$S$1048576,MATCH($AG28,'IES Schedule Importer'!$A$4:$A$1048576,0)+1+AU$5,10)/100</f>
        <v>0.05</v>
      </c>
      <c r="AV46" s="191" cm="1">
        <f t="array" ref="AV46">INDEX('IES Schedule Importer'!$A$4:$S$1048576,MATCH($AG28,'IES Schedule Importer'!$A$4:$A$1048576,0)+1+AV$5,10)/100</f>
        <v>0.05</v>
      </c>
      <c r="AW46" s="191" cm="1">
        <f t="array" ref="AW46">INDEX('IES Schedule Importer'!$A$4:$S$1048576,MATCH($AG28,'IES Schedule Importer'!$A$4:$A$1048576,0)+1+AW$5,10)/100</f>
        <v>0.05</v>
      </c>
      <c r="AX46" s="191" cm="1">
        <f t="array" ref="AX46">INDEX('IES Schedule Importer'!$A$4:$S$1048576,MATCH($AG28,'IES Schedule Importer'!$A$4:$A$1048576,0)+1+AX$5,10)/100</f>
        <v>0.05</v>
      </c>
      <c r="AY46" s="191" cm="1">
        <f t="array" ref="AY46">INDEX('IES Schedule Importer'!$A$4:$S$1048576,MATCH($AG28,'IES Schedule Importer'!$A$4:$A$1048576,0)+1+AY$5,10)/100</f>
        <v>0.05</v>
      </c>
      <c r="AZ46" s="191" cm="1">
        <f t="array" ref="AZ46">INDEX('IES Schedule Importer'!$A$4:$S$1048576,MATCH($AG28,'IES Schedule Importer'!$A$4:$A$1048576,0)+1+AZ$5,10)/100</f>
        <v>0.05</v>
      </c>
      <c r="BA46" s="191" cm="1">
        <f t="array" ref="BA46">INDEX('IES Schedule Importer'!$A$4:$S$1048576,MATCH($AG28,'IES Schedule Importer'!$A$4:$A$1048576,0)+1+BA$5,10)/100</f>
        <v>0.05</v>
      </c>
      <c r="BB46" s="191" cm="1">
        <f t="array" ref="BB46">INDEX('IES Schedule Importer'!$A$4:$S$1048576,MATCH($AG28,'IES Schedule Importer'!$A$4:$A$1048576,0)+1+BB$5,10)/100</f>
        <v>0.05</v>
      </c>
      <c r="BC46" s="191" cm="1">
        <f t="array" ref="BC46">INDEX('IES Schedule Importer'!$A$4:$S$1048576,MATCH($AG28,'IES Schedule Importer'!$A$4:$A$1048576,0)+1+BC$5,10)/100</f>
        <v>0.05</v>
      </c>
      <c r="BD46" s="191" cm="1">
        <f t="array" ref="BD46">INDEX('IES Schedule Importer'!$A$4:$S$1048576,MATCH($AG28,'IES Schedule Importer'!$A$4:$A$1048576,0)+1+BD$5,10)/100</f>
        <v>0.05</v>
      </c>
    </row>
    <row r="48" spans="1:57" x14ac:dyDescent="0.25">
      <c r="A48" s="192"/>
      <c r="B48" s="192"/>
      <c r="C48" s="192"/>
      <c r="D48" s="192"/>
      <c r="E48" s="192"/>
      <c r="F48" s="192"/>
      <c r="G48" s="192"/>
      <c r="H48" s="192"/>
      <c r="I48" s="192"/>
      <c r="J48" s="192"/>
      <c r="K48" s="192"/>
      <c r="L48" s="192"/>
      <c r="M48" s="192"/>
      <c r="N48" s="192"/>
      <c r="O48" s="192"/>
      <c r="P48" s="192"/>
      <c r="Q48" s="192"/>
      <c r="R48" s="192"/>
      <c r="S48" s="192"/>
      <c r="T48" s="192"/>
      <c r="U48" s="192"/>
      <c r="V48" s="192"/>
      <c r="W48" s="192"/>
      <c r="X48" s="192"/>
      <c r="Y48" s="192"/>
      <c r="Z48" s="192"/>
      <c r="AA48" s="192"/>
      <c r="AB48" s="192"/>
      <c r="AC48" s="192"/>
      <c r="AD48" s="192"/>
      <c r="AE48" s="192"/>
      <c r="AF48" s="192"/>
      <c r="AG48" s="192"/>
      <c r="AH48" s="192"/>
      <c r="AI48" s="192"/>
      <c r="AJ48" s="192"/>
      <c r="AK48" s="192"/>
      <c r="AL48" s="192"/>
      <c r="AM48" s="192"/>
      <c r="AN48" s="192"/>
      <c r="AO48" s="192"/>
      <c r="AP48" s="192"/>
      <c r="AQ48" s="192"/>
      <c r="AR48" s="192"/>
      <c r="AS48" s="192"/>
      <c r="AT48" s="192"/>
      <c r="AU48" s="192"/>
      <c r="AV48" s="192"/>
      <c r="AW48" s="192"/>
      <c r="AX48" s="192"/>
      <c r="AY48" s="192"/>
      <c r="AZ48" s="192"/>
      <c r="BA48" s="192"/>
      <c r="BB48" s="192"/>
      <c r="BC48" s="192"/>
      <c r="BD48" s="192"/>
      <c r="BE48" s="192"/>
    </row>
    <row r="49" spans="4:42" ht="15.75" x14ac:dyDescent="0.25">
      <c r="D49" s="764" t="s">
        <v>1029</v>
      </c>
      <c r="E49" s="764"/>
      <c r="F49" s="764"/>
      <c r="G49" s="764"/>
      <c r="H49" s="764"/>
      <c r="I49" s="764"/>
      <c r="J49" s="764"/>
      <c r="K49" s="764"/>
      <c r="L49" s="764"/>
      <c r="M49" s="764"/>
      <c r="AG49" s="767" t="str">
        <f>D49</f>
        <v>SFVA Labs</v>
      </c>
      <c r="AH49" s="767"/>
      <c r="AI49" s="767"/>
      <c r="AJ49" s="767"/>
      <c r="AK49" s="767"/>
      <c r="AL49" s="767"/>
      <c r="AM49" s="767"/>
      <c r="AN49" s="767"/>
      <c r="AO49" s="767"/>
      <c r="AP49" s="767"/>
    </row>
    <row r="65" spans="1:57" x14ac:dyDescent="0.25">
      <c r="C65" t="s">
        <v>1025</v>
      </c>
      <c r="D65" s="191" cm="1">
        <f t="array" ref="D65">INDEX('IES Schedule Importer'!$A$4:$S$1048576,MATCH($D49,'IES Schedule Importer'!$A$4:$A$1048576,0)+1+D$5,5)/100</f>
        <v>0.05</v>
      </c>
      <c r="E65" s="191" cm="1">
        <f t="array" ref="E65">INDEX('IES Schedule Importer'!$A$4:$S$1048576,MATCH($D49,'IES Schedule Importer'!$A$4:$A$1048576,0)+1+E$5,5)/100</f>
        <v>0.05</v>
      </c>
      <c r="F65" s="191" cm="1">
        <f t="array" ref="F65">INDEX('IES Schedule Importer'!$A$4:$S$1048576,MATCH($D49,'IES Schedule Importer'!$A$4:$A$1048576,0)+1+F$5,5)/100</f>
        <v>0.05</v>
      </c>
      <c r="G65" s="191" cm="1">
        <f t="array" ref="G65">INDEX('IES Schedule Importer'!$A$4:$S$1048576,MATCH($D49,'IES Schedule Importer'!$A$4:$A$1048576,0)+1+G$5,5)/100</f>
        <v>0.05</v>
      </c>
      <c r="H65" s="191" cm="1">
        <f t="array" ref="H65">INDEX('IES Schedule Importer'!$A$4:$S$1048576,MATCH($D49,'IES Schedule Importer'!$A$4:$A$1048576,0)+1+H$5,5)/100</f>
        <v>0.05</v>
      </c>
      <c r="I65" s="191" cm="1">
        <f t="array" ref="I65">INDEX('IES Schedule Importer'!$A$4:$S$1048576,MATCH($D49,'IES Schedule Importer'!$A$4:$A$1048576,0)+1+I$5,5)/100</f>
        <v>0.05</v>
      </c>
      <c r="J65" s="191" cm="1">
        <f t="array" ref="J65">INDEX('IES Schedule Importer'!$A$4:$S$1048576,MATCH($D49,'IES Schedule Importer'!$A$4:$A$1048576,0)+1+J$5,5)/100</f>
        <v>0.05</v>
      </c>
      <c r="K65" s="191" cm="1">
        <f t="array" ref="K65">INDEX('IES Schedule Importer'!$A$4:$S$1048576,MATCH($D49,'IES Schedule Importer'!$A$4:$A$1048576,0)+1+K$5,5)/100</f>
        <v>0.1</v>
      </c>
      <c r="L65" s="191" cm="1">
        <f t="array" ref="L65">INDEX('IES Schedule Importer'!$A$4:$S$1048576,MATCH($D49,'IES Schedule Importer'!$A$4:$A$1048576,0)+1+L$5,5)/100</f>
        <v>0.2</v>
      </c>
      <c r="M65" s="191" cm="1">
        <f t="array" ref="M65">INDEX('IES Schedule Importer'!$A$4:$S$1048576,MATCH($D49,'IES Schedule Importer'!$A$4:$A$1048576,0)+1+M$5,5)/100</f>
        <v>0.9</v>
      </c>
      <c r="N65" s="191" cm="1">
        <f t="array" ref="N65">INDEX('IES Schedule Importer'!$A$4:$S$1048576,MATCH($D49,'IES Schedule Importer'!$A$4:$A$1048576,0)+1+N$5,5)/100</f>
        <v>0.9</v>
      </c>
      <c r="O65" s="191" cm="1">
        <f t="array" ref="O65">INDEX('IES Schedule Importer'!$A$4:$S$1048576,MATCH($D49,'IES Schedule Importer'!$A$4:$A$1048576,0)+1+O$5,5)/100</f>
        <v>0.45</v>
      </c>
      <c r="P65" s="191" cm="1">
        <f t="array" ref="P65">INDEX('IES Schedule Importer'!$A$4:$S$1048576,MATCH($D49,'IES Schedule Importer'!$A$4:$A$1048576,0)+1+P$5,5)/100</f>
        <v>0.45</v>
      </c>
      <c r="Q65" s="191" cm="1">
        <f t="array" ref="Q65">INDEX('IES Schedule Importer'!$A$4:$S$1048576,MATCH($D49,'IES Schedule Importer'!$A$4:$A$1048576,0)+1+Q$5,5)/100</f>
        <v>0.9</v>
      </c>
      <c r="R65" s="191" cm="1">
        <f t="array" ref="R65">INDEX('IES Schedule Importer'!$A$4:$S$1048576,MATCH($D49,'IES Schedule Importer'!$A$4:$A$1048576,0)+1+R$5,5)/100</f>
        <v>0.9</v>
      </c>
      <c r="S65" s="191" cm="1">
        <f t="array" ref="S65">INDEX('IES Schedule Importer'!$A$4:$S$1048576,MATCH($D49,'IES Schedule Importer'!$A$4:$A$1048576,0)+1+S$5,5)/100</f>
        <v>0.9</v>
      </c>
      <c r="T65" s="191" cm="1">
        <f t="array" ref="T65">INDEX('IES Schedule Importer'!$A$4:$S$1048576,MATCH($D49,'IES Schedule Importer'!$A$4:$A$1048576,0)+1+T$5,5)/100</f>
        <v>0.9</v>
      </c>
      <c r="U65" s="191" cm="1">
        <f t="array" ref="U65">INDEX('IES Schedule Importer'!$A$4:$S$1048576,MATCH($D49,'IES Schedule Importer'!$A$4:$A$1048576,0)+1+U$5,5)/100</f>
        <v>0.9</v>
      </c>
      <c r="V65" s="191" cm="1">
        <f t="array" ref="V65">INDEX('IES Schedule Importer'!$A$4:$S$1048576,MATCH($D49,'IES Schedule Importer'!$A$4:$A$1048576,0)+1+V$5,5)/100</f>
        <v>0.3</v>
      </c>
      <c r="W65" s="191" cm="1">
        <f t="array" ref="W65">INDEX('IES Schedule Importer'!$A$4:$S$1048576,MATCH($D49,'IES Schedule Importer'!$A$4:$A$1048576,0)+1+W$5,5)/100</f>
        <v>0.1</v>
      </c>
      <c r="X65" s="191" cm="1">
        <f t="array" ref="X65">INDEX('IES Schedule Importer'!$A$4:$S$1048576,MATCH($D49,'IES Schedule Importer'!$A$4:$A$1048576,0)+1+X$5,5)/100</f>
        <v>0.1</v>
      </c>
      <c r="Y65" s="191" cm="1">
        <f t="array" ref="Y65">INDEX('IES Schedule Importer'!$A$4:$S$1048576,MATCH($D49,'IES Schedule Importer'!$A$4:$A$1048576,0)+1+Y$5,5)/100</f>
        <v>0.1</v>
      </c>
      <c r="Z65" s="191" cm="1">
        <f t="array" ref="Z65">INDEX('IES Schedule Importer'!$A$4:$S$1048576,MATCH($D49,'IES Schedule Importer'!$A$4:$A$1048576,0)+1+Z$5,5)/100</f>
        <v>0.05</v>
      </c>
      <c r="AA65" s="191" cm="1">
        <f t="array" ref="AA65">INDEX('IES Schedule Importer'!$A$4:$S$1048576,MATCH($D49,'IES Schedule Importer'!$A$4:$A$1048576,0)+1+AA$5,5)/100</f>
        <v>0.05</v>
      </c>
      <c r="AF65" t="s">
        <v>1025</v>
      </c>
      <c r="AG65" s="191" cm="1">
        <f t="array" ref="AG65">INDEX('IES Schedule Importer'!$A$4:$S$1048576,MATCH($AG49,'IES Schedule Importer'!$A$4:$A$1048576,0)+1+AG$5,8)/100</f>
        <v>0.2</v>
      </c>
      <c r="AH65" s="191" cm="1">
        <f t="array" ref="AH65">INDEX('IES Schedule Importer'!$A$4:$S$1048576,MATCH($AG49,'IES Schedule Importer'!$A$4:$A$1048576,0)+1+AH$5,8)/100</f>
        <v>0.2</v>
      </c>
      <c r="AI65" s="191" cm="1">
        <f t="array" ref="AI65">INDEX('IES Schedule Importer'!$A$4:$S$1048576,MATCH($AG49,'IES Schedule Importer'!$A$4:$A$1048576,0)+1+AI$5,8)/100</f>
        <v>0.2</v>
      </c>
      <c r="AJ65" s="191" cm="1">
        <f t="array" ref="AJ65">INDEX('IES Schedule Importer'!$A$4:$S$1048576,MATCH($AG49,'IES Schedule Importer'!$A$4:$A$1048576,0)+1+AJ$5,8)/100</f>
        <v>0.2</v>
      </c>
      <c r="AK65" s="191" cm="1">
        <f t="array" ref="AK65">INDEX('IES Schedule Importer'!$A$4:$S$1048576,MATCH($AG49,'IES Schedule Importer'!$A$4:$A$1048576,0)+1+AK$5,8)/100</f>
        <v>0.2</v>
      </c>
      <c r="AL65" s="191" cm="1">
        <f t="array" ref="AL65">INDEX('IES Schedule Importer'!$A$4:$S$1048576,MATCH($AG49,'IES Schedule Importer'!$A$4:$A$1048576,0)+1+AL$5,8)/100</f>
        <v>0.2</v>
      </c>
      <c r="AM65" s="191" cm="1">
        <f t="array" ref="AM65">INDEX('IES Schedule Importer'!$A$4:$S$1048576,MATCH($AG49,'IES Schedule Importer'!$A$4:$A$1048576,0)+1+AM$5,8)/100</f>
        <v>0.2</v>
      </c>
      <c r="AN65" s="191" cm="1">
        <f t="array" ref="AN65">INDEX('IES Schedule Importer'!$A$4:$S$1048576,MATCH($AG49,'IES Schedule Importer'!$A$4:$A$1048576,0)+1+AN$5,8)/100</f>
        <v>0.3</v>
      </c>
      <c r="AO65" s="191" cm="1">
        <f t="array" ref="AO65">INDEX('IES Schedule Importer'!$A$4:$S$1048576,MATCH($AG49,'IES Schedule Importer'!$A$4:$A$1048576,0)+1+AO$5,8)/100</f>
        <v>0.4</v>
      </c>
      <c r="AP65" s="191" cm="1">
        <f t="array" ref="AP65">INDEX('IES Schedule Importer'!$A$4:$S$1048576,MATCH($AG49,'IES Schedule Importer'!$A$4:$A$1048576,0)+1+AP$5,8)/100</f>
        <v>0.5</v>
      </c>
      <c r="AQ65" s="191" cm="1">
        <f t="array" ref="AQ65">INDEX('IES Schedule Importer'!$A$4:$S$1048576,MATCH($AG49,'IES Schedule Importer'!$A$4:$A$1048576,0)+1+AQ$5,8)/100</f>
        <v>0.5</v>
      </c>
      <c r="AR65" s="191" cm="1">
        <f t="array" ref="AR65">INDEX('IES Schedule Importer'!$A$4:$S$1048576,MATCH($AG49,'IES Schedule Importer'!$A$4:$A$1048576,0)+1+AR$5,8)/100</f>
        <v>0.5</v>
      </c>
      <c r="AS65" s="191" cm="1">
        <f t="array" ref="AS65">INDEX('IES Schedule Importer'!$A$4:$S$1048576,MATCH($AG49,'IES Schedule Importer'!$A$4:$A$1048576,0)+1+AS$5,8)/100</f>
        <v>0.4</v>
      </c>
      <c r="AT65" s="191" cm="1">
        <f t="array" ref="AT65">INDEX('IES Schedule Importer'!$A$4:$S$1048576,MATCH($AG49,'IES Schedule Importer'!$A$4:$A$1048576,0)+1+AT$5,8)/100</f>
        <v>0.5</v>
      </c>
      <c r="AU65" s="191" cm="1">
        <f t="array" ref="AU65">INDEX('IES Schedule Importer'!$A$4:$S$1048576,MATCH($AG49,'IES Schedule Importer'!$A$4:$A$1048576,0)+1+AU$5,8)/100</f>
        <v>0.5</v>
      </c>
      <c r="AV65" s="191" cm="1">
        <f t="array" ref="AV65">INDEX('IES Schedule Importer'!$A$4:$S$1048576,MATCH($AG49,'IES Schedule Importer'!$A$4:$A$1048576,0)+1+AV$5,8)/100</f>
        <v>0.5</v>
      </c>
      <c r="AW65" s="191" cm="1">
        <f t="array" ref="AW65">INDEX('IES Schedule Importer'!$A$4:$S$1048576,MATCH($AG49,'IES Schedule Importer'!$A$4:$A$1048576,0)+1+AW$5,8)/100</f>
        <v>0.5</v>
      </c>
      <c r="AX65" s="191" cm="1">
        <f t="array" ref="AX65">INDEX('IES Schedule Importer'!$A$4:$S$1048576,MATCH($AG49,'IES Schedule Importer'!$A$4:$A$1048576,0)+1+AX$5,8)/100</f>
        <v>0.4</v>
      </c>
      <c r="AY65" s="191" cm="1">
        <f t="array" ref="AY65">INDEX('IES Schedule Importer'!$A$4:$S$1048576,MATCH($AG49,'IES Schedule Importer'!$A$4:$A$1048576,0)+1+AY$5,8)/100</f>
        <v>0.3</v>
      </c>
      <c r="AZ65" s="191" cm="1">
        <f t="array" ref="AZ65">INDEX('IES Schedule Importer'!$A$4:$S$1048576,MATCH($AG49,'IES Schedule Importer'!$A$4:$A$1048576,0)+1+AZ$5,8)/100</f>
        <v>0.3</v>
      </c>
      <c r="BA65" s="191" cm="1">
        <f t="array" ref="BA65">INDEX('IES Schedule Importer'!$A$4:$S$1048576,MATCH($AG49,'IES Schedule Importer'!$A$4:$A$1048576,0)+1+BA$5,8)/100</f>
        <v>0.2</v>
      </c>
      <c r="BB65" s="191" cm="1">
        <f t="array" ref="BB65">INDEX('IES Schedule Importer'!$A$4:$S$1048576,MATCH($AG49,'IES Schedule Importer'!$A$4:$A$1048576,0)+1+BB$5,8)/100</f>
        <v>0.2</v>
      </c>
      <c r="BC65" s="191" cm="1">
        <f t="array" ref="BC65">INDEX('IES Schedule Importer'!$A$4:$S$1048576,MATCH($AG49,'IES Schedule Importer'!$A$4:$A$1048576,0)+1+BC$5,8)/100</f>
        <v>0.2</v>
      </c>
      <c r="BD65" s="191" cm="1">
        <f t="array" ref="BD65">INDEX('IES Schedule Importer'!$A$4:$S$1048576,MATCH($AG49,'IES Schedule Importer'!$A$4:$A$1048576,0)+1+BD$5,8)/100</f>
        <v>0.2</v>
      </c>
    </row>
    <row r="66" spans="1:57" x14ac:dyDescent="0.25">
      <c r="C66" t="s">
        <v>1026</v>
      </c>
      <c r="D66" s="191" cm="1">
        <f t="array" ref="D66">INDEX('IES Schedule Importer'!$A$4:$S$1048576,MATCH($D49,'IES Schedule Importer'!$A$4:$A$1048576,0)+1+D$5,6)/100</f>
        <v>0.05</v>
      </c>
      <c r="E66" s="191" cm="1">
        <f t="array" ref="E66">INDEX('IES Schedule Importer'!$A$4:$S$1048576,MATCH($D49,'IES Schedule Importer'!$A$4:$A$1048576,0)+1+E$5,6)/100</f>
        <v>0.05</v>
      </c>
      <c r="F66" s="191" cm="1">
        <f t="array" ref="F66">INDEX('IES Schedule Importer'!$A$4:$S$1048576,MATCH($D49,'IES Schedule Importer'!$A$4:$A$1048576,0)+1+F$5,6)/100</f>
        <v>0.05</v>
      </c>
      <c r="G66" s="191" cm="1">
        <f t="array" ref="G66">INDEX('IES Schedule Importer'!$A$4:$S$1048576,MATCH($D49,'IES Schedule Importer'!$A$4:$A$1048576,0)+1+G$5,6)/100</f>
        <v>0.05</v>
      </c>
      <c r="H66" s="191" cm="1">
        <f t="array" ref="H66">INDEX('IES Schedule Importer'!$A$4:$S$1048576,MATCH($D49,'IES Schedule Importer'!$A$4:$A$1048576,0)+1+H$5,6)/100</f>
        <v>0.05</v>
      </c>
      <c r="I66" s="191" cm="1">
        <f t="array" ref="I66">INDEX('IES Schedule Importer'!$A$4:$S$1048576,MATCH($D49,'IES Schedule Importer'!$A$4:$A$1048576,0)+1+I$5,6)/100</f>
        <v>0.05</v>
      </c>
      <c r="J66" s="191" cm="1">
        <f t="array" ref="J66">INDEX('IES Schedule Importer'!$A$4:$S$1048576,MATCH($D49,'IES Schedule Importer'!$A$4:$A$1048576,0)+1+J$5,6)/100</f>
        <v>0.05</v>
      </c>
      <c r="K66" s="191" cm="1">
        <f t="array" ref="K66">INDEX('IES Schedule Importer'!$A$4:$S$1048576,MATCH($D49,'IES Schedule Importer'!$A$4:$A$1048576,0)+1+K$5,6)/100</f>
        <v>0.1</v>
      </c>
      <c r="L66" s="191" cm="1">
        <f t="array" ref="L66">INDEX('IES Schedule Importer'!$A$4:$S$1048576,MATCH($D49,'IES Schedule Importer'!$A$4:$A$1048576,0)+1+L$5,6)/100</f>
        <v>0.1</v>
      </c>
      <c r="M66" s="191" cm="1">
        <f t="array" ref="M66">INDEX('IES Schedule Importer'!$A$4:$S$1048576,MATCH($D49,'IES Schedule Importer'!$A$4:$A$1048576,0)+1+M$5,6)/100</f>
        <v>0.3</v>
      </c>
      <c r="N66" s="191" cm="1">
        <f t="array" ref="N66">INDEX('IES Schedule Importer'!$A$4:$S$1048576,MATCH($D49,'IES Schedule Importer'!$A$4:$A$1048576,0)+1+N$5,6)/100</f>
        <v>0.3</v>
      </c>
      <c r="O66" s="191" cm="1">
        <f t="array" ref="O66">INDEX('IES Schedule Importer'!$A$4:$S$1048576,MATCH($D49,'IES Schedule Importer'!$A$4:$A$1048576,0)+1+O$5,6)/100</f>
        <v>0.3</v>
      </c>
      <c r="P66" s="191" cm="1">
        <f t="array" ref="P66">INDEX('IES Schedule Importer'!$A$4:$S$1048576,MATCH($D49,'IES Schedule Importer'!$A$4:$A$1048576,0)+1+P$5,6)/100</f>
        <v>0.3</v>
      </c>
      <c r="Q66" s="191" cm="1">
        <f t="array" ref="Q66">INDEX('IES Schedule Importer'!$A$4:$S$1048576,MATCH($D49,'IES Schedule Importer'!$A$4:$A$1048576,0)+1+Q$5,6)/100</f>
        <v>0.1</v>
      </c>
      <c r="R66" s="191" cm="1">
        <f t="array" ref="R66">INDEX('IES Schedule Importer'!$A$4:$S$1048576,MATCH($D49,'IES Schedule Importer'!$A$4:$A$1048576,0)+1+R$5,6)/100</f>
        <v>0.1</v>
      </c>
      <c r="S66" s="191" cm="1">
        <f t="array" ref="S66">INDEX('IES Schedule Importer'!$A$4:$S$1048576,MATCH($D49,'IES Schedule Importer'!$A$4:$A$1048576,0)+1+S$5,6)/100</f>
        <v>0.1</v>
      </c>
      <c r="T66" s="191" cm="1">
        <f t="array" ref="T66">INDEX('IES Schedule Importer'!$A$4:$S$1048576,MATCH($D49,'IES Schedule Importer'!$A$4:$A$1048576,0)+1+T$5,6)/100</f>
        <v>0.1</v>
      </c>
      <c r="U66" s="191" cm="1">
        <f t="array" ref="U66">INDEX('IES Schedule Importer'!$A$4:$S$1048576,MATCH($D49,'IES Schedule Importer'!$A$4:$A$1048576,0)+1+U$5,6)/100</f>
        <v>0.1</v>
      </c>
      <c r="V66" s="191" cm="1">
        <f t="array" ref="V66">INDEX('IES Schedule Importer'!$A$4:$S$1048576,MATCH($D49,'IES Schedule Importer'!$A$4:$A$1048576,0)+1+V$5,6)/100</f>
        <v>0.05</v>
      </c>
      <c r="W66" s="191" cm="1">
        <f t="array" ref="W66">INDEX('IES Schedule Importer'!$A$4:$S$1048576,MATCH($D49,'IES Schedule Importer'!$A$4:$A$1048576,0)+1+W$5,6)/100</f>
        <v>0.05</v>
      </c>
      <c r="X66" s="191" cm="1">
        <f t="array" ref="X66">INDEX('IES Schedule Importer'!$A$4:$S$1048576,MATCH($D49,'IES Schedule Importer'!$A$4:$A$1048576,0)+1+X$5,6)/100</f>
        <v>0.05</v>
      </c>
      <c r="Y66" s="191" cm="1">
        <f t="array" ref="Y66">INDEX('IES Schedule Importer'!$A$4:$S$1048576,MATCH($D49,'IES Schedule Importer'!$A$4:$A$1048576,0)+1+Y$5,6)/100</f>
        <v>0.05</v>
      </c>
      <c r="Z66" s="191" cm="1">
        <f t="array" ref="Z66">INDEX('IES Schedule Importer'!$A$4:$S$1048576,MATCH($D49,'IES Schedule Importer'!$A$4:$A$1048576,0)+1+Z$5,6)/100</f>
        <v>0.05</v>
      </c>
      <c r="AA66" s="191" cm="1">
        <f t="array" ref="AA66">INDEX('IES Schedule Importer'!$A$4:$S$1048576,MATCH($D49,'IES Schedule Importer'!$A$4:$A$1048576,0)+1+AA$5,6)/100</f>
        <v>0.05</v>
      </c>
      <c r="AF66" t="s">
        <v>1026</v>
      </c>
      <c r="AG66" s="191" cm="1">
        <f t="array" ref="AG66">INDEX('IES Schedule Importer'!$A$4:$S$1048576,MATCH($AG49,'IES Schedule Importer'!$A$4:$A$1048576,0)+1+AG$5,9)/100</f>
        <v>0.2</v>
      </c>
      <c r="AH66" s="191" cm="1">
        <f t="array" ref="AH66">INDEX('IES Schedule Importer'!$A$4:$S$1048576,MATCH($AG49,'IES Schedule Importer'!$A$4:$A$1048576,0)+1+AH$5,9)/100</f>
        <v>0.2</v>
      </c>
      <c r="AI66" s="191" cm="1">
        <f t="array" ref="AI66">INDEX('IES Schedule Importer'!$A$4:$S$1048576,MATCH($AG49,'IES Schedule Importer'!$A$4:$A$1048576,0)+1+AI$5,9)/100</f>
        <v>0.2</v>
      </c>
      <c r="AJ66" s="191" cm="1">
        <f t="array" ref="AJ66">INDEX('IES Schedule Importer'!$A$4:$S$1048576,MATCH($AG49,'IES Schedule Importer'!$A$4:$A$1048576,0)+1+AJ$5,9)/100</f>
        <v>0.2</v>
      </c>
      <c r="AK66" s="191" cm="1">
        <f t="array" ref="AK66">INDEX('IES Schedule Importer'!$A$4:$S$1048576,MATCH($AG49,'IES Schedule Importer'!$A$4:$A$1048576,0)+1+AK$5,9)/100</f>
        <v>0.2</v>
      </c>
      <c r="AL66" s="191" cm="1">
        <f t="array" ref="AL66">INDEX('IES Schedule Importer'!$A$4:$S$1048576,MATCH($AG49,'IES Schedule Importer'!$A$4:$A$1048576,0)+1+AL$5,9)/100</f>
        <v>0.2</v>
      </c>
      <c r="AM66" s="191" cm="1">
        <f t="array" ref="AM66">INDEX('IES Schedule Importer'!$A$4:$S$1048576,MATCH($AG49,'IES Schedule Importer'!$A$4:$A$1048576,0)+1+AM$5,9)/100</f>
        <v>0.3</v>
      </c>
      <c r="AN66" s="191" cm="1">
        <f t="array" ref="AN66">INDEX('IES Schedule Importer'!$A$4:$S$1048576,MATCH($AG49,'IES Schedule Importer'!$A$4:$A$1048576,0)+1+AN$5,9)/100</f>
        <v>0.3</v>
      </c>
      <c r="AO66" s="191" cm="1">
        <f t="array" ref="AO66">INDEX('IES Schedule Importer'!$A$4:$S$1048576,MATCH($AG49,'IES Schedule Importer'!$A$4:$A$1048576,0)+1+AO$5,9)/100</f>
        <v>0.4</v>
      </c>
      <c r="AP66" s="191" cm="1">
        <f t="array" ref="AP66">INDEX('IES Schedule Importer'!$A$4:$S$1048576,MATCH($AG49,'IES Schedule Importer'!$A$4:$A$1048576,0)+1+AP$5,9)/100</f>
        <v>0.4</v>
      </c>
      <c r="AQ66" s="191" cm="1">
        <f t="array" ref="AQ66">INDEX('IES Schedule Importer'!$A$4:$S$1048576,MATCH($AG49,'IES Schedule Importer'!$A$4:$A$1048576,0)+1+AQ$5,9)/100</f>
        <v>0.4</v>
      </c>
      <c r="AR66" s="191" cm="1">
        <f t="array" ref="AR66">INDEX('IES Schedule Importer'!$A$4:$S$1048576,MATCH($AG49,'IES Schedule Importer'!$A$4:$A$1048576,0)+1+AR$5,9)/100</f>
        <v>0.4</v>
      </c>
      <c r="AS66" s="191" cm="1">
        <f t="array" ref="AS66">INDEX('IES Schedule Importer'!$A$4:$S$1048576,MATCH($AG49,'IES Schedule Importer'!$A$4:$A$1048576,0)+1+AS$5,9)/100</f>
        <v>0.3</v>
      </c>
      <c r="AT66" s="191" cm="1">
        <f t="array" ref="AT66">INDEX('IES Schedule Importer'!$A$4:$S$1048576,MATCH($AG49,'IES Schedule Importer'!$A$4:$A$1048576,0)+1+AT$5,9)/100</f>
        <v>0.3</v>
      </c>
      <c r="AU66" s="191" cm="1">
        <f t="array" ref="AU66">INDEX('IES Schedule Importer'!$A$4:$S$1048576,MATCH($AG49,'IES Schedule Importer'!$A$4:$A$1048576,0)+1+AU$5,9)/100</f>
        <v>0.3</v>
      </c>
      <c r="AV66" s="191" cm="1">
        <f t="array" ref="AV66">INDEX('IES Schedule Importer'!$A$4:$S$1048576,MATCH($AG49,'IES Schedule Importer'!$A$4:$A$1048576,0)+1+AV$5,9)/100</f>
        <v>0.3</v>
      </c>
      <c r="AW66" s="191" cm="1">
        <f t="array" ref="AW66">INDEX('IES Schedule Importer'!$A$4:$S$1048576,MATCH($AG49,'IES Schedule Importer'!$A$4:$A$1048576,0)+1+AW$5,9)/100</f>
        <v>0.3</v>
      </c>
      <c r="AX66" s="191" cm="1">
        <f t="array" ref="AX66">INDEX('IES Schedule Importer'!$A$4:$S$1048576,MATCH($AG49,'IES Schedule Importer'!$A$4:$A$1048576,0)+1+AX$5,9)/100</f>
        <v>0.2</v>
      </c>
      <c r="AY66" s="191" cm="1">
        <f t="array" ref="AY66">INDEX('IES Schedule Importer'!$A$4:$S$1048576,MATCH($AG49,'IES Schedule Importer'!$A$4:$A$1048576,0)+1+AY$5,9)/100</f>
        <v>0.2</v>
      </c>
      <c r="AZ66" s="191" cm="1">
        <f t="array" ref="AZ66">INDEX('IES Schedule Importer'!$A$4:$S$1048576,MATCH($AG49,'IES Schedule Importer'!$A$4:$A$1048576,0)+1+AZ$5,9)/100</f>
        <v>0.2</v>
      </c>
      <c r="BA66" s="191" cm="1">
        <f t="array" ref="BA66">INDEX('IES Schedule Importer'!$A$4:$S$1048576,MATCH($AG49,'IES Schedule Importer'!$A$4:$A$1048576,0)+1+BA$5,9)/100</f>
        <v>0.2</v>
      </c>
      <c r="BB66" s="191" cm="1">
        <f t="array" ref="BB66">INDEX('IES Schedule Importer'!$A$4:$S$1048576,MATCH($AG49,'IES Schedule Importer'!$A$4:$A$1048576,0)+1+BB$5,9)/100</f>
        <v>0.2</v>
      </c>
      <c r="BC66" s="191" cm="1">
        <f t="array" ref="BC66">INDEX('IES Schedule Importer'!$A$4:$S$1048576,MATCH($AG49,'IES Schedule Importer'!$A$4:$A$1048576,0)+1+BC$5,9)/100</f>
        <v>0.2</v>
      </c>
      <c r="BD66" s="191" cm="1">
        <f t="array" ref="BD66">INDEX('IES Schedule Importer'!$A$4:$S$1048576,MATCH($AG49,'IES Schedule Importer'!$A$4:$A$1048576,0)+1+BD$5,9)/100</f>
        <v>0.2</v>
      </c>
    </row>
    <row r="67" spans="1:57" x14ac:dyDescent="0.25">
      <c r="C67" t="s">
        <v>1027</v>
      </c>
      <c r="D67" s="191" cm="1">
        <f t="array" ref="D67">INDEX('IES Schedule Importer'!$A$4:$S$1048576,MATCH($D49,'IES Schedule Importer'!$A$4:$A$1048576,0)+1+D$5,7)/100</f>
        <v>0.05</v>
      </c>
      <c r="E67" s="191" cm="1">
        <f t="array" ref="E67">INDEX('IES Schedule Importer'!$A$4:$S$1048576,MATCH($D49,'IES Schedule Importer'!$A$4:$A$1048576,0)+1+E$5,7)/100</f>
        <v>0.05</v>
      </c>
      <c r="F67" s="191" cm="1">
        <f t="array" ref="F67">INDEX('IES Schedule Importer'!$A$4:$S$1048576,MATCH($D49,'IES Schedule Importer'!$A$4:$A$1048576,0)+1+F$5,7)/100</f>
        <v>0.05</v>
      </c>
      <c r="G67" s="191" cm="1">
        <f t="array" ref="G67">INDEX('IES Schedule Importer'!$A$4:$S$1048576,MATCH($D49,'IES Schedule Importer'!$A$4:$A$1048576,0)+1+G$5,7)/100</f>
        <v>0.05</v>
      </c>
      <c r="H67" s="191" cm="1">
        <f t="array" ref="H67">INDEX('IES Schedule Importer'!$A$4:$S$1048576,MATCH($D49,'IES Schedule Importer'!$A$4:$A$1048576,0)+1+H$5,7)/100</f>
        <v>0.05</v>
      </c>
      <c r="I67" s="191" cm="1">
        <f t="array" ref="I67">INDEX('IES Schedule Importer'!$A$4:$S$1048576,MATCH($D49,'IES Schedule Importer'!$A$4:$A$1048576,0)+1+I$5,7)/100</f>
        <v>0.05</v>
      </c>
      <c r="J67" s="191" cm="1">
        <f t="array" ref="J67">INDEX('IES Schedule Importer'!$A$4:$S$1048576,MATCH($D49,'IES Schedule Importer'!$A$4:$A$1048576,0)+1+J$5,7)/100</f>
        <v>0.05</v>
      </c>
      <c r="K67" s="191" cm="1">
        <f t="array" ref="K67">INDEX('IES Schedule Importer'!$A$4:$S$1048576,MATCH($D49,'IES Schedule Importer'!$A$4:$A$1048576,0)+1+K$5,7)/100</f>
        <v>0.1</v>
      </c>
      <c r="L67" s="191" cm="1">
        <f t="array" ref="L67">INDEX('IES Schedule Importer'!$A$4:$S$1048576,MATCH($D49,'IES Schedule Importer'!$A$4:$A$1048576,0)+1+L$5,7)/100</f>
        <v>0.1</v>
      </c>
      <c r="M67" s="191" cm="1">
        <f t="array" ref="M67">INDEX('IES Schedule Importer'!$A$4:$S$1048576,MATCH($D49,'IES Schedule Importer'!$A$4:$A$1048576,0)+1+M$5,7)/100</f>
        <v>0.3</v>
      </c>
      <c r="N67" s="191" cm="1">
        <f t="array" ref="N67">INDEX('IES Schedule Importer'!$A$4:$S$1048576,MATCH($D49,'IES Schedule Importer'!$A$4:$A$1048576,0)+1+N$5,7)/100</f>
        <v>0.3</v>
      </c>
      <c r="O67" s="191" cm="1">
        <f t="array" ref="O67">INDEX('IES Schedule Importer'!$A$4:$S$1048576,MATCH($D49,'IES Schedule Importer'!$A$4:$A$1048576,0)+1+O$5,7)/100</f>
        <v>0.3</v>
      </c>
      <c r="P67" s="191" cm="1">
        <f t="array" ref="P67">INDEX('IES Schedule Importer'!$A$4:$S$1048576,MATCH($D49,'IES Schedule Importer'!$A$4:$A$1048576,0)+1+P$5,7)/100</f>
        <v>0.3</v>
      </c>
      <c r="Q67" s="191" cm="1">
        <f t="array" ref="Q67">INDEX('IES Schedule Importer'!$A$4:$S$1048576,MATCH($D49,'IES Schedule Importer'!$A$4:$A$1048576,0)+1+Q$5,7)/100</f>
        <v>0.1</v>
      </c>
      <c r="R67" s="191" cm="1">
        <f t="array" ref="R67">INDEX('IES Schedule Importer'!$A$4:$S$1048576,MATCH($D49,'IES Schedule Importer'!$A$4:$A$1048576,0)+1+R$5,7)/100</f>
        <v>0.1</v>
      </c>
      <c r="S67" s="191" cm="1">
        <f t="array" ref="S67">INDEX('IES Schedule Importer'!$A$4:$S$1048576,MATCH($D49,'IES Schedule Importer'!$A$4:$A$1048576,0)+1+S$5,7)/100</f>
        <v>0.1</v>
      </c>
      <c r="T67" s="191" cm="1">
        <f t="array" ref="T67">INDEX('IES Schedule Importer'!$A$4:$S$1048576,MATCH($D49,'IES Schedule Importer'!$A$4:$A$1048576,0)+1+T$5,7)/100</f>
        <v>0.1</v>
      </c>
      <c r="U67" s="191" cm="1">
        <f t="array" ref="U67">INDEX('IES Schedule Importer'!$A$4:$S$1048576,MATCH($D49,'IES Schedule Importer'!$A$4:$A$1048576,0)+1+U$5,7)/100</f>
        <v>0.1</v>
      </c>
      <c r="V67" s="191" cm="1">
        <f t="array" ref="V67">INDEX('IES Schedule Importer'!$A$4:$S$1048576,MATCH($D49,'IES Schedule Importer'!$A$4:$A$1048576,0)+1+V$5,7)/100</f>
        <v>0.05</v>
      </c>
      <c r="W67" s="191" cm="1">
        <f t="array" ref="W67">INDEX('IES Schedule Importer'!$A$4:$S$1048576,MATCH($D49,'IES Schedule Importer'!$A$4:$A$1048576,0)+1+W$5,7)/100</f>
        <v>0.05</v>
      </c>
      <c r="X67" s="191" cm="1">
        <f t="array" ref="X67">INDEX('IES Schedule Importer'!$A$4:$S$1048576,MATCH($D49,'IES Schedule Importer'!$A$4:$A$1048576,0)+1+X$5,7)/100</f>
        <v>0.05</v>
      </c>
      <c r="Y67" s="191" cm="1">
        <f t="array" ref="Y67">INDEX('IES Schedule Importer'!$A$4:$S$1048576,MATCH($D49,'IES Schedule Importer'!$A$4:$A$1048576,0)+1+Y$5,7)/100</f>
        <v>0.05</v>
      </c>
      <c r="Z67" s="191" cm="1">
        <f t="array" ref="Z67">INDEX('IES Schedule Importer'!$A$4:$S$1048576,MATCH($D49,'IES Schedule Importer'!$A$4:$A$1048576,0)+1+Z$5,7)/100</f>
        <v>0.05</v>
      </c>
      <c r="AA67" s="191" cm="1">
        <f t="array" ref="AA67">INDEX('IES Schedule Importer'!$A$4:$S$1048576,MATCH($D49,'IES Schedule Importer'!$A$4:$A$1048576,0)+1+AA$5,7)/100</f>
        <v>0.05</v>
      </c>
      <c r="AF67" t="s">
        <v>1027</v>
      </c>
      <c r="AG67" s="191" cm="1">
        <f t="array" ref="AG67">INDEX('IES Schedule Importer'!$A$4:$S$1048576,MATCH($AG49,'IES Schedule Importer'!$A$4:$A$1048576,0)+1+AG$5,10)/100</f>
        <v>0.2</v>
      </c>
      <c r="AH67" s="191" cm="1">
        <f t="array" ref="AH67">INDEX('IES Schedule Importer'!$A$4:$S$1048576,MATCH($AG49,'IES Schedule Importer'!$A$4:$A$1048576,0)+1+AH$5,10)/100</f>
        <v>0.2</v>
      </c>
      <c r="AI67" s="191" cm="1">
        <f t="array" ref="AI67">INDEX('IES Schedule Importer'!$A$4:$S$1048576,MATCH($AG49,'IES Schedule Importer'!$A$4:$A$1048576,0)+1+AI$5,10)/100</f>
        <v>0.2</v>
      </c>
      <c r="AJ67" s="191" cm="1">
        <f t="array" ref="AJ67">INDEX('IES Schedule Importer'!$A$4:$S$1048576,MATCH($AG49,'IES Schedule Importer'!$A$4:$A$1048576,0)+1+AJ$5,10)/100</f>
        <v>0.2</v>
      </c>
      <c r="AK67" s="191" cm="1">
        <f t="array" ref="AK67">INDEX('IES Schedule Importer'!$A$4:$S$1048576,MATCH($AG49,'IES Schedule Importer'!$A$4:$A$1048576,0)+1+AK$5,10)/100</f>
        <v>0.2</v>
      </c>
      <c r="AL67" s="191" cm="1">
        <f t="array" ref="AL67">INDEX('IES Schedule Importer'!$A$4:$S$1048576,MATCH($AG49,'IES Schedule Importer'!$A$4:$A$1048576,0)+1+AL$5,10)/100</f>
        <v>0.2</v>
      </c>
      <c r="AM67" s="191" cm="1">
        <f t="array" ref="AM67">INDEX('IES Schedule Importer'!$A$4:$S$1048576,MATCH($AG49,'IES Schedule Importer'!$A$4:$A$1048576,0)+1+AM$5,10)/100</f>
        <v>0.3</v>
      </c>
      <c r="AN67" s="191" cm="1">
        <f t="array" ref="AN67">INDEX('IES Schedule Importer'!$A$4:$S$1048576,MATCH($AG49,'IES Schedule Importer'!$A$4:$A$1048576,0)+1+AN$5,10)/100</f>
        <v>0.3</v>
      </c>
      <c r="AO67" s="191" cm="1">
        <f t="array" ref="AO67">INDEX('IES Schedule Importer'!$A$4:$S$1048576,MATCH($AG49,'IES Schedule Importer'!$A$4:$A$1048576,0)+1+AO$5,10)/100</f>
        <v>0.4</v>
      </c>
      <c r="AP67" s="191" cm="1">
        <f t="array" ref="AP67">INDEX('IES Schedule Importer'!$A$4:$S$1048576,MATCH($AG49,'IES Schedule Importer'!$A$4:$A$1048576,0)+1+AP$5,10)/100</f>
        <v>0.4</v>
      </c>
      <c r="AQ67" s="191" cm="1">
        <f t="array" ref="AQ67">INDEX('IES Schedule Importer'!$A$4:$S$1048576,MATCH($AG49,'IES Schedule Importer'!$A$4:$A$1048576,0)+1+AQ$5,10)/100</f>
        <v>0.4</v>
      </c>
      <c r="AR67" s="191" cm="1">
        <f t="array" ref="AR67">INDEX('IES Schedule Importer'!$A$4:$S$1048576,MATCH($AG49,'IES Schedule Importer'!$A$4:$A$1048576,0)+1+AR$5,10)/100</f>
        <v>0.4</v>
      </c>
      <c r="AS67" s="191" cm="1">
        <f t="array" ref="AS67">INDEX('IES Schedule Importer'!$A$4:$S$1048576,MATCH($AG49,'IES Schedule Importer'!$A$4:$A$1048576,0)+1+AS$5,10)/100</f>
        <v>0.3</v>
      </c>
      <c r="AT67" s="191" cm="1">
        <f t="array" ref="AT67">INDEX('IES Schedule Importer'!$A$4:$S$1048576,MATCH($AG49,'IES Schedule Importer'!$A$4:$A$1048576,0)+1+AT$5,10)/100</f>
        <v>0.3</v>
      </c>
      <c r="AU67" s="191" cm="1">
        <f t="array" ref="AU67">INDEX('IES Schedule Importer'!$A$4:$S$1048576,MATCH($AG49,'IES Schedule Importer'!$A$4:$A$1048576,0)+1+AU$5,10)/100</f>
        <v>0.3</v>
      </c>
      <c r="AV67" s="191" cm="1">
        <f t="array" ref="AV67">INDEX('IES Schedule Importer'!$A$4:$S$1048576,MATCH($AG49,'IES Schedule Importer'!$A$4:$A$1048576,0)+1+AV$5,10)/100</f>
        <v>0.3</v>
      </c>
      <c r="AW67" s="191" cm="1">
        <f t="array" ref="AW67">INDEX('IES Schedule Importer'!$A$4:$S$1048576,MATCH($AG49,'IES Schedule Importer'!$A$4:$A$1048576,0)+1+AW$5,10)/100</f>
        <v>0.3</v>
      </c>
      <c r="AX67" s="191" cm="1">
        <f t="array" ref="AX67">INDEX('IES Schedule Importer'!$A$4:$S$1048576,MATCH($AG49,'IES Schedule Importer'!$A$4:$A$1048576,0)+1+AX$5,10)/100</f>
        <v>0.2</v>
      </c>
      <c r="AY67" s="191" cm="1">
        <f t="array" ref="AY67">INDEX('IES Schedule Importer'!$A$4:$S$1048576,MATCH($AG49,'IES Schedule Importer'!$A$4:$A$1048576,0)+1+AY$5,10)/100</f>
        <v>0.2</v>
      </c>
      <c r="AZ67" s="191" cm="1">
        <f t="array" ref="AZ67">INDEX('IES Schedule Importer'!$A$4:$S$1048576,MATCH($AG49,'IES Schedule Importer'!$A$4:$A$1048576,0)+1+AZ$5,10)/100</f>
        <v>0.2</v>
      </c>
      <c r="BA67" s="191" cm="1">
        <f t="array" ref="BA67">INDEX('IES Schedule Importer'!$A$4:$S$1048576,MATCH($AG49,'IES Schedule Importer'!$A$4:$A$1048576,0)+1+BA$5,10)/100</f>
        <v>0.2</v>
      </c>
      <c r="BB67" s="191" cm="1">
        <f t="array" ref="BB67">INDEX('IES Schedule Importer'!$A$4:$S$1048576,MATCH($AG49,'IES Schedule Importer'!$A$4:$A$1048576,0)+1+BB$5,10)/100</f>
        <v>0.2</v>
      </c>
      <c r="BC67" s="191" cm="1">
        <f t="array" ref="BC67">INDEX('IES Schedule Importer'!$A$4:$S$1048576,MATCH($AG49,'IES Schedule Importer'!$A$4:$A$1048576,0)+1+BC$5,10)/100</f>
        <v>0.2</v>
      </c>
      <c r="BD67" s="191" cm="1">
        <f t="array" ref="BD67">INDEX('IES Schedule Importer'!$A$4:$S$1048576,MATCH($AG49,'IES Schedule Importer'!$A$4:$A$1048576,0)+1+BD$5,10)/100</f>
        <v>0.2</v>
      </c>
    </row>
    <row r="69" spans="1:57" x14ac:dyDescent="0.25">
      <c r="A69" s="192"/>
      <c r="B69" s="192"/>
      <c r="C69" s="192"/>
      <c r="D69" s="192"/>
      <c r="E69" s="192"/>
      <c r="F69" s="192"/>
      <c r="G69" s="192"/>
      <c r="H69" s="192"/>
      <c r="I69" s="192"/>
      <c r="J69" s="192"/>
      <c r="K69" s="192"/>
      <c r="L69" s="192"/>
      <c r="M69" s="192"/>
      <c r="N69" s="192"/>
      <c r="O69" s="192"/>
      <c r="P69" s="192"/>
      <c r="Q69" s="192"/>
      <c r="R69" s="192"/>
      <c r="S69" s="192"/>
      <c r="T69" s="192"/>
      <c r="U69" s="192"/>
      <c r="V69" s="192"/>
      <c r="W69" s="192"/>
      <c r="X69" s="192"/>
      <c r="Y69" s="192"/>
      <c r="Z69" s="192"/>
      <c r="AA69" s="192"/>
      <c r="AB69" s="192"/>
      <c r="AC69" s="192"/>
      <c r="AD69" s="192"/>
      <c r="AE69" s="192"/>
      <c r="AF69" s="192"/>
      <c r="AG69" s="192"/>
      <c r="AH69" s="192"/>
      <c r="AI69" s="192"/>
      <c r="AJ69" s="192"/>
      <c r="AK69" s="192"/>
      <c r="AL69" s="192"/>
      <c r="AM69" s="192"/>
      <c r="AN69" s="192"/>
      <c r="AO69" s="192"/>
      <c r="AP69" s="192"/>
      <c r="AQ69" s="192"/>
      <c r="AR69" s="192"/>
      <c r="AS69" s="192"/>
      <c r="AT69" s="192"/>
      <c r="AU69" s="192"/>
      <c r="AV69" s="192"/>
      <c r="AW69" s="192"/>
      <c r="AX69" s="192"/>
      <c r="AY69" s="192"/>
      <c r="AZ69" s="192"/>
      <c r="BA69" s="192"/>
      <c r="BB69" s="192"/>
      <c r="BC69" s="192"/>
      <c r="BD69" s="192"/>
      <c r="BE69" s="192"/>
    </row>
    <row r="70" spans="1:57" ht="15.75" x14ac:dyDescent="0.25">
      <c r="D70" s="764"/>
      <c r="E70" s="764"/>
      <c r="F70" s="764"/>
      <c r="G70" s="764"/>
      <c r="H70" s="764"/>
      <c r="I70" s="764"/>
      <c r="J70" s="764"/>
      <c r="K70" s="764"/>
      <c r="L70" s="764"/>
      <c r="M70" s="764"/>
      <c r="AG70" s="767">
        <f>D70</f>
        <v>0</v>
      </c>
      <c r="AH70" s="767"/>
      <c r="AI70" s="767"/>
      <c r="AJ70" s="767"/>
      <c r="AK70" s="767"/>
      <c r="AL70" s="767"/>
      <c r="AM70" s="767"/>
      <c r="AN70" s="767"/>
      <c r="AO70" s="767"/>
      <c r="AP70" s="767"/>
    </row>
    <row r="86" spans="1:57" x14ac:dyDescent="0.25">
      <c r="C86" t="s">
        <v>1025</v>
      </c>
      <c r="D86" s="191" t="e" cm="1">
        <f t="array" ref="D86">INDEX('IES Schedule Importer'!$A$4:$S$1048576,MATCH($D70,'IES Schedule Importer'!$A$4:$A$1048576,0)+1+D$5,5)/100</f>
        <v>#N/A</v>
      </c>
      <c r="E86" s="191" t="e" cm="1">
        <f t="array" ref="E86">INDEX('IES Schedule Importer'!$A$4:$S$1048576,MATCH($D70,'IES Schedule Importer'!$A$4:$A$1048576,0)+1+E$5,5)/100</f>
        <v>#N/A</v>
      </c>
      <c r="F86" s="191" t="e" cm="1">
        <f t="array" ref="F86">INDEX('IES Schedule Importer'!$A$4:$S$1048576,MATCH($D70,'IES Schedule Importer'!$A$4:$A$1048576,0)+1+F$5,5)/100</f>
        <v>#N/A</v>
      </c>
      <c r="G86" s="191" t="e" cm="1">
        <f t="array" ref="G86">INDEX('IES Schedule Importer'!$A$4:$S$1048576,MATCH($D70,'IES Schedule Importer'!$A$4:$A$1048576,0)+1+G$5,5)/100</f>
        <v>#N/A</v>
      </c>
      <c r="H86" s="191" t="e" cm="1">
        <f t="array" ref="H86">INDEX('IES Schedule Importer'!$A$4:$S$1048576,MATCH($D70,'IES Schedule Importer'!$A$4:$A$1048576,0)+1+H$5,5)/100</f>
        <v>#N/A</v>
      </c>
      <c r="I86" s="191" t="e" cm="1">
        <f t="array" ref="I86">INDEX('IES Schedule Importer'!$A$4:$S$1048576,MATCH($D70,'IES Schedule Importer'!$A$4:$A$1048576,0)+1+I$5,5)/100</f>
        <v>#N/A</v>
      </c>
      <c r="J86" s="191" t="e" cm="1">
        <f t="array" ref="J86">INDEX('IES Schedule Importer'!$A$4:$S$1048576,MATCH($D70,'IES Schedule Importer'!$A$4:$A$1048576,0)+1+J$5,5)/100</f>
        <v>#N/A</v>
      </c>
      <c r="K86" s="191" t="e" cm="1">
        <f t="array" ref="K86">INDEX('IES Schedule Importer'!$A$4:$S$1048576,MATCH($D70,'IES Schedule Importer'!$A$4:$A$1048576,0)+1+K$5,5)/100</f>
        <v>#N/A</v>
      </c>
      <c r="L86" s="191" t="e" cm="1">
        <f t="array" ref="L86">INDEX('IES Schedule Importer'!$A$4:$S$1048576,MATCH($D70,'IES Schedule Importer'!$A$4:$A$1048576,0)+1+L$5,5)/100</f>
        <v>#N/A</v>
      </c>
      <c r="M86" s="191" t="e" cm="1">
        <f t="array" ref="M86">INDEX('IES Schedule Importer'!$A$4:$S$1048576,MATCH($D70,'IES Schedule Importer'!$A$4:$A$1048576,0)+1+M$5,5)/100</f>
        <v>#N/A</v>
      </c>
      <c r="N86" s="191" t="e" cm="1">
        <f t="array" ref="N86">INDEX('IES Schedule Importer'!$A$4:$S$1048576,MATCH($D70,'IES Schedule Importer'!$A$4:$A$1048576,0)+1+N$5,5)/100</f>
        <v>#N/A</v>
      </c>
      <c r="O86" s="191" t="e" cm="1">
        <f t="array" ref="O86">INDEX('IES Schedule Importer'!$A$4:$S$1048576,MATCH($D70,'IES Schedule Importer'!$A$4:$A$1048576,0)+1+O$5,5)/100</f>
        <v>#N/A</v>
      </c>
      <c r="P86" s="191" t="e" cm="1">
        <f t="array" ref="P86">INDEX('IES Schedule Importer'!$A$4:$S$1048576,MATCH($D70,'IES Schedule Importer'!$A$4:$A$1048576,0)+1+P$5,5)/100</f>
        <v>#N/A</v>
      </c>
      <c r="Q86" s="191" t="e" cm="1">
        <f t="array" ref="Q86">INDEX('IES Schedule Importer'!$A$4:$S$1048576,MATCH($D70,'IES Schedule Importer'!$A$4:$A$1048576,0)+1+Q$5,5)/100</f>
        <v>#N/A</v>
      </c>
      <c r="R86" s="191" t="e" cm="1">
        <f t="array" ref="R86">INDEX('IES Schedule Importer'!$A$4:$S$1048576,MATCH($D70,'IES Schedule Importer'!$A$4:$A$1048576,0)+1+R$5,5)/100</f>
        <v>#N/A</v>
      </c>
      <c r="S86" s="191" t="e" cm="1">
        <f t="array" ref="S86">INDEX('IES Schedule Importer'!$A$4:$S$1048576,MATCH($D70,'IES Schedule Importer'!$A$4:$A$1048576,0)+1+S$5,5)/100</f>
        <v>#N/A</v>
      </c>
      <c r="T86" s="191" t="e" cm="1">
        <f t="array" ref="T86">INDEX('IES Schedule Importer'!$A$4:$S$1048576,MATCH($D70,'IES Schedule Importer'!$A$4:$A$1048576,0)+1+T$5,5)/100</f>
        <v>#N/A</v>
      </c>
      <c r="U86" s="191" t="e" cm="1">
        <f t="array" ref="U86">INDEX('IES Schedule Importer'!$A$4:$S$1048576,MATCH($D70,'IES Schedule Importer'!$A$4:$A$1048576,0)+1+U$5,5)/100</f>
        <v>#N/A</v>
      </c>
      <c r="V86" s="191" t="e" cm="1">
        <f t="array" ref="V86">INDEX('IES Schedule Importer'!$A$4:$S$1048576,MATCH($D70,'IES Schedule Importer'!$A$4:$A$1048576,0)+1+V$5,5)/100</f>
        <v>#N/A</v>
      </c>
      <c r="W86" s="191" t="e" cm="1">
        <f t="array" ref="W86">INDEX('IES Schedule Importer'!$A$4:$S$1048576,MATCH($D70,'IES Schedule Importer'!$A$4:$A$1048576,0)+1+W$5,5)/100</f>
        <v>#N/A</v>
      </c>
      <c r="X86" s="191" t="e" cm="1">
        <f t="array" ref="X86">INDEX('IES Schedule Importer'!$A$4:$S$1048576,MATCH($D70,'IES Schedule Importer'!$A$4:$A$1048576,0)+1+X$5,5)/100</f>
        <v>#N/A</v>
      </c>
      <c r="Y86" s="191" t="e" cm="1">
        <f t="array" ref="Y86">INDEX('IES Schedule Importer'!$A$4:$S$1048576,MATCH($D70,'IES Schedule Importer'!$A$4:$A$1048576,0)+1+Y$5,5)/100</f>
        <v>#N/A</v>
      </c>
      <c r="Z86" s="191" t="e" cm="1">
        <f t="array" ref="Z86">INDEX('IES Schedule Importer'!$A$4:$S$1048576,MATCH($D70,'IES Schedule Importer'!$A$4:$A$1048576,0)+1+Z$5,5)/100</f>
        <v>#N/A</v>
      </c>
      <c r="AA86" s="191" t="e" cm="1">
        <f t="array" ref="AA86">INDEX('IES Schedule Importer'!$A$4:$S$1048576,MATCH($D70,'IES Schedule Importer'!$A$4:$A$1048576,0)+1+AA$5,5)/100</f>
        <v>#N/A</v>
      </c>
      <c r="AF86" t="s">
        <v>1025</v>
      </c>
      <c r="AG86" s="191" t="e" cm="1">
        <f t="array" ref="AG86">INDEX('IES Schedule Importer'!$A$4:$S$1048576,MATCH($AG70,'IES Schedule Importer'!$A$4:$A$1048576,0)+1+AG$5,8)/100</f>
        <v>#N/A</v>
      </c>
      <c r="AH86" s="191" t="e" cm="1">
        <f t="array" ref="AH86">INDEX('IES Schedule Importer'!$A$4:$S$1048576,MATCH($AG70,'IES Schedule Importer'!$A$4:$A$1048576,0)+1+AH$5,8)/100</f>
        <v>#N/A</v>
      </c>
      <c r="AI86" s="191" t="e" cm="1">
        <f t="array" ref="AI86">INDEX('IES Schedule Importer'!$A$4:$S$1048576,MATCH($AG70,'IES Schedule Importer'!$A$4:$A$1048576,0)+1+AI$5,8)/100</f>
        <v>#N/A</v>
      </c>
      <c r="AJ86" s="191" t="e" cm="1">
        <f t="array" ref="AJ86">INDEX('IES Schedule Importer'!$A$4:$S$1048576,MATCH($AG70,'IES Schedule Importer'!$A$4:$A$1048576,0)+1+AJ$5,8)/100</f>
        <v>#N/A</v>
      </c>
      <c r="AK86" s="191" t="e" cm="1">
        <f t="array" ref="AK86">INDEX('IES Schedule Importer'!$A$4:$S$1048576,MATCH($AG70,'IES Schedule Importer'!$A$4:$A$1048576,0)+1+AK$5,8)/100</f>
        <v>#N/A</v>
      </c>
      <c r="AL86" s="191" t="e" cm="1">
        <f t="array" ref="AL86">INDEX('IES Schedule Importer'!$A$4:$S$1048576,MATCH($AG70,'IES Schedule Importer'!$A$4:$A$1048576,0)+1+AL$5,8)/100</f>
        <v>#N/A</v>
      </c>
      <c r="AM86" s="191" t="e" cm="1">
        <f t="array" ref="AM86">INDEX('IES Schedule Importer'!$A$4:$S$1048576,MATCH($AG70,'IES Schedule Importer'!$A$4:$A$1048576,0)+1+AM$5,8)/100</f>
        <v>#N/A</v>
      </c>
      <c r="AN86" s="191" t="e" cm="1">
        <f t="array" ref="AN86">INDEX('IES Schedule Importer'!$A$4:$S$1048576,MATCH($AG70,'IES Schedule Importer'!$A$4:$A$1048576,0)+1+AN$5,8)/100</f>
        <v>#N/A</v>
      </c>
      <c r="AO86" s="191" t="e" cm="1">
        <f t="array" ref="AO86">INDEX('IES Schedule Importer'!$A$4:$S$1048576,MATCH($AG70,'IES Schedule Importer'!$A$4:$A$1048576,0)+1+AO$5,8)/100</f>
        <v>#N/A</v>
      </c>
      <c r="AP86" s="191" t="e" cm="1">
        <f t="array" ref="AP86">INDEX('IES Schedule Importer'!$A$4:$S$1048576,MATCH($AG70,'IES Schedule Importer'!$A$4:$A$1048576,0)+1+AP$5,8)/100</f>
        <v>#N/A</v>
      </c>
      <c r="AQ86" s="191" t="e" cm="1">
        <f t="array" ref="AQ86">INDEX('IES Schedule Importer'!$A$4:$S$1048576,MATCH($AG70,'IES Schedule Importer'!$A$4:$A$1048576,0)+1+AQ$5,8)/100</f>
        <v>#N/A</v>
      </c>
      <c r="AR86" s="191" t="e" cm="1">
        <f t="array" ref="AR86">INDEX('IES Schedule Importer'!$A$4:$S$1048576,MATCH($AG70,'IES Schedule Importer'!$A$4:$A$1048576,0)+1+AR$5,8)/100</f>
        <v>#N/A</v>
      </c>
      <c r="AS86" s="191" t="e" cm="1">
        <f t="array" ref="AS86">INDEX('IES Schedule Importer'!$A$4:$S$1048576,MATCH($AG70,'IES Schedule Importer'!$A$4:$A$1048576,0)+1+AS$5,8)/100</f>
        <v>#N/A</v>
      </c>
      <c r="AT86" s="191" t="e" cm="1">
        <f t="array" ref="AT86">INDEX('IES Schedule Importer'!$A$4:$S$1048576,MATCH($AG70,'IES Schedule Importer'!$A$4:$A$1048576,0)+1+AT$5,8)/100</f>
        <v>#N/A</v>
      </c>
      <c r="AU86" s="191" t="e" cm="1">
        <f t="array" ref="AU86">INDEX('IES Schedule Importer'!$A$4:$S$1048576,MATCH($AG70,'IES Schedule Importer'!$A$4:$A$1048576,0)+1+AU$5,8)/100</f>
        <v>#N/A</v>
      </c>
      <c r="AV86" s="191" t="e" cm="1">
        <f t="array" ref="AV86">INDEX('IES Schedule Importer'!$A$4:$S$1048576,MATCH($AG70,'IES Schedule Importer'!$A$4:$A$1048576,0)+1+AV$5,8)/100</f>
        <v>#N/A</v>
      </c>
      <c r="AW86" s="191" t="e" cm="1">
        <f t="array" ref="AW86">INDEX('IES Schedule Importer'!$A$4:$S$1048576,MATCH($AG70,'IES Schedule Importer'!$A$4:$A$1048576,0)+1+AW$5,8)/100</f>
        <v>#N/A</v>
      </c>
      <c r="AX86" s="191" t="e" cm="1">
        <f t="array" ref="AX86">INDEX('IES Schedule Importer'!$A$4:$S$1048576,MATCH($AG70,'IES Schedule Importer'!$A$4:$A$1048576,0)+1+AX$5,8)/100</f>
        <v>#N/A</v>
      </c>
      <c r="AY86" s="191" t="e" cm="1">
        <f t="array" ref="AY86">INDEX('IES Schedule Importer'!$A$4:$S$1048576,MATCH($AG70,'IES Schedule Importer'!$A$4:$A$1048576,0)+1+AY$5,8)/100</f>
        <v>#N/A</v>
      </c>
      <c r="AZ86" s="191" t="e" cm="1">
        <f t="array" ref="AZ86">INDEX('IES Schedule Importer'!$A$4:$S$1048576,MATCH($AG70,'IES Schedule Importer'!$A$4:$A$1048576,0)+1+AZ$5,8)/100</f>
        <v>#N/A</v>
      </c>
      <c r="BA86" s="191" t="e" cm="1">
        <f t="array" ref="BA86">INDEX('IES Schedule Importer'!$A$4:$S$1048576,MATCH($AG70,'IES Schedule Importer'!$A$4:$A$1048576,0)+1+BA$5,8)/100</f>
        <v>#N/A</v>
      </c>
      <c r="BB86" s="191" t="e" cm="1">
        <f t="array" ref="BB86">INDEX('IES Schedule Importer'!$A$4:$S$1048576,MATCH($AG70,'IES Schedule Importer'!$A$4:$A$1048576,0)+1+BB$5,8)/100</f>
        <v>#N/A</v>
      </c>
      <c r="BC86" s="191" t="e" cm="1">
        <f t="array" ref="BC86">INDEX('IES Schedule Importer'!$A$4:$S$1048576,MATCH($AG70,'IES Schedule Importer'!$A$4:$A$1048576,0)+1+BC$5,8)/100</f>
        <v>#N/A</v>
      </c>
      <c r="BD86" s="191" t="e" cm="1">
        <f t="array" ref="BD86">INDEX('IES Schedule Importer'!$A$4:$S$1048576,MATCH($AG70,'IES Schedule Importer'!$A$4:$A$1048576,0)+1+BD$5,8)/100</f>
        <v>#N/A</v>
      </c>
    </row>
    <row r="87" spans="1:57" x14ac:dyDescent="0.25">
      <c r="C87" t="s">
        <v>1026</v>
      </c>
      <c r="D87" s="191" t="e" cm="1">
        <f t="array" ref="D87">INDEX('IES Schedule Importer'!$A$4:$S$1048576,MATCH($D70,'IES Schedule Importer'!$A$4:$A$1048576,0)+1+D$5,6)/100</f>
        <v>#N/A</v>
      </c>
      <c r="E87" s="191" t="e" cm="1">
        <f t="array" ref="E87">INDEX('IES Schedule Importer'!$A$4:$S$1048576,MATCH($D70,'IES Schedule Importer'!$A$4:$A$1048576,0)+1+E$5,6)/100</f>
        <v>#N/A</v>
      </c>
      <c r="F87" s="191" t="e" cm="1">
        <f t="array" ref="F87">INDEX('IES Schedule Importer'!$A$4:$S$1048576,MATCH($D70,'IES Schedule Importer'!$A$4:$A$1048576,0)+1+F$5,6)/100</f>
        <v>#N/A</v>
      </c>
      <c r="G87" s="191" t="e" cm="1">
        <f t="array" ref="G87">INDEX('IES Schedule Importer'!$A$4:$S$1048576,MATCH($D70,'IES Schedule Importer'!$A$4:$A$1048576,0)+1+G$5,6)/100</f>
        <v>#N/A</v>
      </c>
      <c r="H87" s="191" t="e" cm="1">
        <f t="array" ref="H87">INDEX('IES Schedule Importer'!$A$4:$S$1048576,MATCH($D70,'IES Schedule Importer'!$A$4:$A$1048576,0)+1+H$5,6)/100</f>
        <v>#N/A</v>
      </c>
      <c r="I87" s="191" t="e" cm="1">
        <f t="array" ref="I87">INDEX('IES Schedule Importer'!$A$4:$S$1048576,MATCH($D70,'IES Schedule Importer'!$A$4:$A$1048576,0)+1+I$5,6)/100</f>
        <v>#N/A</v>
      </c>
      <c r="J87" s="191" t="e" cm="1">
        <f t="array" ref="J87">INDEX('IES Schedule Importer'!$A$4:$S$1048576,MATCH($D70,'IES Schedule Importer'!$A$4:$A$1048576,0)+1+J$5,6)/100</f>
        <v>#N/A</v>
      </c>
      <c r="K87" s="191" t="e" cm="1">
        <f t="array" ref="K87">INDEX('IES Schedule Importer'!$A$4:$S$1048576,MATCH($D70,'IES Schedule Importer'!$A$4:$A$1048576,0)+1+K$5,6)/100</f>
        <v>#N/A</v>
      </c>
      <c r="L87" s="191" t="e" cm="1">
        <f t="array" ref="L87">INDEX('IES Schedule Importer'!$A$4:$S$1048576,MATCH($D70,'IES Schedule Importer'!$A$4:$A$1048576,0)+1+L$5,6)/100</f>
        <v>#N/A</v>
      </c>
      <c r="M87" s="191" t="e" cm="1">
        <f t="array" ref="M87">INDEX('IES Schedule Importer'!$A$4:$S$1048576,MATCH($D70,'IES Schedule Importer'!$A$4:$A$1048576,0)+1+M$5,6)/100</f>
        <v>#N/A</v>
      </c>
      <c r="N87" s="191" t="e" cm="1">
        <f t="array" ref="N87">INDEX('IES Schedule Importer'!$A$4:$S$1048576,MATCH($D70,'IES Schedule Importer'!$A$4:$A$1048576,0)+1+N$5,6)/100</f>
        <v>#N/A</v>
      </c>
      <c r="O87" s="191" t="e" cm="1">
        <f t="array" ref="O87">INDEX('IES Schedule Importer'!$A$4:$S$1048576,MATCH($D70,'IES Schedule Importer'!$A$4:$A$1048576,0)+1+O$5,6)/100</f>
        <v>#N/A</v>
      </c>
      <c r="P87" s="191" t="e" cm="1">
        <f t="array" ref="P87">INDEX('IES Schedule Importer'!$A$4:$S$1048576,MATCH($D70,'IES Schedule Importer'!$A$4:$A$1048576,0)+1+P$5,6)/100</f>
        <v>#N/A</v>
      </c>
      <c r="Q87" s="191" t="e" cm="1">
        <f t="array" ref="Q87">INDEX('IES Schedule Importer'!$A$4:$S$1048576,MATCH($D70,'IES Schedule Importer'!$A$4:$A$1048576,0)+1+Q$5,6)/100</f>
        <v>#N/A</v>
      </c>
      <c r="R87" s="191" t="e" cm="1">
        <f t="array" ref="R87">INDEX('IES Schedule Importer'!$A$4:$S$1048576,MATCH($D70,'IES Schedule Importer'!$A$4:$A$1048576,0)+1+R$5,6)/100</f>
        <v>#N/A</v>
      </c>
      <c r="S87" s="191" t="e" cm="1">
        <f t="array" ref="S87">INDEX('IES Schedule Importer'!$A$4:$S$1048576,MATCH($D70,'IES Schedule Importer'!$A$4:$A$1048576,0)+1+S$5,6)/100</f>
        <v>#N/A</v>
      </c>
      <c r="T87" s="191" t="e" cm="1">
        <f t="array" ref="T87">INDEX('IES Schedule Importer'!$A$4:$S$1048576,MATCH($D70,'IES Schedule Importer'!$A$4:$A$1048576,0)+1+T$5,6)/100</f>
        <v>#N/A</v>
      </c>
      <c r="U87" s="191" t="e" cm="1">
        <f t="array" ref="U87">INDEX('IES Schedule Importer'!$A$4:$S$1048576,MATCH($D70,'IES Schedule Importer'!$A$4:$A$1048576,0)+1+U$5,6)/100</f>
        <v>#N/A</v>
      </c>
      <c r="V87" s="191" t="e" cm="1">
        <f t="array" ref="V87">INDEX('IES Schedule Importer'!$A$4:$S$1048576,MATCH($D70,'IES Schedule Importer'!$A$4:$A$1048576,0)+1+V$5,6)/100</f>
        <v>#N/A</v>
      </c>
      <c r="W87" s="191" t="e" cm="1">
        <f t="array" ref="W87">INDEX('IES Schedule Importer'!$A$4:$S$1048576,MATCH($D70,'IES Schedule Importer'!$A$4:$A$1048576,0)+1+W$5,6)/100</f>
        <v>#N/A</v>
      </c>
      <c r="X87" s="191" t="e" cm="1">
        <f t="array" ref="X87">INDEX('IES Schedule Importer'!$A$4:$S$1048576,MATCH($D70,'IES Schedule Importer'!$A$4:$A$1048576,0)+1+X$5,6)/100</f>
        <v>#N/A</v>
      </c>
      <c r="Y87" s="191" t="e" cm="1">
        <f t="array" ref="Y87">INDEX('IES Schedule Importer'!$A$4:$S$1048576,MATCH($D70,'IES Schedule Importer'!$A$4:$A$1048576,0)+1+Y$5,6)/100</f>
        <v>#N/A</v>
      </c>
      <c r="Z87" s="191" t="e" cm="1">
        <f t="array" ref="Z87">INDEX('IES Schedule Importer'!$A$4:$S$1048576,MATCH($D70,'IES Schedule Importer'!$A$4:$A$1048576,0)+1+Z$5,6)/100</f>
        <v>#N/A</v>
      </c>
      <c r="AA87" s="191" t="e" cm="1">
        <f t="array" ref="AA87">INDEX('IES Schedule Importer'!$A$4:$S$1048576,MATCH($D70,'IES Schedule Importer'!$A$4:$A$1048576,0)+1+AA$5,6)/100</f>
        <v>#N/A</v>
      </c>
      <c r="AF87" t="s">
        <v>1026</v>
      </c>
      <c r="AG87" s="191" t="e" cm="1">
        <f t="array" ref="AG87">INDEX('IES Schedule Importer'!$A$4:$S$1048576,MATCH($AG70,'IES Schedule Importer'!$A$4:$A$1048576,0)+1+AG$5,9)/100</f>
        <v>#N/A</v>
      </c>
      <c r="AH87" s="191" t="e" cm="1">
        <f t="array" ref="AH87">INDEX('IES Schedule Importer'!$A$4:$S$1048576,MATCH($AG70,'IES Schedule Importer'!$A$4:$A$1048576,0)+1+AH$5,9)/100</f>
        <v>#N/A</v>
      </c>
      <c r="AI87" s="191" t="e" cm="1">
        <f t="array" ref="AI87">INDEX('IES Schedule Importer'!$A$4:$S$1048576,MATCH($AG70,'IES Schedule Importer'!$A$4:$A$1048576,0)+1+AI$5,9)/100</f>
        <v>#N/A</v>
      </c>
      <c r="AJ87" s="191" t="e" cm="1">
        <f t="array" ref="AJ87">INDEX('IES Schedule Importer'!$A$4:$S$1048576,MATCH($AG70,'IES Schedule Importer'!$A$4:$A$1048576,0)+1+AJ$5,9)/100</f>
        <v>#N/A</v>
      </c>
      <c r="AK87" s="191" t="e" cm="1">
        <f t="array" ref="AK87">INDEX('IES Schedule Importer'!$A$4:$S$1048576,MATCH($AG70,'IES Schedule Importer'!$A$4:$A$1048576,0)+1+AK$5,9)/100</f>
        <v>#N/A</v>
      </c>
      <c r="AL87" s="191" t="e" cm="1">
        <f t="array" ref="AL87">INDEX('IES Schedule Importer'!$A$4:$S$1048576,MATCH($AG70,'IES Schedule Importer'!$A$4:$A$1048576,0)+1+AL$5,9)/100</f>
        <v>#N/A</v>
      </c>
      <c r="AM87" s="191" t="e" cm="1">
        <f t="array" ref="AM87">INDEX('IES Schedule Importer'!$A$4:$S$1048576,MATCH($AG70,'IES Schedule Importer'!$A$4:$A$1048576,0)+1+AM$5,9)/100</f>
        <v>#N/A</v>
      </c>
      <c r="AN87" s="191" t="e" cm="1">
        <f t="array" ref="AN87">INDEX('IES Schedule Importer'!$A$4:$S$1048576,MATCH($AG70,'IES Schedule Importer'!$A$4:$A$1048576,0)+1+AN$5,9)/100</f>
        <v>#N/A</v>
      </c>
      <c r="AO87" s="191" t="e" cm="1">
        <f t="array" ref="AO87">INDEX('IES Schedule Importer'!$A$4:$S$1048576,MATCH($AG70,'IES Schedule Importer'!$A$4:$A$1048576,0)+1+AO$5,9)/100</f>
        <v>#N/A</v>
      </c>
      <c r="AP87" s="191" t="e" cm="1">
        <f t="array" ref="AP87">INDEX('IES Schedule Importer'!$A$4:$S$1048576,MATCH($AG70,'IES Schedule Importer'!$A$4:$A$1048576,0)+1+AP$5,9)/100</f>
        <v>#N/A</v>
      </c>
      <c r="AQ87" s="191" t="e" cm="1">
        <f t="array" ref="AQ87">INDEX('IES Schedule Importer'!$A$4:$S$1048576,MATCH($AG70,'IES Schedule Importer'!$A$4:$A$1048576,0)+1+AQ$5,9)/100</f>
        <v>#N/A</v>
      </c>
      <c r="AR87" s="191" t="e" cm="1">
        <f t="array" ref="AR87">INDEX('IES Schedule Importer'!$A$4:$S$1048576,MATCH($AG70,'IES Schedule Importer'!$A$4:$A$1048576,0)+1+AR$5,9)/100</f>
        <v>#N/A</v>
      </c>
      <c r="AS87" s="191" t="e" cm="1">
        <f t="array" ref="AS87">INDEX('IES Schedule Importer'!$A$4:$S$1048576,MATCH($AG70,'IES Schedule Importer'!$A$4:$A$1048576,0)+1+AS$5,9)/100</f>
        <v>#N/A</v>
      </c>
      <c r="AT87" s="191" t="e" cm="1">
        <f t="array" ref="AT87">INDEX('IES Schedule Importer'!$A$4:$S$1048576,MATCH($AG70,'IES Schedule Importer'!$A$4:$A$1048576,0)+1+AT$5,9)/100</f>
        <v>#N/A</v>
      </c>
      <c r="AU87" s="191" t="e" cm="1">
        <f t="array" ref="AU87">INDEX('IES Schedule Importer'!$A$4:$S$1048576,MATCH($AG70,'IES Schedule Importer'!$A$4:$A$1048576,0)+1+AU$5,9)/100</f>
        <v>#N/A</v>
      </c>
      <c r="AV87" s="191" t="e" cm="1">
        <f t="array" ref="AV87">INDEX('IES Schedule Importer'!$A$4:$S$1048576,MATCH($AG70,'IES Schedule Importer'!$A$4:$A$1048576,0)+1+AV$5,9)/100</f>
        <v>#N/A</v>
      </c>
      <c r="AW87" s="191" t="e" cm="1">
        <f t="array" ref="AW87">INDEX('IES Schedule Importer'!$A$4:$S$1048576,MATCH($AG70,'IES Schedule Importer'!$A$4:$A$1048576,0)+1+AW$5,9)/100</f>
        <v>#N/A</v>
      </c>
      <c r="AX87" s="191" t="e" cm="1">
        <f t="array" ref="AX87">INDEX('IES Schedule Importer'!$A$4:$S$1048576,MATCH($AG70,'IES Schedule Importer'!$A$4:$A$1048576,0)+1+AX$5,9)/100</f>
        <v>#N/A</v>
      </c>
      <c r="AY87" s="191" t="e" cm="1">
        <f t="array" ref="AY87">INDEX('IES Schedule Importer'!$A$4:$S$1048576,MATCH($AG70,'IES Schedule Importer'!$A$4:$A$1048576,0)+1+AY$5,9)/100</f>
        <v>#N/A</v>
      </c>
      <c r="AZ87" s="191" t="e" cm="1">
        <f t="array" ref="AZ87">INDEX('IES Schedule Importer'!$A$4:$S$1048576,MATCH($AG70,'IES Schedule Importer'!$A$4:$A$1048576,0)+1+AZ$5,9)/100</f>
        <v>#N/A</v>
      </c>
      <c r="BA87" s="191" t="e" cm="1">
        <f t="array" ref="BA87">INDEX('IES Schedule Importer'!$A$4:$S$1048576,MATCH($AG70,'IES Schedule Importer'!$A$4:$A$1048576,0)+1+BA$5,9)/100</f>
        <v>#N/A</v>
      </c>
      <c r="BB87" s="191" t="e" cm="1">
        <f t="array" ref="BB87">INDEX('IES Schedule Importer'!$A$4:$S$1048576,MATCH($AG70,'IES Schedule Importer'!$A$4:$A$1048576,0)+1+BB$5,9)/100</f>
        <v>#N/A</v>
      </c>
      <c r="BC87" s="191" t="e" cm="1">
        <f t="array" ref="BC87">INDEX('IES Schedule Importer'!$A$4:$S$1048576,MATCH($AG70,'IES Schedule Importer'!$A$4:$A$1048576,0)+1+BC$5,9)/100</f>
        <v>#N/A</v>
      </c>
      <c r="BD87" s="191" t="e" cm="1">
        <f t="array" ref="BD87">INDEX('IES Schedule Importer'!$A$4:$S$1048576,MATCH($AG70,'IES Schedule Importer'!$A$4:$A$1048576,0)+1+BD$5,9)/100</f>
        <v>#N/A</v>
      </c>
    </row>
    <row r="88" spans="1:57" x14ac:dyDescent="0.25">
      <c r="C88" t="s">
        <v>1027</v>
      </c>
      <c r="D88" s="191" t="e" cm="1">
        <f t="array" ref="D88">INDEX('IES Schedule Importer'!$A$4:$S$1048576,MATCH($D70,'IES Schedule Importer'!$A$4:$A$1048576,0)+1+D$5,7)/100</f>
        <v>#N/A</v>
      </c>
      <c r="E88" s="191" t="e" cm="1">
        <f t="array" ref="E88">INDEX('IES Schedule Importer'!$A$4:$S$1048576,MATCH($D70,'IES Schedule Importer'!$A$4:$A$1048576,0)+1+E$5,7)/100</f>
        <v>#N/A</v>
      </c>
      <c r="F88" s="191" t="e" cm="1">
        <f t="array" ref="F88">INDEX('IES Schedule Importer'!$A$4:$S$1048576,MATCH($D70,'IES Schedule Importer'!$A$4:$A$1048576,0)+1+F$5,7)/100</f>
        <v>#N/A</v>
      </c>
      <c r="G88" s="191" t="e" cm="1">
        <f t="array" ref="G88">INDEX('IES Schedule Importer'!$A$4:$S$1048576,MATCH($D70,'IES Schedule Importer'!$A$4:$A$1048576,0)+1+G$5,7)/100</f>
        <v>#N/A</v>
      </c>
      <c r="H88" s="191" t="e" cm="1">
        <f t="array" ref="H88">INDEX('IES Schedule Importer'!$A$4:$S$1048576,MATCH($D70,'IES Schedule Importer'!$A$4:$A$1048576,0)+1+H$5,7)/100</f>
        <v>#N/A</v>
      </c>
      <c r="I88" s="191" t="e" cm="1">
        <f t="array" ref="I88">INDEX('IES Schedule Importer'!$A$4:$S$1048576,MATCH($D70,'IES Schedule Importer'!$A$4:$A$1048576,0)+1+I$5,7)/100</f>
        <v>#N/A</v>
      </c>
      <c r="J88" s="191" t="e" cm="1">
        <f t="array" ref="J88">INDEX('IES Schedule Importer'!$A$4:$S$1048576,MATCH($D70,'IES Schedule Importer'!$A$4:$A$1048576,0)+1+J$5,7)/100</f>
        <v>#N/A</v>
      </c>
      <c r="K88" s="191" t="e" cm="1">
        <f t="array" ref="K88">INDEX('IES Schedule Importer'!$A$4:$S$1048576,MATCH($D70,'IES Schedule Importer'!$A$4:$A$1048576,0)+1+K$5,7)/100</f>
        <v>#N/A</v>
      </c>
      <c r="L88" s="191" t="e" cm="1">
        <f t="array" ref="L88">INDEX('IES Schedule Importer'!$A$4:$S$1048576,MATCH($D70,'IES Schedule Importer'!$A$4:$A$1048576,0)+1+L$5,7)/100</f>
        <v>#N/A</v>
      </c>
      <c r="M88" s="191" t="e" cm="1">
        <f t="array" ref="M88">INDEX('IES Schedule Importer'!$A$4:$S$1048576,MATCH($D70,'IES Schedule Importer'!$A$4:$A$1048576,0)+1+M$5,7)/100</f>
        <v>#N/A</v>
      </c>
      <c r="N88" s="191" t="e" cm="1">
        <f t="array" ref="N88">INDEX('IES Schedule Importer'!$A$4:$S$1048576,MATCH($D70,'IES Schedule Importer'!$A$4:$A$1048576,0)+1+N$5,7)/100</f>
        <v>#N/A</v>
      </c>
      <c r="O88" s="191" t="e" cm="1">
        <f t="array" ref="O88">INDEX('IES Schedule Importer'!$A$4:$S$1048576,MATCH($D70,'IES Schedule Importer'!$A$4:$A$1048576,0)+1+O$5,7)/100</f>
        <v>#N/A</v>
      </c>
      <c r="P88" s="191" t="e" cm="1">
        <f t="array" ref="P88">INDEX('IES Schedule Importer'!$A$4:$S$1048576,MATCH($D70,'IES Schedule Importer'!$A$4:$A$1048576,0)+1+P$5,7)/100</f>
        <v>#N/A</v>
      </c>
      <c r="Q88" s="191" t="e" cm="1">
        <f t="array" ref="Q88">INDEX('IES Schedule Importer'!$A$4:$S$1048576,MATCH($D70,'IES Schedule Importer'!$A$4:$A$1048576,0)+1+Q$5,7)/100</f>
        <v>#N/A</v>
      </c>
      <c r="R88" s="191" t="e" cm="1">
        <f t="array" ref="R88">INDEX('IES Schedule Importer'!$A$4:$S$1048576,MATCH($D70,'IES Schedule Importer'!$A$4:$A$1048576,0)+1+R$5,7)/100</f>
        <v>#N/A</v>
      </c>
      <c r="S88" s="191" t="e" cm="1">
        <f t="array" ref="S88">INDEX('IES Schedule Importer'!$A$4:$S$1048576,MATCH($D70,'IES Schedule Importer'!$A$4:$A$1048576,0)+1+S$5,7)/100</f>
        <v>#N/A</v>
      </c>
      <c r="T88" s="191" t="e" cm="1">
        <f t="array" ref="T88">INDEX('IES Schedule Importer'!$A$4:$S$1048576,MATCH($D70,'IES Schedule Importer'!$A$4:$A$1048576,0)+1+T$5,7)/100</f>
        <v>#N/A</v>
      </c>
      <c r="U88" s="191" t="e" cm="1">
        <f t="array" ref="U88">INDEX('IES Schedule Importer'!$A$4:$S$1048576,MATCH($D70,'IES Schedule Importer'!$A$4:$A$1048576,0)+1+U$5,7)/100</f>
        <v>#N/A</v>
      </c>
      <c r="V88" s="191" t="e" cm="1">
        <f t="array" ref="V88">INDEX('IES Schedule Importer'!$A$4:$S$1048576,MATCH($D70,'IES Schedule Importer'!$A$4:$A$1048576,0)+1+V$5,7)/100</f>
        <v>#N/A</v>
      </c>
      <c r="W88" s="191" t="e" cm="1">
        <f t="array" ref="W88">INDEX('IES Schedule Importer'!$A$4:$S$1048576,MATCH($D70,'IES Schedule Importer'!$A$4:$A$1048576,0)+1+W$5,7)/100</f>
        <v>#N/A</v>
      </c>
      <c r="X88" s="191" t="e" cm="1">
        <f t="array" ref="X88">INDEX('IES Schedule Importer'!$A$4:$S$1048576,MATCH($D70,'IES Schedule Importer'!$A$4:$A$1048576,0)+1+X$5,7)/100</f>
        <v>#N/A</v>
      </c>
      <c r="Y88" s="191" t="e" cm="1">
        <f t="array" ref="Y88">INDEX('IES Schedule Importer'!$A$4:$S$1048576,MATCH($D70,'IES Schedule Importer'!$A$4:$A$1048576,0)+1+Y$5,7)/100</f>
        <v>#N/A</v>
      </c>
      <c r="Z88" s="191" t="e" cm="1">
        <f t="array" ref="Z88">INDEX('IES Schedule Importer'!$A$4:$S$1048576,MATCH($D70,'IES Schedule Importer'!$A$4:$A$1048576,0)+1+Z$5,7)/100</f>
        <v>#N/A</v>
      </c>
      <c r="AA88" s="191" t="e" cm="1">
        <f t="array" ref="AA88">INDEX('IES Schedule Importer'!$A$4:$S$1048576,MATCH($D70,'IES Schedule Importer'!$A$4:$A$1048576,0)+1+AA$5,7)/100</f>
        <v>#N/A</v>
      </c>
      <c r="AF88" t="s">
        <v>1027</v>
      </c>
      <c r="AG88" s="191" t="e" cm="1">
        <f t="array" ref="AG88">INDEX('IES Schedule Importer'!$A$4:$S$1048576,MATCH($AG70,'IES Schedule Importer'!$A$4:$A$1048576,0)+1+AG$5,10)/100</f>
        <v>#N/A</v>
      </c>
      <c r="AH88" s="191" t="e" cm="1">
        <f t="array" ref="AH88">INDEX('IES Schedule Importer'!$A$4:$S$1048576,MATCH($AG70,'IES Schedule Importer'!$A$4:$A$1048576,0)+1+AH$5,10)/100</f>
        <v>#N/A</v>
      </c>
      <c r="AI88" s="191" t="e" cm="1">
        <f t="array" ref="AI88">INDEX('IES Schedule Importer'!$A$4:$S$1048576,MATCH($AG70,'IES Schedule Importer'!$A$4:$A$1048576,0)+1+AI$5,10)/100</f>
        <v>#N/A</v>
      </c>
      <c r="AJ88" s="191" t="e" cm="1">
        <f t="array" ref="AJ88">INDEX('IES Schedule Importer'!$A$4:$S$1048576,MATCH($AG70,'IES Schedule Importer'!$A$4:$A$1048576,0)+1+AJ$5,10)/100</f>
        <v>#N/A</v>
      </c>
      <c r="AK88" s="191" t="e" cm="1">
        <f t="array" ref="AK88">INDEX('IES Schedule Importer'!$A$4:$S$1048576,MATCH($AG70,'IES Schedule Importer'!$A$4:$A$1048576,0)+1+AK$5,10)/100</f>
        <v>#N/A</v>
      </c>
      <c r="AL88" s="191" t="e" cm="1">
        <f t="array" ref="AL88">INDEX('IES Schedule Importer'!$A$4:$S$1048576,MATCH($AG70,'IES Schedule Importer'!$A$4:$A$1048576,0)+1+AL$5,10)/100</f>
        <v>#N/A</v>
      </c>
      <c r="AM88" s="191" t="e" cm="1">
        <f t="array" ref="AM88">INDEX('IES Schedule Importer'!$A$4:$S$1048576,MATCH($AG70,'IES Schedule Importer'!$A$4:$A$1048576,0)+1+AM$5,10)/100</f>
        <v>#N/A</v>
      </c>
      <c r="AN88" s="191" t="e" cm="1">
        <f t="array" ref="AN88">INDEX('IES Schedule Importer'!$A$4:$S$1048576,MATCH($AG70,'IES Schedule Importer'!$A$4:$A$1048576,0)+1+AN$5,10)/100</f>
        <v>#N/A</v>
      </c>
      <c r="AO88" s="191" t="e" cm="1">
        <f t="array" ref="AO88">INDEX('IES Schedule Importer'!$A$4:$S$1048576,MATCH($AG70,'IES Schedule Importer'!$A$4:$A$1048576,0)+1+AO$5,10)/100</f>
        <v>#N/A</v>
      </c>
      <c r="AP88" s="191" t="e" cm="1">
        <f t="array" ref="AP88">INDEX('IES Schedule Importer'!$A$4:$S$1048576,MATCH($AG70,'IES Schedule Importer'!$A$4:$A$1048576,0)+1+AP$5,10)/100</f>
        <v>#N/A</v>
      </c>
      <c r="AQ88" s="191" t="e" cm="1">
        <f t="array" ref="AQ88">INDEX('IES Schedule Importer'!$A$4:$S$1048576,MATCH($AG70,'IES Schedule Importer'!$A$4:$A$1048576,0)+1+AQ$5,10)/100</f>
        <v>#N/A</v>
      </c>
      <c r="AR88" s="191" t="e" cm="1">
        <f t="array" ref="AR88">INDEX('IES Schedule Importer'!$A$4:$S$1048576,MATCH($AG70,'IES Schedule Importer'!$A$4:$A$1048576,0)+1+AR$5,10)/100</f>
        <v>#N/A</v>
      </c>
      <c r="AS88" s="191" t="e" cm="1">
        <f t="array" ref="AS88">INDEX('IES Schedule Importer'!$A$4:$S$1048576,MATCH($AG70,'IES Schedule Importer'!$A$4:$A$1048576,0)+1+AS$5,10)/100</f>
        <v>#N/A</v>
      </c>
      <c r="AT88" s="191" t="e" cm="1">
        <f t="array" ref="AT88">INDEX('IES Schedule Importer'!$A$4:$S$1048576,MATCH($AG70,'IES Schedule Importer'!$A$4:$A$1048576,0)+1+AT$5,10)/100</f>
        <v>#N/A</v>
      </c>
      <c r="AU88" s="191" t="e" cm="1">
        <f t="array" ref="AU88">INDEX('IES Schedule Importer'!$A$4:$S$1048576,MATCH($AG70,'IES Schedule Importer'!$A$4:$A$1048576,0)+1+AU$5,10)/100</f>
        <v>#N/A</v>
      </c>
      <c r="AV88" s="191" t="e" cm="1">
        <f t="array" ref="AV88">INDEX('IES Schedule Importer'!$A$4:$S$1048576,MATCH($AG70,'IES Schedule Importer'!$A$4:$A$1048576,0)+1+AV$5,10)/100</f>
        <v>#N/A</v>
      </c>
      <c r="AW88" s="191" t="e" cm="1">
        <f t="array" ref="AW88">INDEX('IES Schedule Importer'!$A$4:$S$1048576,MATCH($AG70,'IES Schedule Importer'!$A$4:$A$1048576,0)+1+AW$5,10)/100</f>
        <v>#N/A</v>
      </c>
      <c r="AX88" s="191" t="e" cm="1">
        <f t="array" ref="AX88">INDEX('IES Schedule Importer'!$A$4:$S$1048576,MATCH($AG70,'IES Schedule Importer'!$A$4:$A$1048576,0)+1+AX$5,10)/100</f>
        <v>#N/A</v>
      </c>
      <c r="AY88" s="191" t="e" cm="1">
        <f t="array" ref="AY88">INDEX('IES Schedule Importer'!$A$4:$S$1048576,MATCH($AG70,'IES Schedule Importer'!$A$4:$A$1048576,0)+1+AY$5,10)/100</f>
        <v>#N/A</v>
      </c>
      <c r="AZ88" s="191" t="e" cm="1">
        <f t="array" ref="AZ88">INDEX('IES Schedule Importer'!$A$4:$S$1048576,MATCH($AG70,'IES Schedule Importer'!$A$4:$A$1048576,0)+1+AZ$5,10)/100</f>
        <v>#N/A</v>
      </c>
      <c r="BA88" s="191" t="e" cm="1">
        <f t="array" ref="BA88">INDEX('IES Schedule Importer'!$A$4:$S$1048576,MATCH($AG70,'IES Schedule Importer'!$A$4:$A$1048576,0)+1+BA$5,10)/100</f>
        <v>#N/A</v>
      </c>
      <c r="BB88" s="191" t="e" cm="1">
        <f t="array" ref="BB88">INDEX('IES Schedule Importer'!$A$4:$S$1048576,MATCH($AG70,'IES Schedule Importer'!$A$4:$A$1048576,0)+1+BB$5,10)/100</f>
        <v>#N/A</v>
      </c>
      <c r="BC88" s="191" t="e" cm="1">
        <f t="array" ref="BC88">INDEX('IES Schedule Importer'!$A$4:$S$1048576,MATCH($AG70,'IES Schedule Importer'!$A$4:$A$1048576,0)+1+BC$5,10)/100</f>
        <v>#N/A</v>
      </c>
      <c r="BD88" s="191" t="e" cm="1">
        <f t="array" ref="BD88">INDEX('IES Schedule Importer'!$A$4:$S$1048576,MATCH($AG70,'IES Schedule Importer'!$A$4:$A$1048576,0)+1+BD$5,10)/100</f>
        <v>#N/A</v>
      </c>
    </row>
    <row r="90" spans="1:57" x14ac:dyDescent="0.25">
      <c r="A90" s="192"/>
      <c r="B90" s="192"/>
      <c r="C90" s="192"/>
      <c r="D90" s="192"/>
      <c r="E90" s="192"/>
      <c r="F90" s="192"/>
      <c r="G90" s="192"/>
      <c r="H90" s="192"/>
      <c r="I90" s="192"/>
      <c r="J90" s="192"/>
      <c r="K90" s="192"/>
      <c r="L90" s="192"/>
      <c r="M90" s="192"/>
      <c r="N90" s="192"/>
      <c r="O90" s="192"/>
      <c r="P90" s="192"/>
      <c r="Q90" s="192"/>
      <c r="R90" s="192"/>
      <c r="S90" s="192"/>
      <c r="T90" s="192"/>
      <c r="U90" s="192"/>
      <c r="V90" s="192"/>
      <c r="W90" s="192"/>
      <c r="X90" s="192"/>
      <c r="Y90" s="192"/>
      <c r="Z90" s="192"/>
      <c r="AA90" s="192"/>
      <c r="AB90" s="192"/>
      <c r="AC90" s="192"/>
      <c r="AD90" s="192"/>
      <c r="AE90" s="192"/>
      <c r="AF90" s="192"/>
      <c r="AG90" s="192"/>
      <c r="AH90" s="192"/>
      <c r="AI90" s="192"/>
      <c r="AJ90" s="192"/>
      <c r="AK90" s="192"/>
      <c r="AL90" s="192"/>
      <c r="AM90" s="192"/>
      <c r="AN90" s="192"/>
      <c r="AO90" s="192"/>
      <c r="AP90" s="192"/>
      <c r="AQ90" s="192"/>
      <c r="AR90" s="192"/>
      <c r="AS90" s="192"/>
      <c r="AT90" s="192"/>
      <c r="AU90" s="192"/>
      <c r="AV90" s="192"/>
      <c r="AW90" s="192"/>
      <c r="AX90" s="192"/>
      <c r="AY90" s="192"/>
      <c r="AZ90" s="192"/>
      <c r="BA90" s="192"/>
      <c r="BB90" s="192"/>
      <c r="BC90" s="192"/>
      <c r="BD90" s="192"/>
      <c r="BE90" s="192"/>
    </row>
    <row r="91" spans="1:57" ht="15.75" x14ac:dyDescent="0.25">
      <c r="D91" s="764"/>
      <c r="E91" s="764"/>
      <c r="F91" s="764"/>
      <c r="G91" s="764"/>
      <c r="H91" s="764"/>
      <c r="I91" s="764"/>
      <c r="J91" s="764"/>
      <c r="K91" s="764"/>
      <c r="L91" s="764"/>
      <c r="M91" s="764"/>
      <c r="AG91" s="767">
        <f>D91</f>
        <v>0</v>
      </c>
      <c r="AH91" s="767"/>
      <c r="AI91" s="767"/>
      <c r="AJ91" s="767"/>
      <c r="AK91" s="767"/>
      <c r="AL91" s="767"/>
      <c r="AM91" s="767"/>
      <c r="AN91" s="767"/>
      <c r="AO91" s="767"/>
      <c r="AP91" s="767"/>
    </row>
    <row r="107" spans="1:57" x14ac:dyDescent="0.25">
      <c r="C107" t="s">
        <v>1025</v>
      </c>
      <c r="D107" s="191" t="e" cm="1">
        <f t="array" ref="D107">INDEX('IES Schedule Importer'!$A$4:$S$1048576,MATCH($D91,'IES Schedule Importer'!$A$4:$A$1048576,0)+1+D$5,5)/100</f>
        <v>#N/A</v>
      </c>
      <c r="E107" s="191" t="e" cm="1">
        <f t="array" ref="E107">INDEX('IES Schedule Importer'!$A$4:$S$1048576,MATCH($D91,'IES Schedule Importer'!$A$4:$A$1048576,0)+1+E$5,5)/100</f>
        <v>#N/A</v>
      </c>
      <c r="F107" s="191" t="e" cm="1">
        <f t="array" ref="F107">INDEX('IES Schedule Importer'!$A$4:$S$1048576,MATCH($D91,'IES Schedule Importer'!$A$4:$A$1048576,0)+1+F$5,5)/100</f>
        <v>#N/A</v>
      </c>
      <c r="G107" s="191" t="e" cm="1">
        <f t="array" ref="G107">INDEX('IES Schedule Importer'!$A$4:$S$1048576,MATCH($D91,'IES Schedule Importer'!$A$4:$A$1048576,0)+1+G$5,5)/100</f>
        <v>#N/A</v>
      </c>
      <c r="H107" s="191" t="e" cm="1">
        <f t="array" ref="H107">INDEX('IES Schedule Importer'!$A$4:$S$1048576,MATCH($D91,'IES Schedule Importer'!$A$4:$A$1048576,0)+1+H$5,5)/100</f>
        <v>#N/A</v>
      </c>
      <c r="I107" s="191" t="e" cm="1">
        <f t="array" ref="I107">INDEX('IES Schedule Importer'!$A$4:$S$1048576,MATCH($D91,'IES Schedule Importer'!$A$4:$A$1048576,0)+1+I$5,5)/100</f>
        <v>#N/A</v>
      </c>
      <c r="J107" s="191" t="e" cm="1">
        <f t="array" ref="J107">INDEX('IES Schedule Importer'!$A$4:$S$1048576,MATCH($D91,'IES Schedule Importer'!$A$4:$A$1048576,0)+1+J$5,5)/100</f>
        <v>#N/A</v>
      </c>
      <c r="K107" s="191" t="e" cm="1">
        <f t="array" ref="K107">INDEX('IES Schedule Importer'!$A$4:$S$1048576,MATCH($D91,'IES Schedule Importer'!$A$4:$A$1048576,0)+1+K$5,5)/100</f>
        <v>#N/A</v>
      </c>
      <c r="L107" s="191" t="e" cm="1">
        <f t="array" ref="L107">INDEX('IES Schedule Importer'!$A$4:$S$1048576,MATCH($D91,'IES Schedule Importer'!$A$4:$A$1048576,0)+1+L$5,5)/100</f>
        <v>#N/A</v>
      </c>
      <c r="M107" s="191" t="e" cm="1">
        <f t="array" ref="M107">INDEX('IES Schedule Importer'!$A$4:$S$1048576,MATCH($D91,'IES Schedule Importer'!$A$4:$A$1048576,0)+1+M$5,5)/100</f>
        <v>#N/A</v>
      </c>
      <c r="N107" s="191" t="e" cm="1">
        <f t="array" ref="N107">INDEX('IES Schedule Importer'!$A$4:$S$1048576,MATCH($D91,'IES Schedule Importer'!$A$4:$A$1048576,0)+1+N$5,5)/100</f>
        <v>#N/A</v>
      </c>
      <c r="O107" s="191" t="e" cm="1">
        <f t="array" ref="O107">INDEX('IES Schedule Importer'!$A$4:$S$1048576,MATCH($D91,'IES Schedule Importer'!$A$4:$A$1048576,0)+1+O$5,5)/100</f>
        <v>#N/A</v>
      </c>
      <c r="P107" s="191" t="e" cm="1">
        <f t="array" ref="P107">INDEX('IES Schedule Importer'!$A$4:$S$1048576,MATCH($D91,'IES Schedule Importer'!$A$4:$A$1048576,0)+1+P$5,5)/100</f>
        <v>#N/A</v>
      </c>
      <c r="Q107" s="191" t="e" cm="1">
        <f t="array" ref="Q107">INDEX('IES Schedule Importer'!$A$4:$S$1048576,MATCH($D91,'IES Schedule Importer'!$A$4:$A$1048576,0)+1+Q$5,5)/100</f>
        <v>#N/A</v>
      </c>
      <c r="R107" s="191" t="e" cm="1">
        <f t="array" ref="R107">INDEX('IES Schedule Importer'!$A$4:$S$1048576,MATCH($D91,'IES Schedule Importer'!$A$4:$A$1048576,0)+1+R$5,5)/100</f>
        <v>#N/A</v>
      </c>
      <c r="S107" s="191" t="e" cm="1">
        <f t="array" ref="S107">INDEX('IES Schedule Importer'!$A$4:$S$1048576,MATCH($D91,'IES Schedule Importer'!$A$4:$A$1048576,0)+1+S$5,5)/100</f>
        <v>#N/A</v>
      </c>
      <c r="T107" s="191" t="e" cm="1">
        <f t="array" ref="T107">INDEX('IES Schedule Importer'!$A$4:$S$1048576,MATCH($D91,'IES Schedule Importer'!$A$4:$A$1048576,0)+1+T$5,5)/100</f>
        <v>#N/A</v>
      </c>
      <c r="U107" s="191" t="e" cm="1">
        <f t="array" ref="U107">INDEX('IES Schedule Importer'!$A$4:$S$1048576,MATCH($D91,'IES Schedule Importer'!$A$4:$A$1048576,0)+1+U$5,5)/100</f>
        <v>#N/A</v>
      </c>
      <c r="V107" s="191" t="e" cm="1">
        <f t="array" ref="V107">INDEX('IES Schedule Importer'!$A$4:$S$1048576,MATCH($D91,'IES Schedule Importer'!$A$4:$A$1048576,0)+1+V$5,5)/100</f>
        <v>#N/A</v>
      </c>
      <c r="W107" s="191" t="e" cm="1">
        <f t="array" ref="W107">INDEX('IES Schedule Importer'!$A$4:$S$1048576,MATCH($D91,'IES Schedule Importer'!$A$4:$A$1048576,0)+1+W$5,5)/100</f>
        <v>#N/A</v>
      </c>
      <c r="X107" s="191" t="e" cm="1">
        <f t="array" ref="X107">INDEX('IES Schedule Importer'!$A$4:$S$1048576,MATCH($D91,'IES Schedule Importer'!$A$4:$A$1048576,0)+1+X$5,5)/100</f>
        <v>#N/A</v>
      </c>
      <c r="Y107" s="191" t="e" cm="1">
        <f t="array" ref="Y107">INDEX('IES Schedule Importer'!$A$4:$S$1048576,MATCH($D91,'IES Schedule Importer'!$A$4:$A$1048576,0)+1+Y$5,5)/100</f>
        <v>#N/A</v>
      </c>
      <c r="Z107" s="191" t="e" cm="1">
        <f t="array" ref="Z107">INDEX('IES Schedule Importer'!$A$4:$S$1048576,MATCH($D91,'IES Schedule Importer'!$A$4:$A$1048576,0)+1+Z$5,5)/100</f>
        <v>#N/A</v>
      </c>
      <c r="AA107" s="191" t="e" cm="1">
        <f t="array" ref="AA107">INDEX('IES Schedule Importer'!$A$4:$S$1048576,MATCH($D91,'IES Schedule Importer'!$A$4:$A$1048576,0)+1+AA$5,5)/100</f>
        <v>#N/A</v>
      </c>
      <c r="AF107" t="s">
        <v>1025</v>
      </c>
      <c r="AG107" s="191" t="e" cm="1">
        <f t="array" ref="AG107">INDEX('IES Schedule Importer'!$A$4:$S$1048576,MATCH($AG91,'IES Schedule Importer'!$A$4:$A$1048576,0)+1+AG$5,8)/100</f>
        <v>#N/A</v>
      </c>
      <c r="AH107" s="191" t="e" cm="1">
        <f t="array" ref="AH107">INDEX('IES Schedule Importer'!$A$4:$S$1048576,MATCH($AG91,'IES Schedule Importer'!$A$4:$A$1048576,0)+1+AH$5,8)/100</f>
        <v>#N/A</v>
      </c>
      <c r="AI107" s="191" t="e" cm="1">
        <f t="array" ref="AI107">INDEX('IES Schedule Importer'!$A$4:$S$1048576,MATCH($AG91,'IES Schedule Importer'!$A$4:$A$1048576,0)+1+AI$5,8)/100</f>
        <v>#N/A</v>
      </c>
      <c r="AJ107" s="191" t="e" cm="1">
        <f t="array" ref="AJ107">INDEX('IES Schedule Importer'!$A$4:$S$1048576,MATCH($AG91,'IES Schedule Importer'!$A$4:$A$1048576,0)+1+AJ$5,8)/100</f>
        <v>#N/A</v>
      </c>
      <c r="AK107" s="191" t="e" cm="1">
        <f t="array" ref="AK107">INDEX('IES Schedule Importer'!$A$4:$S$1048576,MATCH($AG91,'IES Schedule Importer'!$A$4:$A$1048576,0)+1+AK$5,8)/100</f>
        <v>#N/A</v>
      </c>
      <c r="AL107" s="191" t="e" cm="1">
        <f t="array" ref="AL107">INDEX('IES Schedule Importer'!$A$4:$S$1048576,MATCH($AG91,'IES Schedule Importer'!$A$4:$A$1048576,0)+1+AL$5,8)/100</f>
        <v>#N/A</v>
      </c>
      <c r="AM107" s="191" t="e" cm="1">
        <f t="array" ref="AM107">INDEX('IES Schedule Importer'!$A$4:$S$1048576,MATCH($AG91,'IES Schedule Importer'!$A$4:$A$1048576,0)+1+AM$5,8)/100</f>
        <v>#N/A</v>
      </c>
      <c r="AN107" s="191" t="e" cm="1">
        <f t="array" ref="AN107">INDEX('IES Schedule Importer'!$A$4:$S$1048576,MATCH($AG91,'IES Schedule Importer'!$A$4:$A$1048576,0)+1+AN$5,8)/100</f>
        <v>#N/A</v>
      </c>
      <c r="AO107" s="191" t="e" cm="1">
        <f t="array" ref="AO107">INDEX('IES Schedule Importer'!$A$4:$S$1048576,MATCH($AG91,'IES Schedule Importer'!$A$4:$A$1048576,0)+1+AO$5,8)/100</f>
        <v>#N/A</v>
      </c>
      <c r="AP107" s="191" t="e" cm="1">
        <f t="array" ref="AP107">INDEX('IES Schedule Importer'!$A$4:$S$1048576,MATCH($AG91,'IES Schedule Importer'!$A$4:$A$1048576,0)+1+AP$5,8)/100</f>
        <v>#N/A</v>
      </c>
      <c r="AQ107" s="191" t="e" cm="1">
        <f t="array" ref="AQ107">INDEX('IES Schedule Importer'!$A$4:$S$1048576,MATCH($AG91,'IES Schedule Importer'!$A$4:$A$1048576,0)+1+AQ$5,8)/100</f>
        <v>#N/A</v>
      </c>
      <c r="AR107" s="191" t="e" cm="1">
        <f t="array" ref="AR107">INDEX('IES Schedule Importer'!$A$4:$S$1048576,MATCH($AG91,'IES Schedule Importer'!$A$4:$A$1048576,0)+1+AR$5,8)/100</f>
        <v>#N/A</v>
      </c>
      <c r="AS107" s="191" t="e" cm="1">
        <f t="array" ref="AS107">INDEX('IES Schedule Importer'!$A$4:$S$1048576,MATCH($AG91,'IES Schedule Importer'!$A$4:$A$1048576,0)+1+AS$5,8)/100</f>
        <v>#N/A</v>
      </c>
      <c r="AT107" s="191" t="e" cm="1">
        <f t="array" ref="AT107">INDEX('IES Schedule Importer'!$A$4:$S$1048576,MATCH($AG91,'IES Schedule Importer'!$A$4:$A$1048576,0)+1+AT$5,8)/100</f>
        <v>#N/A</v>
      </c>
      <c r="AU107" s="191" t="e" cm="1">
        <f t="array" ref="AU107">INDEX('IES Schedule Importer'!$A$4:$S$1048576,MATCH($AG91,'IES Schedule Importer'!$A$4:$A$1048576,0)+1+AU$5,8)/100</f>
        <v>#N/A</v>
      </c>
      <c r="AV107" s="191" t="e" cm="1">
        <f t="array" ref="AV107">INDEX('IES Schedule Importer'!$A$4:$S$1048576,MATCH($AG91,'IES Schedule Importer'!$A$4:$A$1048576,0)+1+AV$5,8)/100</f>
        <v>#N/A</v>
      </c>
      <c r="AW107" s="191" t="e" cm="1">
        <f t="array" ref="AW107">INDEX('IES Schedule Importer'!$A$4:$S$1048576,MATCH($AG91,'IES Schedule Importer'!$A$4:$A$1048576,0)+1+AW$5,8)/100</f>
        <v>#N/A</v>
      </c>
      <c r="AX107" s="191" t="e" cm="1">
        <f t="array" ref="AX107">INDEX('IES Schedule Importer'!$A$4:$S$1048576,MATCH($AG91,'IES Schedule Importer'!$A$4:$A$1048576,0)+1+AX$5,8)/100</f>
        <v>#N/A</v>
      </c>
      <c r="AY107" s="191" t="e" cm="1">
        <f t="array" ref="AY107">INDEX('IES Schedule Importer'!$A$4:$S$1048576,MATCH($AG91,'IES Schedule Importer'!$A$4:$A$1048576,0)+1+AY$5,8)/100</f>
        <v>#N/A</v>
      </c>
      <c r="AZ107" s="191" t="e" cm="1">
        <f t="array" ref="AZ107">INDEX('IES Schedule Importer'!$A$4:$S$1048576,MATCH($AG91,'IES Schedule Importer'!$A$4:$A$1048576,0)+1+AZ$5,8)/100</f>
        <v>#N/A</v>
      </c>
      <c r="BA107" s="191" t="e" cm="1">
        <f t="array" ref="BA107">INDEX('IES Schedule Importer'!$A$4:$S$1048576,MATCH($AG91,'IES Schedule Importer'!$A$4:$A$1048576,0)+1+BA$5,8)/100</f>
        <v>#N/A</v>
      </c>
      <c r="BB107" s="191" t="e" cm="1">
        <f t="array" ref="BB107">INDEX('IES Schedule Importer'!$A$4:$S$1048576,MATCH($AG91,'IES Schedule Importer'!$A$4:$A$1048576,0)+1+BB$5,8)/100</f>
        <v>#N/A</v>
      </c>
      <c r="BC107" s="191" t="e" cm="1">
        <f t="array" ref="BC107">INDEX('IES Schedule Importer'!$A$4:$S$1048576,MATCH($AG91,'IES Schedule Importer'!$A$4:$A$1048576,0)+1+BC$5,8)/100</f>
        <v>#N/A</v>
      </c>
      <c r="BD107" s="191" t="e" cm="1">
        <f t="array" ref="BD107">INDEX('IES Schedule Importer'!$A$4:$S$1048576,MATCH($AG91,'IES Schedule Importer'!$A$4:$A$1048576,0)+1+BD$5,8)/100</f>
        <v>#N/A</v>
      </c>
    </row>
    <row r="108" spans="1:57" x14ac:dyDescent="0.25">
      <c r="C108" t="s">
        <v>1026</v>
      </c>
      <c r="D108" s="191" t="e" cm="1">
        <f t="array" ref="D108">INDEX('IES Schedule Importer'!$A$4:$S$1048576,MATCH($D91,'IES Schedule Importer'!$A$4:$A$1048576,0)+1+D$5,6)/100</f>
        <v>#N/A</v>
      </c>
      <c r="E108" s="191" t="e" cm="1">
        <f t="array" ref="E108">INDEX('IES Schedule Importer'!$A$4:$S$1048576,MATCH($D91,'IES Schedule Importer'!$A$4:$A$1048576,0)+1+E$5,6)/100</f>
        <v>#N/A</v>
      </c>
      <c r="F108" s="191" t="e" cm="1">
        <f t="array" ref="F108">INDEX('IES Schedule Importer'!$A$4:$S$1048576,MATCH($D91,'IES Schedule Importer'!$A$4:$A$1048576,0)+1+F$5,6)/100</f>
        <v>#N/A</v>
      </c>
      <c r="G108" s="191" t="e" cm="1">
        <f t="array" ref="G108">INDEX('IES Schedule Importer'!$A$4:$S$1048576,MATCH($D91,'IES Schedule Importer'!$A$4:$A$1048576,0)+1+G$5,6)/100</f>
        <v>#N/A</v>
      </c>
      <c r="H108" s="191" t="e" cm="1">
        <f t="array" ref="H108">INDEX('IES Schedule Importer'!$A$4:$S$1048576,MATCH($D91,'IES Schedule Importer'!$A$4:$A$1048576,0)+1+H$5,6)/100</f>
        <v>#N/A</v>
      </c>
      <c r="I108" s="191" t="e" cm="1">
        <f t="array" ref="I108">INDEX('IES Schedule Importer'!$A$4:$S$1048576,MATCH($D91,'IES Schedule Importer'!$A$4:$A$1048576,0)+1+I$5,6)/100</f>
        <v>#N/A</v>
      </c>
      <c r="J108" s="191" t="e" cm="1">
        <f t="array" ref="J108">INDEX('IES Schedule Importer'!$A$4:$S$1048576,MATCH($D91,'IES Schedule Importer'!$A$4:$A$1048576,0)+1+J$5,6)/100</f>
        <v>#N/A</v>
      </c>
      <c r="K108" s="191" t="e" cm="1">
        <f t="array" ref="K108">INDEX('IES Schedule Importer'!$A$4:$S$1048576,MATCH($D91,'IES Schedule Importer'!$A$4:$A$1048576,0)+1+K$5,6)/100</f>
        <v>#N/A</v>
      </c>
      <c r="L108" s="191" t="e" cm="1">
        <f t="array" ref="L108">INDEX('IES Schedule Importer'!$A$4:$S$1048576,MATCH($D91,'IES Schedule Importer'!$A$4:$A$1048576,0)+1+L$5,6)/100</f>
        <v>#N/A</v>
      </c>
      <c r="M108" s="191" t="e" cm="1">
        <f t="array" ref="M108">INDEX('IES Schedule Importer'!$A$4:$S$1048576,MATCH($D91,'IES Schedule Importer'!$A$4:$A$1048576,0)+1+M$5,6)/100</f>
        <v>#N/A</v>
      </c>
      <c r="N108" s="191" t="e" cm="1">
        <f t="array" ref="N108">INDEX('IES Schedule Importer'!$A$4:$S$1048576,MATCH($D91,'IES Schedule Importer'!$A$4:$A$1048576,0)+1+N$5,6)/100</f>
        <v>#N/A</v>
      </c>
      <c r="O108" s="191" t="e" cm="1">
        <f t="array" ref="O108">INDEX('IES Schedule Importer'!$A$4:$S$1048576,MATCH($D91,'IES Schedule Importer'!$A$4:$A$1048576,0)+1+O$5,6)/100</f>
        <v>#N/A</v>
      </c>
      <c r="P108" s="191" t="e" cm="1">
        <f t="array" ref="P108">INDEX('IES Schedule Importer'!$A$4:$S$1048576,MATCH($D91,'IES Schedule Importer'!$A$4:$A$1048576,0)+1+P$5,6)/100</f>
        <v>#N/A</v>
      </c>
      <c r="Q108" s="191" t="e" cm="1">
        <f t="array" ref="Q108">INDEX('IES Schedule Importer'!$A$4:$S$1048576,MATCH($D91,'IES Schedule Importer'!$A$4:$A$1048576,0)+1+Q$5,6)/100</f>
        <v>#N/A</v>
      </c>
      <c r="R108" s="191" t="e" cm="1">
        <f t="array" ref="R108">INDEX('IES Schedule Importer'!$A$4:$S$1048576,MATCH($D91,'IES Schedule Importer'!$A$4:$A$1048576,0)+1+R$5,6)/100</f>
        <v>#N/A</v>
      </c>
      <c r="S108" s="191" t="e" cm="1">
        <f t="array" ref="S108">INDEX('IES Schedule Importer'!$A$4:$S$1048576,MATCH($D91,'IES Schedule Importer'!$A$4:$A$1048576,0)+1+S$5,6)/100</f>
        <v>#N/A</v>
      </c>
      <c r="T108" s="191" t="e" cm="1">
        <f t="array" ref="T108">INDEX('IES Schedule Importer'!$A$4:$S$1048576,MATCH($D91,'IES Schedule Importer'!$A$4:$A$1048576,0)+1+T$5,6)/100</f>
        <v>#N/A</v>
      </c>
      <c r="U108" s="191" t="e" cm="1">
        <f t="array" ref="U108">INDEX('IES Schedule Importer'!$A$4:$S$1048576,MATCH($D91,'IES Schedule Importer'!$A$4:$A$1048576,0)+1+U$5,6)/100</f>
        <v>#N/A</v>
      </c>
      <c r="V108" s="191" t="e" cm="1">
        <f t="array" ref="V108">INDEX('IES Schedule Importer'!$A$4:$S$1048576,MATCH($D91,'IES Schedule Importer'!$A$4:$A$1048576,0)+1+V$5,6)/100</f>
        <v>#N/A</v>
      </c>
      <c r="W108" s="191" t="e" cm="1">
        <f t="array" ref="W108">INDEX('IES Schedule Importer'!$A$4:$S$1048576,MATCH($D91,'IES Schedule Importer'!$A$4:$A$1048576,0)+1+W$5,6)/100</f>
        <v>#N/A</v>
      </c>
      <c r="X108" s="191" t="e" cm="1">
        <f t="array" ref="X108">INDEX('IES Schedule Importer'!$A$4:$S$1048576,MATCH($D91,'IES Schedule Importer'!$A$4:$A$1048576,0)+1+X$5,6)/100</f>
        <v>#N/A</v>
      </c>
      <c r="Y108" s="191" t="e" cm="1">
        <f t="array" ref="Y108">INDEX('IES Schedule Importer'!$A$4:$S$1048576,MATCH($D91,'IES Schedule Importer'!$A$4:$A$1048576,0)+1+Y$5,6)/100</f>
        <v>#N/A</v>
      </c>
      <c r="Z108" s="191" t="e" cm="1">
        <f t="array" ref="Z108">INDEX('IES Schedule Importer'!$A$4:$S$1048576,MATCH($D91,'IES Schedule Importer'!$A$4:$A$1048576,0)+1+Z$5,6)/100</f>
        <v>#N/A</v>
      </c>
      <c r="AA108" s="191" t="e" cm="1">
        <f t="array" ref="AA108">INDEX('IES Schedule Importer'!$A$4:$S$1048576,MATCH($D91,'IES Schedule Importer'!$A$4:$A$1048576,0)+1+AA$5,6)/100</f>
        <v>#N/A</v>
      </c>
      <c r="AF108" t="s">
        <v>1026</v>
      </c>
      <c r="AG108" s="191" t="e" cm="1">
        <f t="array" ref="AG108">INDEX('IES Schedule Importer'!$A$4:$S$1048576,MATCH($AG91,'IES Schedule Importer'!$A$4:$A$1048576,0)+1+AG$5,9)/100</f>
        <v>#N/A</v>
      </c>
      <c r="AH108" s="191" t="e" cm="1">
        <f t="array" ref="AH108">INDEX('IES Schedule Importer'!$A$4:$S$1048576,MATCH($AG91,'IES Schedule Importer'!$A$4:$A$1048576,0)+1+AH$5,9)/100</f>
        <v>#N/A</v>
      </c>
      <c r="AI108" s="191" t="e" cm="1">
        <f t="array" ref="AI108">INDEX('IES Schedule Importer'!$A$4:$S$1048576,MATCH($AG91,'IES Schedule Importer'!$A$4:$A$1048576,0)+1+AI$5,9)/100</f>
        <v>#N/A</v>
      </c>
      <c r="AJ108" s="191" t="e" cm="1">
        <f t="array" ref="AJ108">INDEX('IES Schedule Importer'!$A$4:$S$1048576,MATCH($AG91,'IES Schedule Importer'!$A$4:$A$1048576,0)+1+AJ$5,9)/100</f>
        <v>#N/A</v>
      </c>
      <c r="AK108" s="191" t="e" cm="1">
        <f t="array" ref="AK108">INDEX('IES Schedule Importer'!$A$4:$S$1048576,MATCH($AG91,'IES Schedule Importer'!$A$4:$A$1048576,0)+1+AK$5,9)/100</f>
        <v>#N/A</v>
      </c>
      <c r="AL108" s="191" t="e" cm="1">
        <f t="array" ref="AL108">INDEX('IES Schedule Importer'!$A$4:$S$1048576,MATCH($AG91,'IES Schedule Importer'!$A$4:$A$1048576,0)+1+AL$5,9)/100</f>
        <v>#N/A</v>
      </c>
      <c r="AM108" s="191" t="e" cm="1">
        <f t="array" ref="AM108">INDEX('IES Schedule Importer'!$A$4:$S$1048576,MATCH($AG91,'IES Schedule Importer'!$A$4:$A$1048576,0)+1+AM$5,9)/100</f>
        <v>#N/A</v>
      </c>
      <c r="AN108" s="191" t="e" cm="1">
        <f t="array" ref="AN108">INDEX('IES Schedule Importer'!$A$4:$S$1048576,MATCH($AG91,'IES Schedule Importer'!$A$4:$A$1048576,0)+1+AN$5,9)/100</f>
        <v>#N/A</v>
      </c>
      <c r="AO108" s="191" t="e" cm="1">
        <f t="array" ref="AO108">INDEX('IES Schedule Importer'!$A$4:$S$1048576,MATCH($AG91,'IES Schedule Importer'!$A$4:$A$1048576,0)+1+AO$5,9)/100</f>
        <v>#N/A</v>
      </c>
      <c r="AP108" s="191" t="e" cm="1">
        <f t="array" ref="AP108">INDEX('IES Schedule Importer'!$A$4:$S$1048576,MATCH($AG91,'IES Schedule Importer'!$A$4:$A$1048576,0)+1+AP$5,9)/100</f>
        <v>#N/A</v>
      </c>
      <c r="AQ108" s="191" t="e" cm="1">
        <f t="array" ref="AQ108">INDEX('IES Schedule Importer'!$A$4:$S$1048576,MATCH($AG91,'IES Schedule Importer'!$A$4:$A$1048576,0)+1+AQ$5,9)/100</f>
        <v>#N/A</v>
      </c>
      <c r="AR108" s="191" t="e" cm="1">
        <f t="array" ref="AR108">INDEX('IES Schedule Importer'!$A$4:$S$1048576,MATCH($AG91,'IES Schedule Importer'!$A$4:$A$1048576,0)+1+AR$5,9)/100</f>
        <v>#N/A</v>
      </c>
      <c r="AS108" s="191" t="e" cm="1">
        <f t="array" ref="AS108">INDEX('IES Schedule Importer'!$A$4:$S$1048576,MATCH($AG91,'IES Schedule Importer'!$A$4:$A$1048576,0)+1+AS$5,9)/100</f>
        <v>#N/A</v>
      </c>
      <c r="AT108" s="191" t="e" cm="1">
        <f t="array" ref="AT108">INDEX('IES Schedule Importer'!$A$4:$S$1048576,MATCH($AG91,'IES Schedule Importer'!$A$4:$A$1048576,0)+1+AT$5,9)/100</f>
        <v>#N/A</v>
      </c>
      <c r="AU108" s="191" t="e" cm="1">
        <f t="array" ref="AU108">INDEX('IES Schedule Importer'!$A$4:$S$1048576,MATCH($AG91,'IES Schedule Importer'!$A$4:$A$1048576,0)+1+AU$5,9)/100</f>
        <v>#N/A</v>
      </c>
      <c r="AV108" s="191" t="e" cm="1">
        <f t="array" ref="AV108">INDEX('IES Schedule Importer'!$A$4:$S$1048576,MATCH($AG91,'IES Schedule Importer'!$A$4:$A$1048576,0)+1+AV$5,9)/100</f>
        <v>#N/A</v>
      </c>
      <c r="AW108" s="191" t="e" cm="1">
        <f t="array" ref="AW108">INDEX('IES Schedule Importer'!$A$4:$S$1048576,MATCH($AG91,'IES Schedule Importer'!$A$4:$A$1048576,0)+1+AW$5,9)/100</f>
        <v>#N/A</v>
      </c>
      <c r="AX108" s="191" t="e" cm="1">
        <f t="array" ref="AX108">INDEX('IES Schedule Importer'!$A$4:$S$1048576,MATCH($AG91,'IES Schedule Importer'!$A$4:$A$1048576,0)+1+AX$5,9)/100</f>
        <v>#N/A</v>
      </c>
      <c r="AY108" s="191" t="e" cm="1">
        <f t="array" ref="AY108">INDEX('IES Schedule Importer'!$A$4:$S$1048576,MATCH($AG91,'IES Schedule Importer'!$A$4:$A$1048576,0)+1+AY$5,9)/100</f>
        <v>#N/A</v>
      </c>
      <c r="AZ108" s="191" t="e" cm="1">
        <f t="array" ref="AZ108">INDEX('IES Schedule Importer'!$A$4:$S$1048576,MATCH($AG91,'IES Schedule Importer'!$A$4:$A$1048576,0)+1+AZ$5,9)/100</f>
        <v>#N/A</v>
      </c>
      <c r="BA108" s="191" t="e" cm="1">
        <f t="array" ref="BA108">INDEX('IES Schedule Importer'!$A$4:$S$1048576,MATCH($AG91,'IES Schedule Importer'!$A$4:$A$1048576,0)+1+BA$5,9)/100</f>
        <v>#N/A</v>
      </c>
      <c r="BB108" s="191" t="e" cm="1">
        <f t="array" ref="BB108">INDEX('IES Schedule Importer'!$A$4:$S$1048576,MATCH($AG91,'IES Schedule Importer'!$A$4:$A$1048576,0)+1+BB$5,9)/100</f>
        <v>#N/A</v>
      </c>
      <c r="BC108" s="191" t="e" cm="1">
        <f t="array" ref="BC108">INDEX('IES Schedule Importer'!$A$4:$S$1048576,MATCH($AG91,'IES Schedule Importer'!$A$4:$A$1048576,0)+1+BC$5,9)/100</f>
        <v>#N/A</v>
      </c>
      <c r="BD108" s="191" t="e" cm="1">
        <f t="array" ref="BD108">INDEX('IES Schedule Importer'!$A$4:$S$1048576,MATCH($AG91,'IES Schedule Importer'!$A$4:$A$1048576,0)+1+BD$5,9)/100</f>
        <v>#N/A</v>
      </c>
    </row>
    <row r="109" spans="1:57" x14ac:dyDescent="0.25">
      <c r="C109" t="s">
        <v>1027</v>
      </c>
      <c r="D109" s="191" t="e" cm="1">
        <f t="array" ref="D109">INDEX('IES Schedule Importer'!$A$4:$S$1048576,MATCH($D91,'IES Schedule Importer'!$A$4:$A$1048576,0)+1+D$5,7)/100</f>
        <v>#N/A</v>
      </c>
      <c r="E109" s="191" t="e" cm="1">
        <f t="array" ref="E109">INDEX('IES Schedule Importer'!$A$4:$S$1048576,MATCH($D91,'IES Schedule Importer'!$A$4:$A$1048576,0)+1+E$5,7)/100</f>
        <v>#N/A</v>
      </c>
      <c r="F109" s="191" t="e" cm="1">
        <f t="array" ref="F109">INDEX('IES Schedule Importer'!$A$4:$S$1048576,MATCH($D91,'IES Schedule Importer'!$A$4:$A$1048576,0)+1+F$5,7)/100</f>
        <v>#N/A</v>
      </c>
      <c r="G109" s="191" t="e" cm="1">
        <f t="array" ref="G109">INDEX('IES Schedule Importer'!$A$4:$S$1048576,MATCH($D91,'IES Schedule Importer'!$A$4:$A$1048576,0)+1+G$5,7)/100</f>
        <v>#N/A</v>
      </c>
      <c r="H109" s="191" t="e" cm="1">
        <f t="array" ref="H109">INDEX('IES Schedule Importer'!$A$4:$S$1048576,MATCH($D91,'IES Schedule Importer'!$A$4:$A$1048576,0)+1+H$5,7)/100</f>
        <v>#N/A</v>
      </c>
      <c r="I109" s="191" t="e" cm="1">
        <f t="array" ref="I109">INDEX('IES Schedule Importer'!$A$4:$S$1048576,MATCH($D91,'IES Schedule Importer'!$A$4:$A$1048576,0)+1+I$5,7)/100</f>
        <v>#N/A</v>
      </c>
      <c r="J109" s="191" t="e" cm="1">
        <f t="array" ref="J109">INDEX('IES Schedule Importer'!$A$4:$S$1048576,MATCH($D91,'IES Schedule Importer'!$A$4:$A$1048576,0)+1+J$5,7)/100</f>
        <v>#N/A</v>
      </c>
      <c r="K109" s="191" t="e" cm="1">
        <f t="array" ref="K109">INDEX('IES Schedule Importer'!$A$4:$S$1048576,MATCH($D91,'IES Schedule Importer'!$A$4:$A$1048576,0)+1+K$5,7)/100</f>
        <v>#N/A</v>
      </c>
      <c r="L109" s="191" t="e" cm="1">
        <f t="array" ref="L109">INDEX('IES Schedule Importer'!$A$4:$S$1048576,MATCH($D91,'IES Schedule Importer'!$A$4:$A$1048576,0)+1+L$5,7)/100</f>
        <v>#N/A</v>
      </c>
      <c r="M109" s="191" t="e" cm="1">
        <f t="array" ref="M109">INDEX('IES Schedule Importer'!$A$4:$S$1048576,MATCH($D91,'IES Schedule Importer'!$A$4:$A$1048576,0)+1+M$5,7)/100</f>
        <v>#N/A</v>
      </c>
      <c r="N109" s="191" t="e" cm="1">
        <f t="array" ref="N109">INDEX('IES Schedule Importer'!$A$4:$S$1048576,MATCH($D91,'IES Schedule Importer'!$A$4:$A$1048576,0)+1+N$5,7)/100</f>
        <v>#N/A</v>
      </c>
      <c r="O109" s="191" t="e" cm="1">
        <f t="array" ref="O109">INDEX('IES Schedule Importer'!$A$4:$S$1048576,MATCH($D91,'IES Schedule Importer'!$A$4:$A$1048576,0)+1+O$5,7)/100</f>
        <v>#N/A</v>
      </c>
      <c r="P109" s="191" t="e" cm="1">
        <f t="array" ref="P109">INDEX('IES Schedule Importer'!$A$4:$S$1048576,MATCH($D91,'IES Schedule Importer'!$A$4:$A$1048576,0)+1+P$5,7)/100</f>
        <v>#N/A</v>
      </c>
      <c r="Q109" s="191" t="e" cm="1">
        <f t="array" ref="Q109">INDEX('IES Schedule Importer'!$A$4:$S$1048576,MATCH($D91,'IES Schedule Importer'!$A$4:$A$1048576,0)+1+Q$5,7)/100</f>
        <v>#N/A</v>
      </c>
      <c r="R109" s="191" t="e" cm="1">
        <f t="array" ref="R109">INDEX('IES Schedule Importer'!$A$4:$S$1048576,MATCH($D91,'IES Schedule Importer'!$A$4:$A$1048576,0)+1+R$5,7)/100</f>
        <v>#N/A</v>
      </c>
      <c r="S109" s="191" t="e" cm="1">
        <f t="array" ref="S109">INDEX('IES Schedule Importer'!$A$4:$S$1048576,MATCH($D91,'IES Schedule Importer'!$A$4:$A$1048576,0)+1+S$5,7)/100</f>
        <v>#N/A</v>
      </c>
      <c r="T109" s="191" t="e" cm="1">
        <f t="array" ref="T109">INDEX('IES Schedule Importer'!$A$4:$S$1048576,MATCH($D91,'IES Schedule Importer'!$A$4:$A$1048576,0)+1+T$5,7)/100</f>
        <v>#N/A</v>
      </c>
      <c r="U109" s="191" t="e" cm="1">
        <f t="array" ref="U109">INDEX('IES Schedule Importer'!$A$4:$S$1048576,MATCH($D91,'IES Schedule Importer'!$A$4:$A$1048576,0)+1+U$5,7)/100</f>
        <v>#N/A</v>
      </c>
      <c r="V109" s="191" t="e" cm="1">
        <f t="array" ref="V109">INDEX('IES Schedule Importer'!$A$4:$S$1048576,MATCH($D91,'IES Schedule Importer'!$A$4:$A$1048576,0)+1+V$5,7)/100</f>
        <v>#N/A</v>
      </c>
      <c r="W109" s="191" t="e" cm="1">
        <f t="array" ref="W109">INDEX('IES Schedule Importer'!$A$4:$S$1048576,MATCH($D91,'IES Schedule Importer'!$A$4:$A$1048576,0)+1+W$5,7)/100</f>
        <v>#N/A</v>
      </c>
      <c r="X109" s="191" t="e" cm="1">
        <f t="array" ref="X109">INDEX('IES Schedule Importer'!$A$4:$S$1048576,MATCH($D91,'IES Schedule Importer'!$A$4:$A$1048576,0)+1+X$5,7)/100</f>
        <v>#N/A</v>
      </c>
      <c r="Y109" s="191" t="e" cm="1">
        <f t="array" ref="Y109">INDEX('IES Schedule Importer'!$A$4:$S$1048576,MATCH($D91,'IES Schedule Importer'!$A$4:$A$1048576,0)+1+Y$5,7)/100</f>
        <v>#N/A</v>
      </c>
      <c r="Z109" s="191" t="e" cm="1">
        <f t="array" ref="Z109">INDEX('IES Schedule Importer'!$A$4:$S$1048576,MATCH($D91,'IES Schedule Importer'!$A$4:$A$1048576,0)+1+Z$5,7)/100</f>
        <v>#N/A</v>
      </c>
      <c r="AA109" s="191" t="e" cm="1">
        <f t="array" ref="AA109">INDEX('IES Schedule Importer'!$A$4:$S$1048576,MATCH($D91,'IES Schedule Importer'!$A$4:$A$1048576,0)+1+AA$5,7)/100</f>
        <v>#N/A</v>
      </c>
      <c r="AF109" t="s">
        <v>1027</v>
      </c>
      <c r="AG109" s="191" t="e" cm="1">
        <f t="array" ref="AG109">INDEX('IES Schedule Importer'!$A$4:$S$1048576,MATCH($AG91,'IES Schedule Importer'!$A$4:$A$1048576,0)+1+AG$5,10)/100</f>
        <v>#N/A</v>
      </c>
      <c r="AH109" s="191" t="e" cm="1">
        <f t="array" ref="AH109">INDEX('IES Schedule Importer'!$A$4:$S$1048576,MATCH($AG91,'IES Schedule Importer'!$A$4:$A$1048576,0)+1+AH$5,10)/100</f>
        <v>#N/A</v>
      </c>
      <c r="AI109" s="191" t="e" cm="1">
        <f t="array" ref="AI109">INDEX('IES Schedule Importer'!$A$4:$S$1048576,MATCH($AG91,'IES Schedule Importer'!$A$4:$A$1048576,0)+1+AI$5,10)/100</f>
        <v>#N/A</v>
      </c>
      <c r="AJ109" s="191" t="e" cm="1">
        <f t="array" ref="AJ109">INDEX('IES Schedule Importer'!$A$4:$S$1048576,MATCH($AG91,'IES Schedule Importer'!$A$4:$A$1048576,0)+1+AJ$5,10)/100</f>
        <v>#N/A</v>
      </c>
      <c r="AK109" s="191" t="e" cm="1">
        <f t="array" ref="AK109">INDEX('IES Schedule Importer'!$A$4:$S$1048576,MATCH($AG91,'IES Schedule Importer'!$A$4:$A$1048576,0)+1+AK$5,10)/100</f>
        <v>#N/A</v>
      </c>
      <c r="AL109" s="191" t="e" cm="1">
        <f t="array" ref="AL109">INDEX('IES Schedule Importer'!$A$4:$S$1048576,MATCH($AG91,'IES Schedule Importer'!$A$4:$A$1048576,0)+1+AL$5,10)/100</f>
        <v>#N/A</v>
      </c>
      <c r="AM109" s="191" t="e" cm="1">
        <f t="array" ref="AM109">INDEX('IES Schedule Importer'!$A$4:$S$1048576,MATCH($AG91,'IES Schedule Importer'!$A$4:$A$1048576,0)+1+AM$5,10)/100</f>
        <v>#N/A</v>
      </c>
      <c r="AN109" s="191" t="e" cm="1">
        <f t="array" ref="AN109">INDEX('IES Schedule Importer'!$A$4:$S$1048576,MATCH($AG91,'IES Schedule Importer'!$A$4:$A$1048576,0)+1+AN$5,10)/100</f>
        <v>#N/A</v>
      </c>
      <c r="AO109" s="191" t="e" cm="1">
        <f t="array" ref="AO109">INDEX('IES Schedule Importer'!$A$4:$S$1048576,MATCH($AG91,'IES Schedule Importer'!$A$4:$A$1048576,0)+1+AO$5,10)/100</f>
        <v>#N/A</v>
      </c>
      <c r="AP109" s="191" t="e" cm="1">
        <f t="array" ref="AP109">INDEX('IES Schedule Importer'!$A$4:$S$1048576,MATCH($AG91,'IES Schedule Importer'!$A$4:$A$1048576,0)+1+AP$5,10)/100</f>
        <v>#N/A</v>
      </c>
      <c r="AQ109" s="191" t="e" cm="1">
        <f t="array" ref="AQ109">INDEX('IES Schedule Importer'!$A$4:$S$1048576,MATCH($AG91,'IES Schedule Importer'!$A$4:$A$1048576,0)+1+AQ$5,10)/100</f>
        <v>#N/A</v>
      </c>
      <c r="AR109" s="191" t="e" cm="1">
        <f t="array" ref="AR109">INDEX('IES Schedule Importer'!$A$4:$S$1048576,MATCH($AG91,'IES Schedule Importer'!$A$4:$A$1048576,0)+1+AR$5,10)/100</f>
        <v>#N/A</v>
      </c>
      <c r="AS109" s="191" t="e" cm="1">
        <f t="array" ref="AS109">INDEX('IES Schedule Importer'!$A$4:$S$1048576,MATCH($AG91,'IES Schedule Importer'!$A$4:$A$1048576,0)+1+AS$5,10)/100</f>
        <v>#N/A</v>
      </c>
      <c r="AT109" s="191" t="e" cm="1">
        <f t="array" ref="AT109">INDEX('IES Schedule Importer'!$A$4:$S$1048576,MATCH($AG91,'IES Schedule Importer'!$A$4:$A$1048576,0)+1+AT$5,10)/100</f>
        <v>#N/A</v>
      </c>
      <c r="AU109" s="191" t="e" cm="1">
        <f t="array" ref="AU109">INDEX('IES Schedule Importer'!$A$4:$S$1048576,MATCH($AG91,'IES Schedule Importer'!$A$4:$A$1048576,0)+1+AU$5,10)/100</f>
        <v>#N/A</v>
      </c>
      <c r="AV109" s="191" t="e" cm="1">
        <f t="array" ref="AV109">INDEX('IES Schedule Importer'!$A$4:$S$1048576,MATCH($AG91,'IES Schedule Importer'!$A$4:$A$1048576,0)+1+AV$5,10)/100</f>
        <v>#N/A</v>
      </c>
      <c r="AW109" s="191" t="e" cm="1">
        <f t="array" ref="AW109">INDEX('IES Schedule Importer'!$A$4:$S$1048576,MATCH($AG91,'IES Schedule Importer'!$A$4:$A$1048576,0)+1+AW$5,10)/100</f>
        <v>#N/A</v>
      </c>
      <c r="AX109" s="191" t="e" cm="1">
        <f t="array" ref="AX109">INDEX('IES Schedule Importer'!$A$4:$S$1048576,MATCH($AG91,'IES Schedule Importer'!$A$4:$A$1048576,0)+1+AX$5,10)/100</f>
        <v>#N/A</v>
      </c>
      <c r="AY109" s="191" t="e" cm="1">
        <f t="array" ref="AY109">INDEX('IES Schedule Importer'!$A$4:$S$1048576,MATCH($AG91,'IES Schedule Importer'!$A$4:$A$1048576,0)+1+AY$5,10)/100</f>
        <v>#N/A</v>
      </c>
      <c r="AZ109" s="191" t="e" cm="1">
        <f t="array" ref="AZ109">INDEX('IES Schedule Importer'!$A$4:$S$1048576,MATCH($AG91,'IES Schedule Importer'!$A$4:$A$1048576,0)+1+AZ$5,10)/100</f>
        <v>#N/A</v>
      </c>
      <c r="BA109" s="191" t="e" cm="1">
        <f t="array" ref="BA109">INDEX('IES Schedule Importer'!$A$4:$S$1048576,MATCH($AG91,'IES Schedule Importer'!$A$4:$A$1048576,0)+1+BA$5,10)/100</f>
        <v>#N/A</v>
      </c>
      <c r="BB109" s="191" t="e" cm="1">
        <f t="array" ref="BB109">INDEX('IES Schedule Importer'!$A$4:$S$1048576,MATCH($AG91,'IES Schedule Importer'!$A$4:$A$1048576,0)+1+BB$5,10)/100</f>
        <v>#N/A</v>
      </c>
      <c r="BC109" s="191" t="e" cm="1">
        <f t="array" ref="BC109">INDEX('IES Schedule Importer'!$A$4:$S$1048576,MATCH($AG91,'IES Schedule Importer'!$A$4:$A$1048576,0)+1+BC$5,10)/100</f>
        <v>#N/A</v>
      </c>
      <c r="BD109" s="191" t="e" cm="1">
        <f t="array" ref="BD109">INDEX('IES Schedule Importer'!$A$4:$S$1048576,MATCH($AG91,'IES Schedule Importer'!$A$4:$A$1048576,0)+1+BD$5,10)/100</f>
        <v>#N/A</v>
      </c>
    </row>
    <row r="111" spans="1:57" x14ac:dyDescent="0.25">
      <c r="A111" s="192"/>
      <c r="B111" s="192"/>
      <c r="C111" s="192"/>
      <c r="D111" s="192"/>
      <c r="E111" s="192"/>
      <c r="F111" s="192"/>
      <c r="G111" s="192"/>
      <c r="H111" s="192"/>
      <c r="I111" s="192"/>
      <c r="J111" s="192"/>
      <c r="K111" s="192"/>
      <c r="L111" s="192"/>
      <c r="M111" s="192"/>
      <c r="N111" s="192"/>
      <c r="O111" s="192"/>
      <c r="P111" s="192"/>
      <c r="Q111" s="192"/>
      <c r="R111" s="192"/>
      <c r="S111" s="192"/>
      <c r="T111" s="192"/>
      <c r="U111" s="192"/>
      <c r="V111" s="192"/>
      <c r="W111" s="192"/>
      <c r="X111" s="192"/>
      <c r="Y111" s="192"/>
      <c r="Z111" s="192"/>
      <c r="AA111" s="192"/>
      <c r="AB111" s="192"/>
      <c r="AC111" s="192"/>
      <c r="AD111" s="192"/>
      <c r="AE111" s="192"/>
      <c r="AF111" s="192"/>
      <c r="AG111" s="192"/>
      <c r="AH111" s="192"/>
      <c r="AI111" s="192"/>
      <c r="AJ111" s="192"/>
      <c r="AK111" s="192"/>
      <c r="AL111" s="192"/>
      <c r="AM111" s="192"/>
      <c r="AN111" s="192"/>
      <c r="AO111" s="192"/>
      <c r="AP111" s="192"/>
      <c r="AQ111" s="192"/>
      <c r="AR111" s="192"/>
      <c r="AS111" s="192"/>
      <c r="AT111" s="192"/>
      <c r="AU111" s="192"/>
      <c r="AV111" s="192"/>
      <c r="AW111" s="192"/>
      <c r="AX111" s="192"/>
      <c r="AY111" s="192"/>
      <c r="AZ111" s="192"/>
      <c r="BA111" s="192"/>
      <c r="BB111" s="192"/>
      <c r="BC111" s="192"/>
      <c r="BD111" s="192"/>
      <c r="BE111" s="192"/>
    </row>
    <row r="112" spans="1:57" ht="15.75" x14ac:dyDescent="0.25">
      <c r="D112" s="764"/>
      <c r="E112" s="764"/>
      <c r="F112" s="764"/>
      <c r="G112" s="764"/>
      <c r="H112" s="764"/>
      <c r="I112" s="764"/>
      <c r="J112" s="764"/>
      <c r="K112" s="764"/>
      <c r="L112" s="764"/>
      <c r="M112" s="764"/>
      <c r="AG112" s="767">
        <f>D112</f>
        <v>0</v>
      </c>
      <c r="AH112" s="767"/>
      <c r="AI112" s="767"/>
      <c r="AJ112" s="767"/>
      <c r="AK112" s="767"/>
      <c r="AL112" s="767"/>
      <c r="AM112" s="767"/>
      <c r="AN112" s="767"/>
      <c r="AO112" s="767"/>
      <c r="AP112" s="767"/>
    </row>
    <row r="128" spans="3:56" x14ac:dyDescent="0.25">
      <c r="C128" t="s">
        <v>1025</v>
      </c>
      <c r="D128" s="191" t="e" cm="1">
        <f t="array" ref="D128">INDEX('IES Schedule Importer'!$A$4:$S$1048576,MATCH($D112,'IES Schedule Importer'!$A$4:$A$1048576,0)+1+D$5,5)/100</f>
        <v>#N/A</v>
      </c>
      <c r="E128" s="191" t="e" cm="1">
        <f t="array" ref="E128">INDEX('IES Schedule Importer'!$A$4:$S$1048576,MATCH($D112,'IES Schedule Importer'!$A$4:$A$1048576,0)+1+E$5,5)/100</f>
        <v>#N/A</v>
      </c>
      <c r="F128" s="191" t="e" cm="1">
        <f t="array" ref="F128">INDEX('IES Schedule Importer'!$A$4:$S$1048576,MATCH($D112,'IES Schedule Importer'!$A$4:$A$1048576,0)+1+F$5,5)/100</f>
        <v>#N/A</v>
      </c>
      <c r="G128" s="191" t="e" cm="1">
        <f t="array" ref="G128">INDEX('IES Schedule Importer'!$A$4:$S$1048576,MATCH($D112,'IES Schedule Importer'!$A$4:$A$1048576,0)+1+G$5,5)/100</f>
        <v>#N/A</v>
      </c>
      <c r="H128" s="191" t="e" cm="1">
        <f t="array" ref="H128">INDEX('IES Schedule Importer'!$A$4:$S$1048576,MATCH($D112,'IES Schedule Importer'!$A$4:$A$1048576,0)+1+H$5,5)/100</f>
        <v>#N/A</v>
      </c>
      <c r="I128" s="191" t="e" cm="1">
        <f t="array" ref="I128">INDEX('IES Schedule Importer'!$A$4:$S$1048576,MATCH($D112,'IES Schedule Importer'!$A$4:$A$1048576,0)+1+I$5,5)/100</f>
        <v>#N/A</v>
      </c>
      <c r="J128" s="191" t="e" cm="1">
        <f t="array" ref="J128">INDEX('IES Schedule Importer'!$A$4:$S$1048576,MATCH($D112,'IES Schedule Importer'!$A$4:$A$1048576,0)+1+J$5,5)/100</f>
        <v>#N/A</v>
      </c>
      <c r="K128" s="191" t="e" cm="1">
        <f t="array" ref="K128">INDEX('IES Schedule Importer'!$A$4:$S$1048576,MATCH($D112,'IES Schedule Importer'!$A$4:$A$1048576,0)+1+K$5,5)/100</f>
        <v>#N/A</v>
      </c>
      <c r="L128" s="191" t="e" cm="1">
        <f t="array" ref="L128">INDEX('IES Schedule Importer'!$A$4:$S$1048576,MATCH($D112,'IES Schedule Importer'!$A$4:$A$1048576,0)+1+L$5,5)/100</f>
        <v>#N/A</v>
      </c>
      <c r="M128" s="191" t="e" cm="1">
        <f t="array" ref="M128">INDEX('IES Schedule Importer'!$A$4:$S$1048576,MATCH($D112,'IES Schedule Importer'!$A$4:$A$1048576,0)+1+M$5,5)/100</f>
        <v>#N/A</v>
      </c>
      <c r="N128" s="191" t="e" cm="1">
        <f t="array" ref="N128">INDEX('IES Schedule Importer'!$A$4:$S$1048576,MATCH($D112,'IES Schedule Importer'!$A$4:$A$1048576,0)+1+N$5,5)/100</f>
        <v>#N/A</v>
      </c>
      <c r="O128" s="191" t="e" cm="1">
        <f t="array" ref="O128">INDEX('IES Schedule Importer'!$A$4:$S$1048576,MATCH($D112,'IES Schedule Importer'!$A$4:$A$1048576,0)+1+O$5,5)/100</f>
        <v>#N/A</v>
      </c>
      <c r="P128" s="191" t="e" cm="1">
        <f t="array" ref="P128">INDEX('IES Schedule Importer'!$A$4:$S$1048576,MATCH($D112,'IES Schedule Importer'!$A$4:$A$1048576,0)+1+P$5,5)/100</f>
        <v>#N/A</v>
      </c>
      <c r="Q128" s="191" t="e" cm="1">
        <f t="array" ref="Q128">INDEX('IES Schedule Importer'!$A$4:$S$1048576,MATCH($D112,'IES Schedule Importer'!$A$4:$A$1048576,0)+1+Q$5,5)/100</f>
        <v>#N/A</v>
      </c>
      <c r="R128" s="191" t="e" cm="1">
        <f t="array" ref="R128">INDEX('IES Schedule Importer'!$A$4:$S$1048576,MATCH($D112,'IES Schedule Importer'!$A$4:$A$1048576,0)+1+R$5,5)/100</f>
        <v>#N/A</v>
      </c>
      <c r="S128" s="191" t="e" cm="1">
        <f t="array" ref="S128">INDEX('IES Schedule Importer'!$A$4:$S$1048576,MATCH($D112,'IES Schedule Importer'!$A$4:$A$1048576,0)+1+S$5,5)/100</f>
        <v>#N/A</v>
      </c>
      <c r="T128" s="191" t="e" cm="1">
        <f t="array" ref="T128">INDEX('IES Schedule Importer'!$A$4:$S$1048576,MATCH($D112,'IES Schedule Importer'!$A$4:$A$1048576,0)+1+T$5,5)/100</f>
        <v>#N/A</v>
      </c>
      <c r="U128" s="191" t="e" cm="1">
        <f t="array" ref="U128">INDEX('IES Schedule Importer'!$A$4:$S$1048576,MATCH($D112,'IES Schedule Importer'!$A$4:$A$1048576,0)+1+U$5,5)/100</f>
        <v>#N/A</v>
      </c>
      <c r="V128" s="191" t="e" cm="1">
        <f t="array" ref="V128">INDEX('IES Schedule Importer'!$A$4:$S$1048576,MATCH($D112,'IES Schedule Importer'!$A$4:$A$1048576,0)+1+V$5,5)/100</f>
        <v>#N/A</v>
      </c>
      <c r="W128" s="191" t="e" cm="1">
        <f t="array" ref="W128">INDEX('IES Schedule Importer'!$A$4:$S$1048576,MATCH($D112,'IES Schedule Importer'!$A$4:$A$1048576,0)+1+W$5,5)/100</f>
        <v>#N/A</v>
      </c>
      <c r="X128" s="191" t="e" cm="1">
        <f t="array" ref="X128">INDEX('IES Schedule Importer'!$A$4:$S$1048576,MATCH($D112,'IES Schedule Importer'!$A$4:$A$1048576,0)+1+X$5,5)/100</f>
        <v>#N/A</v>
      </c>
      <c r="Y128" s="191" t="e" cm="1">
        <f t="array" ref="Y128">INDEX('IES Schedule Importer'!$A$4:$S$1048576,MATCH($D112,'IES Schedule Importer'!$A$4:$A$1048576,0)+1+Y$5,5)/100</f>
        <v>#N/A</v>
      </c>
      <c r="Z128" s="191" t="e" cm="1">
        <f t="array" ref="Z128">INDEX('IES Schedule Importer'!$A$4:$S$1048576,MATCH($D112,'IES Schedule Importer'!$A$4:$A$1048576,0)+1+Z$5,5)/100</f>
        <v>#N/A</v>
      </c>
      <c r="AA128" s="191" t="e" cm="1">
        <f t="array" ref="AA128">INDEX('IES Schedule Importer'!$A$4:$S$1048576,MATCH($D112,'IES Schedule Importer'!$A$4:$A$1048576,0)+1+AA$5,5)/100</f>
        <v>#N/A</v>
      </c>
      <c r="AF128" t="s">
        <v>1025</v>
      </c>
      <c r="AG128" s="191" t="e" cm="1">
        <f t="array" ref="AG128">INDEX('IES Schedule Importer'!$A$4:$S$1048576,MATCH($AG112,'IES Schedule Importer'!$A$4:$A$1048576,0)+1+AG$5,8)/100</f>
        <v>#N/A</v>
      </c>
      <c r="AH128" s="191" t="e" cm="1">
        <f t="array" ref="AH128">INDEX('IES Schedule Importer'!$A$4:$S$1048576,MATCH($AG112,'IES Schedule Importer'!$A$4:$A$1048576,0)+1+AH$5,8)/100</f>
        <v>#N/A</v>
      </c>
      <c r="AI128" s="191" t="e" cm="1">
        <f t="array" ref="AI128">INDEX('IES Schedule Importer'!$A$4:$S$1048576,MATCH($AG112,'IES Schedule Importer'!$A$4:$A$1048576,0)+1+AI$5,8)/100</f>
        <v>#N/A</v>
      </c>
      <c r="AJ128" s="191" t="e" cm="1">
        <f t="array" ref="AJ128">INDEX('IES Schedule Importer'!$A$4:$S$1048576,MATCH($AG112,'IES Schedule Importer'!$A$4:$A$1048576,0)+1+AJ$5,8)/100</f>
        <v>#N/A</v>
      </c>
      <c r="AK128" s="191" t="e" cm="1">
        <f t="array" ref="AK128">INDEX('IES Schedule Importer'!$A$4:$S$1048576,MATCH($AG112,'IES Schedule Importer'!$A$4:$A$1048576,0)+1+AK$5,8)/100</f>
        <v>#N/A</v>
      </c>
      <c r="AL128" s="191" t="e" cm="1">
        <f t="array" ref="AL128">INDEX('IES Schedule Importer'!$A$4:$S$1048576,MATCH($AG112,'IES Schedule Importer'!$A$4:$A$1048576,0)+1+AL$5,8)/100</f>
        <v>#N/A</v>
      </c>
      <c r="AM128" s="191" t="e" cm="1">
        <f t="array" ref="AM128">INDEX('IES Schedule Importer'!$A$4:$S$1048576,MATCH($AG112,'IES Schedule Importer'!$A$4:$A$1048576,0)+1+AM$5,8)/100</f>
        <v>#N/A</v>
      </c>
      <c r="AN128" s="191" t="e" cm="1">
        <f t="array" ref="AN128">INDEX('IES Schedule Importer'!$A$4:$S$1048576,MATCH($AG112,'IES Schedule Importer'!$A$4:$A$1048576,0)+1+AN$5,8)/100</f>
        <v>#N/A</v>
      </c>
      <c r="AO128" s="191" t="e" cm="1">
        <f t="array" ref="AO128">INDEX('IES Schedule Importer'!$A$4:$S$1048576,MATCH($AG112,'IES Schedule Importer'!$A$4:$A$1048576,0)+1+AO$5,8)/100</f>
        <v>#N/A</v>
      </c>
      <c r="AP128" s="191" t="e" cm="1">
        <f t="array" ref="AP128">INDEX('IES Schedule Importer'!$A$4:$S$1048576,MATCH($AG112,'IES Schedule Importer'!$A$4:$A$1048576,0)+1+AP$5,8)/100</f>
        <v>#N/A</v>
      </c>
      <c r="AQ128" s="191" t="e" cm="1">
        <f t="array" ref="AQ128">INDEX('IES Schedule Importer'!$A$4:$S$1048576,MATCH($AG112,'IES Schedule Importer'!$A$4:$A$1048576,0)+1+AQ$5,8)/100</f>
        <v>#N/A</v>
      </c>
      <c r="AR128" s="191" t="e" cm="1">
        <f t="array" ref="AR128">INDEX('IES Schedule Importer'!$A$4:$S$1048576,MATCH($AG112,'IES Schedule Importer'!$A$4:$A$1048576,0)+1+AR$5,8)/100</f>
        <v>#N/A</v>
      </c>
      <c r="AS128" s="191" t="e" cm="1">
        <f t="array" ref="AS128">INDEX('IES Schedule Importer'!$A$4:$S$1048576,MATCH($AG112,'IES Schedule Importer'!$A$4:$A$1048576,0)+1+AS$5,8)/100</f>
        <v>#N/A</v>
      </c>
      <c r="AT128" s="191" t="e" cm="1">
        <f t="array" ref="AT128">INDEX('IES Schedule Importer'!$A$4:$S$1048576,MATCH($AG112,'IES Schedule Importer'!$A$4:$A$1048576,0)+1+AT$5,8)/100</f>
        <v>#N/A</v>
      </c>
      <c r="AU128" s="191" t="e" cm="1">
        <f t="array" ref="AU128">INDEX('IES Schedule Importer'!$A$4:$S$1048576,MATCH($AG112,'IES Schedule Importer'!$A$4:$A$1048576,0)+1+AU$5,8)/100</f>
        <v>#N/A</v>
      </c>
      <c r="AV128" s="191" t="e" cm="1">
        <f t="array" ref="AV128">INDEX('IES Schedule Importer'!$A$4:$S$1048576,MATCH($AG112,'IES Schedule Importer'!$A$4:$A$1048576,0)+1+AV$5,8)/100</f>
        <v>#N/A</v>
      </c>
      <c r="AW128" s="191" t="e" cm="1">
        <f t="array" ref="AW128">INDEX('IES Schedule Importer'!$A$4:$S$1048576,MATCH($AG112,'IES Schedule Importer'!$A$4:$A$1048576,0)+1+AW$5,8)/100</f>
        <v>#N/A</v>
      </c>
      <c r="AX128" s="191" t="e" cm="1">
        <f t="array" ref="AX128">INDEX('IES Schedule Importer'!$A$4:$S$1048576,MATCH($AG112,'IES Schedule Importer'!$A$4:$A$1048576,0)+1+AX$5,8)/100</f>
        <v>#N/A</v>
      </c>
      <c r="AY128" s="191" t="e" cm="1">
        <f t="array" ref="AY128">INDEX('IES Schedule Importer'!$A$4:$S$1048576,MATCH($AG112,'IES Schedule Importer'!$A$4:$A$1048576,0)+1+AY$5,8)/100</f>
        <v>#N/A</v>
      </c>
      <c r="AZ128" s="191" t="e" cm="1">
        <f t="array" ref="AZ128">INDEX('IES Schedule Importer'!$A$4:$S$1048576,MATCH($AG112,'IES Schedule Importer'!$A$4:$A$1048576,0)+1+AZ$5,8)/100</f>
        <v>#N/A</v>
      </c>
      <c r="BA128" s="191" t="e" cm="1">
        <f t="array" ref="BA128">INDEX('IES Schedule Importer'!$A$4:$S$1048576,MATCH($AG112,'IES Schedule Importer'!$A$4:$A$1048576,0)+1+BA$5,8)/100</f>
        <v>#N/A</v>
      </c>
      <c r="BB128" s="191" t="e" cm="1">
        <f t="array" ref="BB128">INDEX('IES Schedule Importer'!$A$4:$S$1048576,MATCH($AG112,'IES Schedule Importer'!$A$4:$A$1048576,0)+1+BB$5,8)/100</f>
        <v>#N/A</v>
      </c>
      <c r="BC128" s="191" t="e" cm="1">
        <f t="array" ref="BC128">INDEX('IES Schedule Importer'!$A$4:$S$1048576,MATCH($AG112,'IES Schedule Importer'!$A$4:$A$1048576,0)+1+BC$5,8)/100</f>
        <v>#N/A</v>
      </c>
      <c r="BD128" s="191" t="e" cm="1">
        <f t="array" ref="BD128">INDEX('IES Schedule Importer'!$A$4:$S$1048576,MATCH($AG112,'IES Schedule Importer'!$A$4:$A$1048576,0)+1+BD$5,8)/100</f>
        <v>#N/A</v>
      </c>
    </row>
    <row r="129" spans="3:56" x14ac:dyDescent="0.25">
      <c r="C129" t="s">
        <v>1026</v>
      </c>
      <c r="D129" s="191" t="e" cm="1">
        <f t="array" ref="D129">INDEX('IES Schedule Importer'!$A$4:$S$1048576,MATCH($D112,'IES Schedule Importer'!$A$4:$A$1048576,0)+1+D$5,6)/100</f>
        <v>#N/A</v>
      </c>
      <c r="E129" s="191" t="e" cm="1">
        <f t="array" ref="E129">INDEX('IES Schedule Importer'!$A$4:$S$1048576,MATCH($D112,'IES Schedule Importer'!$A$4:$A$1048576,0)+1+E$5,6)/100</f>
        <v>#N/A</v>
      </c>
      <c r="F129" s="191" t="e" cm="1">
        <f t="array" ref="F129">INDEX('IES Schedule Importer'!$A$4:$S$1048576,MATCH($D112,'IES Schedule Importer'!$A$4:$A$1048576,0)+1+F$5,6)/100</f>
        <v>#N/A</v>
      </c>
      <c r="G129" s="191" t="e" cm="1">
        <f t="array" ref="G129">INDEX('IES Schedule Importer'!$A$4:$S$1048576,MATCH($D112,'IES Schedule Importer'!$A$4:$A$1048576,0)+1+G$5,6)/100</f>
        <v>#N/A</v>
      </c>
      <c r="H129" s="191" t="e" cm="1">
        <f t="array" ref="H129">INDEX('IES Schedule Importer'!$A$4:$S$1048576,MATCH($D112,'IES Schedule Importer'!$A$4:$A$1048576,0)+1+H$5,6)/100</f>
        <v>#N/A</v>
      </c>
      <c r="I129" s="191" t="e" cm="1">
        <f t="array" ref="I129">INDEX('IES Schedule Importer'!$A$4:$S$1048576,MATCH($D112,'IES Schedule Importer'!$A$4:$A$1048576,0)+1+I$5,6)/100</f>
        <v>#N/A</v>
      </c>
      <c r="J129" s="191" t="e" cm="1">
        <f t="array" ref="J129">INDEX('IES Schedule Importer'!$A$4:$S$1048576,MATCH($D112,'IES Schedule Importer'!$A$4:$A$1048576,0)+1+J$5,6)/100</f>
        <v>#N/A</v>
      </c>
      <c r="K129" s="191" t="e" cm="1">
        <f t="array" ref="K129">INDEX('IES Schedule Importer'!$A$4:$S$1048576,MATCH($D112,'IES Schedule Importer'!$A$4:$A$1048576,0)+1+K$5,6)/100</f>
        <v>#N/A</v>
      </c>
      <c r="L129" s="191" t="e" cm="1">
        <f t="array" ref="L129">INDEX('IES Schedule Importer'!$A$4:$S$1048576,MATCH($D112,'IES Schedule Importer'!$A$4:$A$1048576,0)+1+L$5,6)/100</f>
        <v>#N/A</v>
      </c>
      <c r="M129" s="191" t="e" cm="1">
        <f t="array" ref="M129">INDEX('IES Schedule Importer'!$A$4:$S$1048576,MATCH($D112,'IES Schedule Importer'!$A$4:$A$1048576,0)+1+M$5,6)/100</f>
        <v>#N/A</v>
      </c>
      <c r="N129" s="191" t="e" cm="1">
        <f t="array" ref="N129">INDEX('IES Schedule Importer'!$A$4:$S$1048576,MATCH($D112,'IES Schedule Importer'!$A$4:$A$1048576,0)+1+N$5,6)/100</f>
        <v>#N/A</v>
      </c>
      <c r="O129" s="191" t="e" cm="1">
        <f t="array" ref="O129">INDEX('IES Schedule Importer'!$A$4:$S$1048576,MATCH($D112,'IES Schedule Importer'!$A$4:$A$1048576,0)+1+O$5,6)/100</f>
        <v>#N/A</v>
      </c>
      <c r="P129" s="191" t="e" cm="1">
        <f t="array" ref="P129">INDEX('IES Schedule Importer'!$A$4:$S$1048576,MATCH($D112,'IES Schedule Importer'!$A$4:$A$1048576,0)+1+P$5,6)/100</f>
        <v>#N/A</v>
      </c>
      <c r="Q129" s="191" t="e" cm="1">
        <f t="array" ref="Q129">INDEX('IES Schedule Importer'!$A$4:$S$1048576,MATCH($D112,'IES Schedule Importer'!$A$4:$A$1048576,0)+1+Q$5,6)/100</f>
        <v>#N/A</v>
      </c>
      <c r="R129" s="191" t="e" cm="1">
        <f t="array" ref="R129">INDEX('IES Schedule Importer'!$A$4:$S$1048576,MATCH($D112,'IES Schedule Importer'!$A$4:$A$1048576,0)+1+R$5,6)/100</f>
        <v>#N/A</v>
      </c>
      <c r="S129" s="191" t="e" cm="1">
        <f t="array" ref="S129">INDEX('IES Schedule Importer'!$A$4:$S$1048576,MATCH($D112,'IES Schedule Importer'!$A$4:$A$1048576,0)+1+S$5,6)/100</f>
        <v>#N/A</v>
      </c>
      <c r="T129" s="191" t="e" cm="1">
        <f t="array" ref="T129">INDEX('IES Schedule Importer'!$A$4:$S$1048576,MATCH($D112,'IES Schedule Importer'!$A$4:$A$1048576,0)+1+T$5,6)/100</f>
        <v>#N/A</v>
      </c>
      <c r="U129" s="191" t="e" cm="1">
        <f t="array" ref="U129">INDEX('IES Schedule Importer'!$A$4:$S$1048576,MATCH($D112,'IES Schedule Importer'!$A$4:$A$1048576,0)+1+U$5,6)/100</f>
        <v>#N/A</v>
      </c>
      <c r="V129" s="191" t="e" cm="1">
        <f t="array" ref="V129">INDEX('IES Schedule Importer'!$A$4:$S$1048576,MATCH($D112,'IES Schedule Importer'!$A$4:$A$1048576,0)+1+V$5,6)/100</f>
        <v>#N/A</v>
      </c>
      <c r="W129" s="191" t="e" cm="1">
        <f t="array" ref="W129">INDEX('IES Schedule Importer'!$A$4:$S$1048576,MATCH($D112,'IES Schedule Importer'!$A$4:$A$1048576,0)+1+W$5,6)/100</f>
        <v>#N/A</v>
      </c>
      <c r="X129" s="191" t="e" cm="1">
        <f t="array" ref="X129">INDEX('IES Schedule Importer'!$A$4:$S$1048576,MATCH($D112,'IES Schedule Importer'!$A$4:$A$1048576,0)+1+X$5,6)/100</f>
        <v>#N/A</v>
      </c>
      <c r="Y129" s="191" t="e" cm="1">
        <f t="array" ref="Y129">INDEX('IES Schedule Importer'!$A$4:$S$1048576,MATCH($D112,'IES Schedule Importer'!$A$4:$A$1048576,0)+1+Y$5,6)/100</f>
        <v>#N/A</v>
      </c>
      <c r="Z129" s="191" t="e" cm="1">
        <f t="array" ref="Z129">INDEX('IES Schedule Importer'!$A$4:$S$1048576,MATCH($D112,'IES Schedule Importer'!$A$4:$A$1048576,0)+1+Z$5,6)/100</f>
        <v>#N/A</v>
      </c>
      <c r="AA129" s="191" t="e" cm="1">
        <f t="array" ref="AA129">INDEX('IES Schedule Importer'!$A$4:$S$1048576,MATCH($D112,'IES Schedule Importer'!$A$4:$A$1048576,0)+1+AA$5,6)/100</f>
        <v>#N/A</v>
      </c>
      <c r="AF129" t="s">
        <v>1026</v>
      </c>
      <c r="AG129" s="191" t="e" cm="1">
        <f t="array" ref="AG129">INDEX('IES Schedule Importer'!$A$4:$S$1048576,MATCH($AG112,'IES Schedule Importer'!$A$4:$A$1048576,0)+1+AG$5,9)/100</f>
        <v>#N/A</v>
      </c>
      <c r="AH129" s="191" t="e" cm="1">
        <f t="array" ref="AH129">INDEX('IES Schedule Importer'!$A$4:$S$1048576,MATCH($AG112,'IES Schedule Importer'!$A$4:$A$1048576,0)+1+AH$5,9)/100</f>
        <v>#N/A</v>
      </c>
      <c r="AI129" s="191" t="e" cm="1">
        <f t="array" ref="AI129">INDEX('IES Schedule Importer'!$A$4:$S$1048576,MATCH($AG112,'IES Schedule Importer'!$A$4:$A$1048576,0)+1+AI$5,9)/100</f>
        <v>#N/A</v>
      </c>
      <c r="AJ129" s="191" t="e" cm="1">
        <f t="array" ref="AJ129">INDEX('IES Schedule Importer'!$A$4:$S$1048576,MATCH($AG112,'IES Schedule Importer'!$A$4:$A$1048576,0)+1+AJ$5,9)/100</f>
        <v>#N/A</v>
      </c>
      <c r="AK129" s="191" t="e" cm="1">
        <f t="array" ref="AK129">INDEX('IES Schedule Importer'!$A$4:$S$1048576,MATCH($AG112,'IES Schedule Importer'!$A$4:$A$1048576,0)+1+AK$5,9)/100</f>
        <v>#N/A</v>
      </c>
      <c r="AL129" s="191" t="e" cm="1">
        <f t="array" ref="AL129">INDEX('IES Schedule Importer'!$A$4:$S$1048576,MATCH($AG112,'IES Schedule Importer'!$A$4:$A$1048576,0)+1+AL$5,9)/100</f>
        <v>#N/A</v>
      </c>
      <c r="AM129" s="191" t="e" cm="1">
        <f t="array" ref="AM129">INDEX('IES Schedule Importer'!$A$4:$S$1048576,MATCH($AG112,'IES Schedule Importer'!$A$4:$A$1048576,0)+1+AM$5,9)/100</f>
        <v>#N/A</v>
      </c>
      <c r="AN129" s="191" t="e" cm="1">
        <f t="array" ref="AN129">INDEX('IES Schedule Importer'!$A$4:$S$1048576,MATCH($AG112,'IES Schedule Importer'!$A$4:$A$1048576,0)+1+AN$5,9)/100</f>
        <v>#N/A</v>
      </c>
      <c r="AO129" s="191" t="e" cm="1">
        <f t="array" ref="AO129">INDEX('IES Schedule Importer'!$A$4:$S$1048576,MATCH($AG112,'IES Schedule Importer'!$A$4:$A$1048576,0)+1+AO$5,9)/100</f>
        <v>#N/A</v>
      </c>
      <c r="AP129" s="191" t="e" cm="1">
        <f t="array" ref="AP129">INDEX('IES Schedule Importer'!$A$4:$S$1048576,MATCH($AG112,'IES Schedule Importer'!$A$4:$A$1048576,0)+1+AP$5,9)/100</f>
        <v>#N/A</v>
      </c>
      <c r="AQ129" s="191" t="e" cm="1">
        <f t="array" ref="AQ129">INDEX('IES Schedule Importer'!$A$4:$S$1048576,MATCH($AG112,'IES Schedule Importer'!$A$4:$A$1048576,0)+1+AQ$5,9)/100</f>
        <v>#N/A</v>
      </c>
      <c r="AR129" s="191" t="e" cm="1">
        <f t="array" ref="AR129">INDEX('IES Schedule Importer'!$A$4:$S$1048576,MATCH($AG112,'IES Schedule Importer'!$A$4:$A$1048576,0)+1+AR$5,9)/100</f>
        <v>#N/A</v>
      </c>
      <c r="AS129" s="191" t="e" cm="1">
        <f t="array" ref="AS129">INDEX('IES Schedule Importer'!$A$4:$S$1048576,MATCH($AG112,'IES Schedule Importer'!$A$4:$A$1048576,0)+1+AS$5,9)/100</f>
        <v>#N/A</v>
      </c>
      <c r="AT129" s="191" t="e" cm="1">
        <f t="array" ref="AT129">INDEX('IES Schedule Importer'!$A$4:$S$1048576,MATCH($AG112,'IES Schedule Importer'!$A$4:$A$1048576,0)+1+AT$5,9)/100</f>
        <v>#N/A</v>
      </c>
      <c r="AU129" s="191" t="e" cm="1">
        <f t="array" ref="AU129">INDEX('IES Schedule Importer'!$A$4:$S$1048576,MATCH($AG112,'IES Schedule Importer'!$A$4:$A$1048576,0)+1+AU$5,9)/100</f>
        <v>#N/A</v>
      </c>
      <c r="AV129" s="191" t="e" cm="1">
        <f t="array" ref="AV129">INDEX('IES Schedule Importer'!$A$4:$S$1048576,MATCH($AG112,'IES Schedule Importer'!$A$4:$A$1048576,0)+1+AV$5,9)/100</f>
        <v>#N/A</v>
      </c>
      <c r="AW129" s="191" t="e" cm="1">
        <f t="array" ref="AW129">INDEX('IES Schedule Importer'!$A$4:$S$1048576,MATCH($AG112,'IES Schedule Importer'!$A$4:$A$1048576,0)+1+AW$5,9)/100</f>
        <v>#N/A</v>
      </c>
      <c r="AX129" s="191" t="e" cm="1">
        <f t="array" ref="AX129">INDEX('IES Schedule Importer'!$A$4:$S$1048576,MATCH($AG112,'IES Schedule Importer'!$A$4:$A$1048576,0)+1+AX$5,9)/100</f>
        <v>#N/A</v>
      </c>
      <c r="AY129" s="191" t="e" cm="1">
        <f t="array" ref="AY129">INDEX('IES Schedule Importer'!$A$4:$S$1048576,MATCH($AG112,'IES Schedule Importer'!$A$4:$A$1048576,0)+1+AY$5,9)/100</f>
        <v>#N/A</v>
      </c>
      <c r="AZ129" s="191" t="e" cm="1">
        <f t="array" ref="AZ129">INDEX('IES Schedule Importer'!$A$4:$S$1048576,MATCH($AG112,'IES Schedule Importer'!$A$4:$A$1048576,0)+1+AZ$5,9)/100</f>
        <v>#N/A</v>
      </c>
      <c r="BA129" s="191" t="e" cm="1">
        <f t="array" ref="BA129">INDEX('IES Schedule Importer'!$A$4:$S$1048576,MATCH($AG112,'IES Schedule Importer'!$A$4:$A$1048576,0)+1+BA$5,9)/100</f>
        <v>#N/A</v>
      </c>
      <c r="BB129" s="191" t="e" cm="1">
        <f t="array" ref="BB129">INDEX('IES Schedule Importer'!$A$4:$S$1048576,MATCH($AG112,'IES Schedule Importer'!$A$4:$A$1048576,0)+1+BB$5,9)/100</f>
        <v>#N/A</v>
      </c>
      <c r="BC129" s="191" t="e" cm="1">
        <f t="array" ref="BC129">INDEX('IES Schedule Importer'!$A$4:$S$1048576,MATCH($AG112,'IES Schedule Importer'!$A$4:$A$1048576,0)+1+BC$5,9)/100</f>
        <v>#N/A</v>
      </c>
      <c r="BD129" s="191" t="e" cm="1">
        <f t="array" ref="BD129">INDEX('IES Schedule Importer'!$A$4:$S$1048576,MATCH($AG112,'IES Schedule Importer'!$A$4:$A$1048576,0)+1+BD$5,9)/100</f>
        <v>#N/A</v>
      </c>
    </row>
    <row r="130" spans="3:56" x14ac:dyDescent="0.25">
      <c r="C130" t="s">
        <v>1027</v>
      </c>
      <c r="D130" s="191" t="e" cm="1">
        <f t="array" ref="D130">INDEX('IES Schedule Importer'!$A$4:$S$1048576,MATCH($D112,'IES Schedule Importer'!$A$4:$A$1048576,0)+1+D$5,7)/100</f>
        <v>#N/A</v>
      </c>
      <c r="E130" s="191" t="e" cm="1">
        <f t="array" ref="E130">INDEX('IES Schedule Importer'!$A$4:$S$1048576,MATCH($D112,'IES Schedule Importer'!$A$4:$A$1048576,0)+1+E$5,7)/100</f>
        <v>#N/A</v>
      </c>
      <c r="F130" s="191" t="e" cm="1">
        <f t="array" ref="F130">INDEX('IES Schedule Importer'!$A$4:$S$1048576,MATCH($D112,'IES Schedule Importer'!$A$4:$A$1048576,0)+1+F$5,7)/100</f>
        <v>#N/A</v>
      </c>
      <c r="G130" s="191" t="e" cm="1">
        <f t="array" ref="G130">INDEX('IES Schedule Importer'!$A$4:$S$1048576,MATCH($D112,'IES Schedule Importer'!$A$4:$A$1048576,0)+1+G$5,7)/100</f>
        <v>#N/A</v>
      </c>
      <c r="H130" s="191" t="e" cm="1">
        <f t="array" ref="H130">INDEX('IES Schedule Importer'!$A$4:$S$1048576,MATCH($D112,'IES Schedule Importer'!$A$4:$A$1048576,0)+1+H$5,7)/100</f>
        <v>#N/A</v>
      </c>
      <c r="I130" s="191" t="e" cm="1">
        <f t="array" ref="I130">INDEX('IES Schedule Importer'!$A$4:$S$1048576,MATCH($D112,'IES Schedule Importer'!$A$4:$A$1048576,0)+1+I$5,7)/100</f>
        <v>#N/A</v>
      </c>
      <c r="J130" s="191" t="e" cm="1">
        <f t="array" ref="J130">INDEX('IES Schedule Importer'!$A$4:$S$1048576,MATCH($D112,'IES Schedule Importer'!$A$4:$A$1048576,0)+1+J$5,7)/100</f>
        <v>#N/A</v>
      </c>
      <c r="K130" s="191" t="e" cm="1">
        <f t="array" ref="K130">INDEX('IES Schedule Importer'!$A$4:$S$1048576,MATCH($D112,'IES Schedule Importer'!$A$4:$A$1048576,0)+1+K$5,7)/100</f>
        <v>#N/A</v>
      </c>
      <c r="L130" s="191" t="e" cm="1">
        <f t="array" ref="L130">INDEX('IES Schedule Importer'!$A$4:$S$1048576,MATCH($D112,'IES Schedule Importer'!$A$4:$A$1048576,0)+1+L$5,7)/100</f>
        <v>#N/A</v>
      </c>
      <c r="M130" s="191" t="e" cm="1">
        <f t="array" ref="M130">INDEX('IES Schedule Importer'!$A$4:$S$1048576,MATCH($D112,'IES Schedule Importer'!$A$4:$A$1048576,0)+1+M$5,7)/100</f>
        <v>#N/A</v>
      </c>
      <c r="N130" s="191" t="e" cm="1">
        <f t="array" ref="N130">INDEX('IES Schedule Importer'!$A$4:$S$1048576,MATCH($D112,'IES Schedule Importer'!$A$4:$A$1048576,0)+1+N$5,7)/100</f>
        <v>#N/A</v>
      </c>
      <c r="O130" s="191" t="e" cm="1">
        <f t="array" ref="O130">INDEX('IES Schedule Importer'!$A$4:$S$1048576,MATCH($D112,'IES Schedule Importer'!$A$4:$A$1048576,0)+1+O$5,7)/100</f>
        <v>#N/A</v>
      </c>
      <c r="P130" s="191" t="e" cm="1">
        <f t="array" ref="P130">INDEX('IES Schedule Importer'!$A$4:$S$1048576,MATCH($D112,'IES Schedule Importer'!$A$4:$A$1048576,0)+1+P$5,7)/100</f>
        <v>#N/A</v>
      </c>
      <c r="Q130" s="191" t="e" cm="1">
        <f t="array" ref="Q130">INDEX('IES Schedule Importer'!$A$4:$S$1048576,MATCH($D112,'IES Schedule Importer'!$A$4:$A$1048576,0)+1+Q$5,7)/100</f>
        <v>#N/A</v>
      </c>
      <c r="R130" s="191" t="e" cm="1">
        <f t="array" ref="R130">INDEX('IES Schedule Importer'!$A$4:$S$1048576,MATCH($D112,'IES Schedule Importer'!$A$4:$A$1048576,0)+1+R$5,7)/100</f>
        <v>#N/A</v>
      </c>
      <c r="S130" s="191" t="e" cm="1">
        <f t="array" ref="S130">INDEX('IES Schedule Importer'!$A$4:$S$1048576,MATCH($D112,'IES Schedule Importer'!$A$4:$A$1048576,0)+1+S$5,7)/100</f>
        <v>#N/A</v>
      </c>
      <c r="T130" s="191" t="e" cm="1">
        <f t="array" ref="T130">INDEX('IES Schedule Importer'!$A$4:$S$1048576,MATCH($D112,'IES Schedule Importer'!$A$4:$A$1048576,0)+1+T$5,7)/100</f>
        <v>#N/A</v>
      </c>
      <c r="U130" s="191" t="e" cm="1">
        <f t="array" ref="U130">INDEX('IES Schedule Importer'!$A$4:$S$1048576,MATCH($D112,'IES Schedule Importer'!$A$4:$A$1048576,0)+1+U$5,7)/100</f>
        <v>#N/A</v>
      </c>
      <c r="V130" s="191" t="e" cm="1">
        <f t="array" ref="V130">INDEX('IES Schedule Importer'!$A$4:$S$1048576,MATCH($D112,'IES Schedule Importer'!$A$4:$A$1048576,0)+1+V$5,7)/100</f>
        <v>#N/A</v>
      </c>
      <c r="W130" s="191" t="e" cm="1">
        <f t="array" ref="W130">INDEX('IES Schedule Importer'!$A$4:$S$1048576,MATCH($D112,'IES Schedule Importer'!$A$4:$A$1048576,0)+1+W$5,7)/100</f>
        <v>#N/A</v>
      </c>
      <c r="X130" s="191" t="e" cm="1">
        <f t="array" ref="X130">INDEX('IES Schedule Importer'!$A$4:$S$1048576,MATCH($D112,'IES Schedule Importer'!$A$4:$A$1048576,0)+1+X$5,7)/100</f>
        <v>#N/A</v>
      </c>
      <c r="Y130" s="191" t="e" cm="1">
        <f t="array" ref="Y130">INDEX('IES Schedule Importer'!$A$4:$S$1048576,MATCH($D112,'IES Schedule Importer'!$A$4:$A$1048576,0)+1+Y$5,7)/100</f>
        <v>#N/A</v>
      </c>
      <c r="Z130" s="191" t="e" cm="1">
        <f t="array" ref="Z130">INDEX('IES Schedule Importer'!$A$4:$S$1048576,MATCH($D112,'IES Schedule Importer'!$A$4:$A$1048576,0)+1+Z$5,7)/100</f>
        <v>#N/A</v>
      </c>
      <c r="AA130" s="191" t="e" cm="1">
        <f t="array" ref="AA130">INDEX('IES Schedule Importer'!$A$4:$S$1048576,MATCH($D112,'IES Schedule Importer'!$A$4:$A$1048576,0)+1+AA$5,7)/100</f>
        <v>#N/A</v>
      </c>
      <c r="AF130" t="s">
        <v>1027</v>
      </c>
      <c r="AG130" s="191" t="e" cm="1">
        <f t="array" ref="AG130">INDEX('IES Schedule Importer'!$A$4:$S$1048576,MATCH($AG112,'IES Schedule Importer'!$A$4:$A$1048576,0)+1+AG$5,10)/100</f>
        <v>#N/A</v>
      </c>
      <c r="AH130" s="191" t="e" cm="1">
        <f t="array" ref="AH130">INDEX('IES Schedule Importer'!$A$4:$S$1048576,MATCH($AG112,'IES Schedule Importer'!$A$4:$A$1048576,0)+1+AH$5,10)/100</f>
        <v>#N/A</v>
      </c>
      <c r="AI130" s="191" t="e" cm="1">
        <f t="array" ref="AI130">INDEX('IES Schedule Importer'!$A$4:$S$1048576,MATCH($AG112,'IES Schedule Importer'!$A$4:$A$1048576,0)+1+AI$5,10)/100</f>
        <v>#N/A</v>
      </c>
      <c r="AJ130" s="191" t="e" cm="1">
        <f t="array" ref="AJ130">INDEX('IES Schedule Importer'!$A$4:$S$1048576,MATCH($AG112,'IES Schedule Importer'!$A$4:$A$1048576,0)+1+AJ$5,10)/100</f>
        <v>#N/A</v>
      </c>
      <c r="AK130" s="191" t="e" cm="1">
        <f t="array" ref="AK130">INDEX('IES Schedule Importer'!$A$4:$S$1048576,MATCH($AG112,'IES Schedule Importer'!$A$4:$A$1048576,0)+1+AK$5,10)/100</f>
        <v>#N/A</v>
      </c>
      <c r="AL130" s="191" t="e" cm="1">
        <f t="array" ref="AL130">INDEX('IES Schedule Importer'!$A$4:$S$1048576,MATCH($AG112,'IES Schedule Importer'!$A$4:$A$1048576,0)+1+AL$5,10)/100</f>
        <v>#N/A</v>
      </c>
      <c r="AM130" s="191" t="e" cm="1">
        <f t="array" ref="AM130">INDEX('IES Schedule Importer'!$A$4:$S$1048576,MATCH($AG112,'IES Schedule Importer'!$A$4:$A$1048576,0)+1+AM$5,10)/100</f>
        <v>#N/A</v>
      </c>
      <c r="AN130" s="191" t="e" cm="1">
        <f t="array" ref="AN130">INDEX('IES Schedule Importer'!$A$4:$S$1048576,MATCH($AG112,'IES Schedule Importer'!$A$4:$A$1048576,0)+1+AN$5,10)/100</f>
        <v>#N/A</v>
      </c>
      <c r="AO130" s="191" t="e" cm="1">
        <f t="array" ref="AO130">INDEX('IES Schedule Importer'!$A$4:$S$1048576,MATCH($AG112,'IES Schedule Importer'!$A$4:$A$1048576,0)+1+AO$5,10)/100</f>
        <v>#N/A</v>
      </c>
      <c r="AP130" s="191" t="e" cm="1">
        <f t="array" ref="AP130">INDEX('IES Schedule Importer'!$A$4:$S$1048576,MATCH($AG112,'IES Schedule Importer'!$A$4:$A$1048576,0)+1+AP$5,10)/100</f>
        <v>#N/A</v>
      </c>
      <c r="AQ130" s="191" t="e" cm="1">
        <f t="array" ref="AQ130">INDEX('IES Schedule Importer'!$A$4:$S$1048576,MATCH($AG112,'IES Schedule Importer'!$A$4:$A$1048576,0)+1+AQ$5,10)/100</f>
        <v>#N/A</v>
      </c>
      <c r="AR130" s="191" t="e" cm="1">
        <f t="array" ref="AR130">INDEX('IES Schedule Importer'!$A$4:$S$1048576,MATCH($AG112,'IES Schedule Importer'!$A$4:$A$1048576,0)+1+AR$5,10)/100</f>
        <v>#N/A</v>
      </c>
      <c r="AS130" s="191" t="e" cm="1">
        <f t="array" ref="AS130">INDEX('IES Schedule Importer'!$A$4:$S$1048576,MATCH($AG112,'IES Schedule Importer'!$A$4:$A$1048576,0)+1+AS$5,10)/100</f>
        <v>#N/A</v>
      </c>
      <c r="AT130" s="191" t="e" cm="1">
        <f t="array" ref="AT130">INDEX('IES Schedule Importer'!$A$4:$S$1048576,MATCH($AG112,'IES Schedule Importer'!$A$4:$A$1048576,0)+1+AT$5,10)/100</f>
        <v>#N/A</v>
      </c>
      <c r="AU130" s="191" t="e" cm="1">
        <f t="array" ref="AU130">INDEX('IES Schedule Importer'!$A$4:$S$1048576,MATCH($AG112,'IES Schedule Importer'!$A$4:$A$1048576,0)+1+AU$5,10)/100</f>
        <v>#N/A</v>
      </c>
      <c r="AV130" s="191" t="e" cm="1">
        <f t="array" ref="AV130">INDEX('IES Schedule Importer'!$A$4:$S$1048576,MATCH($AG112,'IES Schedule Importer'!$A$4:$A$1048576,0)+1+AV$5,10)/100</f>
        <v>#N/A</v>
      </c>
      <c r="AW130" s="191" t="e" cm="1">
        <f t="array" ref="AW130">INDEX('IES Schedule Importer'!$A$4:$S$1048576,MATCH($AG112,'IES Schedule Importer'!$A$4:$A$1048576,0)+1+AW$5,10)/100</f>
        <v>#N/A</v>
      </c>
      <c r="AX130" s="191" t="e" cm="1">
        <f t="array" ref="AX130">INDEX('IES Schedule Importer'!$A$4:$S$1048576,MATCH($AG112,'IES Schedule Importer'!$A$4:$A$1048576,0)+1+AX$5,10)/100</f>
        <v>#N/A</v>
      </c>
      <c r="AY130" s="191" t="e" cm="1">
        <f t="array" ref="AY130">INDEX('IES Schedule Importer'!$A$4:$S$1048576,MATCH($AG112,'IES Schedule Importer'!$A$4:$A$1048576,0)+1+AY$5,10)/100</f>
        <v>#N/A</v>
      </c>
      <c r="AZ130" s="191" t="e" cm="1">
        <f t="array" ref="AZ130">INDEX('IES Schedule Importer'!$A$4:$S$1048576,MATCH($AG112,'IES Schedule Importer'!$A$4:$A$1048576,0)+1+AZ$5,10)/100</f>
        <v>#N/A</v>
      </c>
      <c r="BA130" s="191" t="e" cm="1">
        <f t="array" ref="BA130">INDEX('IES Schedule Importer'!$A$4:$S$1048576,MATCH($AG112,'IES Schedule Importer'!$A$4:$A$1048576,0)+1+BA$5,10)/100</f>
        <v>#N/A</v>
      </c>
      <c r="BB130" s="191" t="e" cm="1">
        <f t="array" ref="BB130">INDEX('IES Schedule Importer'!$A$4:$S$1048576,MATCH($AG112,'IES Schedule Importer'!$A$4:$A$1048576,0)+1+BB$5,10)/100</f>
        <v>#N/A</v>
      </c>
      <c r="BC130" s="191" t="e" cm="1">
        <f t="array" ref="BC130">INDEX('IES Schedule Importer'!$A$4:$S$1048576,MATCH($AG112,'IES Schedule Importer'!$A$4:$A$1048576,0)+1+BC$5,10)/100</f>
        <v>#N/A</v>
      </c>
      <c r="BD130" s="191" t="e" cm="1">
        <f t="array" ref="BD130">INDEX('IES Schedule Importer'!$A$4:$S$1048576,MATCH($AG112,'IES Schedule Importer'!$A$4:$A$1048576,0)+1+BD$5,10)/100</f>
        <v>#N/A</v>
      </c>
    </row>
  </sheetData>
  <mergeCells count="14">
    <mergeCell ref="D112:M112"/>
    <mergeCell ref="AG112:AP112"/>
    <mergeCell ref="D49:M49"/>
    <mergeCell ref="AG49:AP49"/>
    <mergeCell ref="D70:M70"/>
    <mergeCell ref="AG70:AP70"/>
    <mergeCell ref="D91:M91"/>
    <mergeCell ref="AG91:AP91"/>
    <mergeCell ref="A6:AB6"/>
    <mergeCell ref="AD6:BE6"/>
    <mergeCell ref="D7:M7"/>
    <mergeCell ref="AG7:AP7"/>
    <mergeCell ref="D28:M28"/>
    <mergeCell ref="AG28:AP28"/>
  </mergeCells>
  <conditionalFormatting sqref="D23:AA23">
    <cfRule type="colorScale" priority="18">
      <colorScale>
        <cfvo type="min"/>
        <cfvo type="max"/>
        <color theme="0"/>
        <color rgb="FFCC0066"/>
      </colorScale>
    </cfRule>
  </conditionalFormatting>
  <conditionalFormatting sqref="D24:AA25">
    <cfRule type="colorScale" priority="17">
      <colorScale>
        <cfvo type="min"/>
        <cfvo type="max"/>
        <color theme="0"/>
        <color rgb="FFCC0066"/>
      </colorScale>
    </cfRule>
  </conditionalFormatting>
  <conditionalFormatting sqref="AG23:BD25">
    <cfRule type="colorScale" priority="16">
      <colorScale>
        <cfvo type="min"/>
        <cfvo type="max"/>
        <color theme="0"/>
        <color rgb="FFCC0066"/>
      </colorScale>
    </cfRule>
  </conditionalFormatting>
  <conditionalFormatting sqref="D44:AA44">
    <cfRule type="colorScale" priority="15">
      <colorScale>
        <cfvo type="min"/>
        <cfvo type="max"/>
        <color theme="0"/>
        <color rgb="FFCC0066"/>
      </colorScale>
    </cfRule>
  </conditionalFormatting>
  <conditionalFormatting sqref="D45:AA46">
    <cfRule type="colorScale" priority="14">
      <colorScale>
        <cfvo type="min"/>
        <cfvo type="max"/>
        <color theme="0"/>
        <color rgb="FFCC0066"/>
      </colorScale>
    </cfRule>
  </conditionalFormatting>
  <conditionalFormatting sqref="AG44:BD46">
    <cfRule type="colorScale" priority="13">
      <colorScale>
        <cfvo type="min"/>
        <cfvo type="max"/>
        <color theme="0"/>
        <color rgb="FFCC0066"/>
      </colorScale>
    </cfRule>
  </conditionalFormatting>
  <conditionalFormatting sqref="D65:AA65">
    <cfRule type="colorScale" priority="12">
      <colorScale>
        <cfvo type="min"/>
        <cfvo type="max"/>
        <color theme="0"/>
        <color rgb="FFCC0066"/>
      </colorScale>
    </cfRule>
  </conditionalFormatting>
  <conditionalFormatting sqref="D66:AA67">
    <cfRule type="colorScale" priority="11">
      <colorScale>
        <cfvo type="min"/>
        <cfvo type="max"/>
        <color theme="0"/>
        <color rgb="FFCC0066"/>
      </colorScale>
    </cfRule>
  </conditionalFormatting>
  <conditionalFormatting sqref="AG65:BD67">
    <cfRule type="colorScale" priority="10">
      <colorScale>
        <cfvo type="min"/>
        <cfvo type="max"/>
        <color theme="0"/>
        <color rgb="FFCC0066"/>
      </colorScale>
    </cfRule>
  </conditionalFormatting>
  <conditionalFormatting sqref="D86:AA86">
    <cfRule type="colorScale" priority="9">
      <colorScale>
        <cfvo type="min"/>
        <cfvo type="max"/>
        <color theme="0"/>
        <color rgb="FFCC0066"/>
      </colorScale>
    </cfRule>
  </conditionalFormatting>
  <conditionalFormatting sqref="D87:AA88">
    <cfRule type="colorScale" priority="8">
      <colorScale>
        <cfvo type="min"/>
        <cfvo type="max"/>
        <color theme="0"/>
        <color rgb="FFCC0066"/>
      </colorScale>
    </cfRule>
  </conditionalFormatting>
  <conditionalFormatting sqref="AG86:BD88">
    <cfRule type="colorScale" priority="7">
      <colorScale>
        <cfvo type="min"/>
        <cfvo type="max"/>
        <color theme="0"/>
        <color rgb="FFCC0066"/>
      </colorScale>
    </cfRule>
  </conditionalFormatting>
  <conditionalFormatting sqref="D107:AA107">
    <cfRule type="colorScale" priority="6">
      <colorScale>
        <cfvo type="min"/>
        <cfvo type="max"/>
        <color theme="0"/>
        <color rgb="FFCC0066"/>
      </colorScale>
    </cfRule>
  </conditionalFormatting>
  <conditionalFormatting sqref="D108:AA109">
    <cfRule type="colorScale" priority="5">
      <colorScale>
        <cfvo type="min"/>
        <cfvo type="max"/>
        <color theme="0"/>
        <color rgb="FFCC0066"/>
      </colorScale>
    </cfRule>
  </conditionalFormatting>
  <conditionalFormatting sqref="AG107:BD109">
    <cfRule type="colorScale" priority="4">
      <colorScale>
        <cfvo type="min"/>
        <cfvo type="max"/>
        <color theme="0"/>
        <color rgb="FFCC0066"/>
      </colorScale>
    </cfRule>
  </conditionalFormatting>
  <conditionalFormatting sqref="D128:AA128">
    <cfRule type="colorScale" priority="3">
      <colorScale>
        <cfvo type="min"/>
        <cfvo type="max"/>
        <color theme="0"/>
        <color rgb="FFCC0066"/>
      </colorScale>
    </cfRule>
  </conditionalFormatting>
  <conditionalFormatting sqref="D129:AA130">
    <cfRule type="colorScale" priority="2">
      <colorScale>
        <cfvo type="min"/>
        <cfvo type="max"/>
        <color theme="0"/>
        <color rgb="FFCC0066"/>
      </colorScale>
    </cfRule>
  </conditionalFormatting>
  <conditionalFormatting sqref="AG128:BD130">
    <cfRule type="colorScale" priority="1">
      <colorScale>
        <cfvo type="min"/>
        <cfvo type="max"/>
        <color theme="0"/>
        <color rgb="FFCC0066"/>
      </colorScale>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62AC016-672C-4B24-977D-7D2EA7CB0205}">
          <x14:formula1>
            <xm:f>'IES Schedule Importer'!$AE$1:$AE$27</xm:f>
          </x14:formula1>
          <xm:sqref>D7:M7 D28:M28 D49:M49 D70:M70 D91:M91 D112:M112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C28B6-6A85-4BA0-936E-D4E657CF774C}">
  <sheetPr codeName="Sheet10"/>
  <dimension ref="A1:AJ546"/>
  <sheetViews>
    <sheetView zoomScale="90" zoomScaleNormal="90" workbookViewId="0">
      <selection activeCell="R453" sqref="R453"/>
    </sheetView>
  </sheetViews>
  <sheetFormatPr defaultRowHeight="15" x14ac:dyDescent="0.25"/>
  <cols>
    <col min="1" max="1" width="34.5703125" customWidth="1"/>
    <col min="2" max="2" width="2.7109375" bestFit="1" customWidth="1"/>
    <col min="3" max="3" width="15.28515625" bestFit="1" customWidth="1"/>
    <col min="4" max="4" width="9.42578125" customWidth="1"/>
    <col min="5" max="19" width="6.28515625" customWidth="1"/>
    <col min="21" max="21" width="34.85546875" hidden="1" customWidth="1"/>
    <col min="22" max="22" width="3" bestFit="1" customWidth="1"/>
    <col min="23" max="23" width="15.28515625" bestFit="1" customWidth="1"/>
    <col min="24" max="24" width="54.85546875" customWidth="1"/>
    <col min="26" max="26" width="19.140625" customWidth="1"/>
    <col min="31" max="31" width="52.5703125" customWidth="1"/>
  </cols>
  <sheetData>
    <row r="1" spans="1:36" ht="15.75" thickBot="1" x14ac:dyDescent="0.3">
      <c r="A1" s="89" t="s">
        <v>1030</v>
      </c>
      <c r="E1" s="193" t="s">
        <v>1031</v>
      </c>
      <c r="F1" s="8"/>
      <c r="G1" s="8"/>
      <c r="H1" s="8"/>
      <c r="I1" s="8"/>
      <c r="J1" s="8"/>
      <c r="K1" s="8"/>
      <c r="L1" s="8"/>
      <c r="M1" s="8"/>
      <c r="X1" s="89" t="s">
        <v>1032</v>
      </c>
      <c r="AE1" t="s">
        <v>1033</v>
      </c>
      <c r="AF1" t="s">
        <v>1034</v>
      </c>
      <c r="AJ1" t="s">
        <v>1035</v>
      </c>
    </row>
    <row r="2" spans="1:36" ht="15.75" thickBot="1" x14ac:dyDescent="0.3">
      <c r="V2" s="776" t="s">
        <v>1036</v>
      </c>
      <c r="W2" s="777"/>
      <c r="X2" s="778"/>
      <c r="Z2" t="s">
        <v>1037</v>
      </c>
      <c r="AA2">
        <f>IFERROR(MATCH($X$3,$A:$A,0),"")</f>
        <v>521</v>
      </c>
      <c r="AE2" t="s">
        <v>1038</v>
      </c>
      <c r="AF2" t="s">
        <v>1039</v>
      </c>
      <c r="AJ2" t="s">
        <v>1040</v>
      </c>
    </row>
    <row r="3" spans="1:36" ht="15.75" thickBot="1" x14ac:dyDescent="0.3">
      <c r="V3" s="194"/>
      <c r="W3" s="39" t="s">
        <v>1041</v>
      </c>
      <c r="X3" s="195" t="s">
        <v>1042</v>
      </c>
      <c r="Z3" t="s">
        <v>1043</v>
      </c>
      <c r="AA3">
        <f>IFERROR(MATCH($X$4,$A$4:$S$4,0),"")</f>
        <v>5</v>
      </c>
      <c r="AE3" t="s">
        <v>1044</v>
      </c>
      <c r="AF3" t="s">
        <v>1045</v>
      </c>
      <c r="AJ3" t="s">
        <v>1046</v>
      </c>
    </row>
    <row r="4" spans="1:36" ht="15.75" thickBot="1" x14ac:dyDescent="0.3">
      <c r="A4" t="s">
        <v>1047</v>
      </c>
      <c r="D4" t="s">
        <v>1048</v>
      </c>
      <c r="E4" t="s">
        <v>498</v>
      </c>
      <c r="H4" t="s">
        <v>500</v>
      </c>
      <c r="K4" t="s">
        <v>1045</v>
      </c>
      <c r="N4" t="s">
        <v>1049</v>
      </c>
      <c r="Q4" t="s">
        <v>1039</v>
      </c>
      <c r="V4" s="194"/>
      <c r="W4" s="196" t="s">
        <v>1050</v>
      </c>
      <c r="X4" s="195" t="s">
        <v>498</v>
      </c>
      <c r="Z4" t="s">
        <v>1051</v>
      </c>
      <c r="AA4">
        <f>IF($X$5="Wk",0,IF($X$5="Sat",1,IF($X$5="Sun",2,"")))</f>
        <v>0</v>
      </c>
      <c r="AE4" t="s">
        <v>1052</v>
      </c>
      <c r="AF4" t="s">
        <v>500</v>
      </c>
      <c r="AJ4" t="s">
        <v>1053</v>
      </c>
    </row>
    <row r="5" spans="1:36" ht="15.75" thickBot="1" x14ac:dyDescent="0.3">
      <c r="E5" t="s">
        <v>1040</v>
      </c>
      <c r="F5" t="s">
        <v>1046</v>
      </c>
      <c r="G5" t="s">
        <v>1053</v>
      </c>
      <c r="H5" t="s">
        <v>1040</v>
      </c>
      <c r="I5" t="s">
        <v>1046</v>
      </c>
      <c r="J5" t="s">
        <v>1053</v>
      </c>
      <c r="K5" t="s">
        <v>1040</v>
      </c>
      <c r="L5" t="s">
        <v>1046</v>
      </c>
      <c r="M5" t="s">
        <v>1053</v>
      </c>
      <c r="N5" t="s">
        <v>1040</v>
      </c>
      <c r="O5" t="s">
        <v>1046</v>
      </c>
      <c r="P5" t="s">
        <v>1053</v>
      </c>
      <c r="Q5" t="s">
        <v>1040</v>
      </c>
      <c r="R5" t="s">
        <v>1046</v>
      </c>
      <c r="S5" t="s">
        <v>1053</v>
      </c>
      <c r="V5" s="194"/>
      <c r="W5" s="196" t="s">
        <v>1054</v>
      </c>
      <c r="X5" s="195" t="s">
        <v>1040</v>
      </c>
      <c r="AE5" t="s">
        <v>1055</v>
      </c>
      <c r="AF5" t="s">
        <v>498</v>
      </c>
    </row>
    <row r="6" spans="1:36" x14ac:dyDescent="0.25">
      <c r="A6">
        <v>1</v>
      </c>
      <c r="D6" t="s">
        <v>1056</v>
      </c>
      <c r="E6">
        <v>0</v>
      </c>
      <c r="F6">
        <v>0</v>
      </c>
      <c r="G6">
        <v>0</v>
      </c>
      <c r="H6">
        <v>5</v>
      </c>
      <c r="I6">
        <v>5</v>
      </c>
      <c r="J6">
        <v>5</v>
      </c>
      <c r="K6" t="str">
        <f>IF(E6=0,"OFF","ON")</f>
        <v>OFF</v>
      </c>
      <c r="L6" t="str">
        <f t="shared" ref="L6:L29" si="0">IF(F6=0,"OFF","ON")</f>
        <v>OFF</v>
      </c>
      <c r="M6" t="str">
        <f t="shared" ref="M6:M29" si="1">IF(G6=0,"OFF","ON")</f>
        <v>OFF</v>
      </c>
      <c r="N6">
        <v>0</v>
      </c>
      <c r="O6">
        <v>0</v>
      </c>
      <c r="P6">
        <v>0</v>
      </c>
      <c r="Q6">
        <v>0</v>
      </c>
      <c r="R6">
        <v>0</v>
      </c>
      <c r="S6">
        <v>0</v>
      </c>
      <c r="V6" s="197">
        <v>1</v>
      </c>
      <c r="W6" s="198">
        <v>0</v>
      </c>
      <c r="X6" s="24">
        <f ca="1">IFERROR(OFFSET($A$1,$AA$2+$V6,$AA$3-1+$AA$4)/100,"")</f>
        <v>0</v>
      </c>
      <c r="AB6" s="199"/>
      <c r="AE6" t="s">
        <v>1047</v>
      </c>
      <c r="AF6" t="s">
        <v>1049</v>
      </c>
    </row>
    <row r="7" spans="1:36" x14ac:dyDescent="0.25">
      <c r="A7">
        <v>2</v>
      </c>
      <c r="D7" t="s">
        <v>1057</v>
      </c>
      <c r="E7">
        <v>0</v>
      </c>
      <c r="F7">
        <v>0</v>
      </c>
      <c r="G7">
        <v>0</v>
      </c>
      <c r="H7">
        <v>5</v>
      </c>
      <c r="I7">
        <v>5</v>
      </c>
      <c r="J7">
        <v>5</v>
      </c>
      <c r="K7" t="str">
        <f t="shared" ref="K7:K29" si="2">IF(E7=0,"OFF","ON")</f>
        <v>OFF</v>
      </c>
      <c r="L7" t="str">
        <f t="shared" si="0"/>
        <v>OFF</v>
      </c>
      <c r="M7" t="str">
        <f t="shared" si="1"/>
        <v>OFF</v>
      </c>
      <c r="N7">
        <v>0</v>
      </c>
      <c r="O7">
        <v>0</v>
      </c>
      <c r="P7">
        <v>0</v>
      </c>
      <c r="Q7">
        <v>0</v>
      </c>
      <c r="R7">
        <v>0</v>
      </c>
      <c r="S7">
        <v>0</v>
      </c>
      <c r="V7" s="197">
        <v>2</v>
      </c>
      <c r="W7" s="200">
        <v>100.04166666666667</v>
      </c>
      <c r="X7" s="26">
        <f t="shared" ref="X7:X29" ca="1" si="3">IFERROR(OFFSET($A$1,$AA$2+$V7,$AA$3-1+$AA$4)/100,"")</f>
        <v>0</v>
      </c>
      <c r="AB7" s="199"/>
      <c r="AE7" t="s">
        <v>1058</v>
      </c>
    </row>
    <row r="8" spans="1:36" x14ac:dyDescent="0.25">
      <c r="A8">
        <v>3</v>
      </c>
      <c r="B8" s="201"/>
      <c r="C8" s="201"/>
      <c r="D8" s="201" t="s">
        <v>1059</v>
      </c>
      <c r="E8" s="201">
        <v>0</v>
      </c>
      <c r="F8" s="201">
        <v>0</v>
      </c>
      <c r="G8" s="201">
        <v>0</v>
      </c>
      <c r="H8">
        <v>5</v>
      </c>
      <c r="I8">
        <v>5</v>
      </c>
      <c r="J8">
        <v>5</v>
      </c>
      <c r="K8" t="str">
        <f t="shared" si="2"/>
        <v>OFF</v>
      </c>
      <c r="L8" t="str">
        <f t="shared" si="0"/>
        <v>OFF</v>
      </c>
      <c r="M8" t="str">
        <f t="shared" si="1"/>
        <v>OFF</v>
      </c>
      <c r="N8">
        <v>0</v>
      </c>
      <c r="O8">
        <v>0</v>
      </c>
      <c r="P8">
        <v>0</v>
      </c>
      <c r="Q8">
        <v>0</v>
      </c>
      <c r="R8">
        <v>0</v>
      </c>
      <c r="S8">
        <v>0</v>
      </c>
      <c r="V8" s="197">
        <v>3</v>
      </c>
      <c r="W8" s="200">
        <v>100.083333333333</v>
      </c>
      <c r="X8" s="26">
        <f t="shared" ca="1" si="3"/>
        <v>0</v>
      </c>
      <c r="AB8" s="199"/>
      <c r="AE8" t="s">
        <v>1060</v>
      </c>
    </row>
    <row r="9" spans="1:36" x14ac:dyDescent="0.25">
      <c r="A9">
        <v>4</v>
      </c>
      <c r="D9" t="s">
        <v>1061</v>
      </c>
      <c r="E9">
        <v>0</v>
      </c>
      <c r="F9">
        <v>0</v>
      </c>
      <c r="G9">
        <v>0</v>
      </c>
      <c r="H9">
        <v>5</v>
      </c>
      <c r="I9">
        <v>5</v>
      </c>
      <c r="J9">
        <v>5</v>
      </c>
      <c r="K9" t="str">
        <f t="shared" si="2"/>
        <v>OFF</v>
      </c>
      <c r="L9" t="str">
        <f t="shared" si="0"/>
        <v>OFF</v>
      </c>
      <c r="M9" t="str">
        <f t="shared" si="1"/>
        <v>OFF</v>
      </c>
      <c r="N9">
        <v>0</v>
      </c>
      <c r="O9">
        <v>0</v>
      </c>
      <c r="P9">
        <v>0</v>
      </c>
      <c r="Q9">
        <v>0</v>
      </c>
      <c r="R9">
        <v>0</v>
      </c>
      <c r="S9">
        <v>0</v>
      </c>
      <c r="V9" s="197">
        <v>4</v>
      </c>
      <c r="W9" s="200">
        <v>100.125</v>
      </c>
      <c r="X9" s="26">
        <f t="shared" ca="1" si="3"/>
        <v>0</v>
      </c>
      <c r="AB9" s="199"/>
      <c r="AE9" t="s">
        <v>1062</v>
      </c>
    </row>
    <row r="10" spans="1:36" x14ac:dyDescent="0.25">
      <c r="A10">
        <v>5</v>
      </c>
      <c r="D10" t="s">
        <v>1063</v>
      </c>
      <c r="E10">
        <v>0</v>
      </c>
      <c r="F10">
        <v>0</v>
      </c>
      <c r="G10">
        <v>0</v>
      </c>
      <c r="H10">
        <v>5</v>
      </c>
      <c r="I10">
        <v>5</v>
      </c>
      <c r="J10">
        <v>5</v>
      </c>
      <c r="K10" t="str">
        <f t="shared" si="2"/>
        <v>OFF</v>
      </c>
      <c r="L10" t="str">
        <f t="shared" si="0"/>
        <v>OFF</v>
      </c>
      <c r="M10" t="str">
        <f t="shared" si="1"/>
        <v>OFF</v>
      </c>
      <c r="N10">
        <v>0</v>
      </c>
      <c r="O10">
        <v>0</v>
      </c>
      <c r="P10">
        <v>0</v>
      </c>
      <c r="Q10">
        <v>0</v>
      </c>
      <c r="R10">
        <v>0</v>
      </c>
      <c r="S10">
        <v>0</v>
      </c>
      <c r="V10" s="197">
        <v>5</v>
      </c>
      <c r="W10" s="200">
        <v>100.166666666667</v>
      </c>
      <c r="X10" s="26">
        <f t="shared" ca="1" si="3"/>
        <v>0</v>
      </c>
      <c r="AB10" s="199"/>
      <c r="AE10" t="s">
        <v>1064</v>
      </c>
    </row>
    <row r="11" spans="1:36" x14ac:dyDescent="0.25">
      <c r="A11">
        <v>6</v>
      </c>
      <c r="D11" t="s">
        <v>1065</v>
      </c>
      <c r="E11">
        <v>0</v>
      </c>
      <c r="F11">
        <v>0</v>
      </c>
      <c r="G11">
        <v>0</v>
      </c>
      <c r="H11">
        <v>5</v>
      </c>
      <c r="I11">
        <v>5</v>
      </c>
      <c r="J11">
        <v>5</v>
      </c>
      <c r="K11" t="str">
        <f t="shared" si="2"/>
        <v>OFF</v>
      </c>
      <c r="L11" t="str">
        <f t="shared" si="0"/>
        <v>OFF</v>
      </c>
      <c r="M11" t="str">
        <f t="shared" si="1"/>
        <v>OFF</v>
      </c>
      <c r="N11">
        <v>0</v>
      </c>
      <c r="O11">
        <v>0</v>
      </c>
      <c r="P11">
        <v>0</v>
      </c>
      <c r="Q11">
        <v>0</v>
      </c>
      <c r="R11">
        <v>0</v>
      </c>
      <c r="S11">
        <v>0</v>
      </c>
      <c r="V11" s="197">
        <v>6</v>
      </c>
      <c r="W11" s="200">
        <v>100.208333333333</v>
      </c>
      <c r="X11" s="26">
        <f t="shared" ca="1" si="3"/>
        <v>0</v>
      </c>
      <c r="AB11" s="199"/>
      <c r="AE11" t="s">
        <v>1066</v>
      </c>
    </row>
    <row r="12" spans="1:36" x14ac:dyDescent="0.25">
      <c r="A12">
        <v>7</v>
      </c>
      <c r="D12" t="s">
        <v>1067</v>
      </c>
      <c r="E12">
        <v>0</v>
      </c>
      <c r="F12">
        <v>0</v>
      </c>
      <c r="G12">
        <v>0</v>
      </c>
      <c r="H12">
        <v>40</v>
      </c>
      <c r="I12">
        <v>5</v>
      </c>
      <c r="J12">
        <v>5</v>
      </c>
      <c r="K12" t="str">
        <f t="shared" si="2"/>
        <v>OFF</v>
      </c>
      <c r="L12" t="str">
        <f t="shared" si="0"/>
        <v>OFF</v>
      </c>
      <c r="M12" t="str">
        <f t="shared" si="1"/>
        <v>OFF</v>
      </c>
      <c r="N12">
        <v>0</v>
      </c>
      <c r="O12">
        <v>0</v>
      </c>
      <c r="P12">
        <v>0</v>
      </c>
      <c r="Q12">
        <v>0</v>
      </c>
      <c r="R12">
        <v>0</v>
      </c>
      <c r="S12">
        <v>0</v>
      </c>
      <c r="V12" s="197">
        <v>7</v>
      </c>
      <c r="W12" s="200">
        <v>100.25</v>
      </c>
      <c r="X12" s="26">
        <f t="shared" ca="1" si="3"/>
        <v>0</v>
      </c>
      <c r="AB12" s="199"/>
      <c r="AE12" t="s">
        <v>1068</v>
      </c>
    </row>
    <row r="13" spans="1:36" x14ac:dyDescent="0.25">
      <c r="A13">
        <v>8</v>
      </c>
      <c r="D13" t="s">
        <v>1069</v>
      </c>
      <c r="E13">
        <v>0</v>
      </c>
      <c r="F13">
        <v>0</v>
      </c>
      <c r="G13">
        <v>0</v>
      </c>
      <c r="H13">
        <v>40</v>
      </c>
      <c r="I13">
        <v>30</v>
      </c>
      <c r="J13">
        <v>30</v>
      </c>
      <c r="K13" t="str">
        <f t="shared" si="2"/>
        <v>OFF</v>
      </c>
      <c r="L13" t="str">
        <f t="shared" si="0"/>
        <v>OFF</v>
      </c>
      <c r="M13" t="str">
        <f t="shared" si="1"/>
        <v>OFF</v>
      </c>
      <c r="N13">
        <v>0</v>
      </c>
      <c r="O13">
        <v>0</v>
      </c>
      <c r="P13">
        <v>0</v>
      </c>
      <c r="Q13">
        <v>0</v>
      </c>
      <c r="R13">
        <v>0</v>
      </c>
      <c r="S13">
        <v>0</v>
      </c>
      <c r="V13" s="197">
        <v>8</v>
      </c>
      <c r="W13" s="200">
        <v>100.291666666667</v>
      </c>
      <c r="X13" s="26">
        <f t="shared" ca="1" si="3"/>
        <v>0.1</v>
      </c>
      <c r="AB13" s="199"/>
      <c r="AE13" t="s">
        <v>1070</v>
      </c>
    </row>
    <row r="14" spans="1:36" x14ac:dyDescent="0.25">
      <c r="A14">
        <v>9</v>
      </c>
      <c r="D14" t="s">
        <v>1071</v>
      </c>
      <c r="E14">
        <v>20</v>
      </c>
      <c r="F14">
        <v>20</v>
      </c>
      <c r="G14">
        <v>10</v>
      </c>
      <c r="H14">
        <v>40</v>
      </c>
      <c r="I14">
        <v>30</v>
      </c>
      <c r="J14">
        <v>30</v>
      </c>
      <c r="K14" t="str">
        <f t="shared" si="2"/>
        <v>ON</v>
      </c>
      <c r="L14" t="str">
        <f t="shared" si="0"/>
        <v>ON</v>
      </c>
      <c r="M14" t="str">
        <f t="shared" si="1"/>
        <v>ON</v>
      </c>
      <c r="N14">
        <v>0</v>
      </c>
      <c r="O14">
        <v>0</v>
      </c>
      <c r="P14">
        <v>0</v>
      </c>
      <c r="Q14">
        <v>0</v>
      </c>
      <c r="R14">
        <v>0</v>
      </c>
      <c r="S14">
        <v>0</v>
      </c>
      <c r="V14" s="197">
        <v>9</v>
      </c>
      <c r="W14" s="200">
        <v>100.333333333333</v>
      </c>
      <c r="X14" s="26">
        <f t="shared" ca="1" si="3"/>
        <v>0.2</v>
      </c>
      <c r="AB14" s="199"/>
      <c r="AE14" t="s">
        <v>1072</v>
      </c>
    </row>
    <row r="15" spans="1:36" x14ac:dyDescent="0.25">
      <c r="A15">
        <v>10</v>
      </c>
      <c r="D15" t="s">
        <v>1073</v>
      </c>
      <c r="E15">
        <v>20</v>
      </c>
      <c r="F15">
        <v>20</v>
      </c>
      <c r="G15">
        <v>10</v>
      </c>
      <c r="H15">
        <v>75</v>
      </c>
      <c r="I15">
        <v>50</v>
      </c>
      <c r="J15">
        <v>30</v>
      </c>
      <c r="K15" t="str">
        <f t="shared" si="2"/>
        <v>ON</v>
      </c>
      <c r="L15" t="str">
        <f t="shared" si="0"/>
        <v>ON</v>
      </c>
      <c r="M15" t="str">
        <f t="shared" si="1"/>
        <v>ON</v>
      </c>
      <c r="N15">
        <v>5</v>
      </c>
      <c r="O15">
        <v>5</v>
      </c>
      <c r="P15">
        <v>5</v>
      </c>
      <c r="Q15">
        <v>0</v>
      </c>
      <c r="R15">
        <v>0</v>
      </c>
      <c r="S15">
        <v>0</v>
      </c>
      <c r="V15" s="197">
        <v>10</v>
      </c>
      <c r="W15" s="200">
        <v>100.375</v>
      </c>
      <c r="X15" s="26">
        <f t="shared" ca="1" si="3"/>
        <v>0.9</v>
      </c>
      <c r="AB15" s="199"/>
      <c r="AE15" t="s">
        <v>1074</v>
      </c>
    </row>
    <row r="16" spans="1:36" x14ac:dyDescent="0.25">
      <c r="A16">
        <v>11</v>
      </c>
      <c r="D16" t="s">
        <v>1075</v>
      </c>
      <c r="E16">
        <v>20</v>
      </c>
      <c r="F16">
        <v>20</v>
      </c>
      <c r="G16">
        <v>10</v>
      </c>
      <c r="H16">
        <v>75</v>
      </c>
      <c r="I16">
        <v>50</v>
      </c>
      <c r="J16">
        <v>30</v>
      </c>
      <c r="K16" t="str">
        <f t="shared" si="2"/>
        <v>ON</v>
      </c>
      <c r="L16" t="str">
        <f t="shared" si="0"/>
        <v>ON</v>
      </c>
      <c r="M16" t="str">
        <f t="shared" si="1"/>
        <v>ON</v>
      </c>
      <c r="N16">
        <v>5</v>
      </c>
      <c r="O16">
        <v>5</v>
      </c>
      <c r="P16">
        <v>5</v>
      </c>
      <c r="Q16">
        <v>0</v>
      </c>
      <c r="R16">
        <v>0</v>
      </c>
      <c r="S16">
        <v>0</v>
      </c>
      <c r="V16" s="197">
        <v>11</v>
      </c>
      <c r="W16" s="200">
        <v>100.416666666667</v>
      </c>
      <c r="X16" s="26">
        <f t="shared" ca="1" si="3"/>
        <v>0.9</v>
      </c>
      <c r="AB16" s="199"/>
      <c r="AE16" t="s">
        <v>1028</v>
      </c>
    </row>
    <row r="17" spans="1:31" x14ac:dyDescent="0.25">
      <c r="A17">
        <v>12</v>
      </c>
      <c r="D17" t="s">
        <v>1076</v>
      </c>
      <c r="E17">
        <v>80</v>
      </c>
      <c r="F17">
        <v>60</v>
      </c>
      <c r="G17">
        <v>10</v>
      </c>
      <c r="H17">
        <v>75</v>
      </c>
      <c r="I17">
        <v>50</v>
      </c>
      <c r="J17">
        <v>30</v>
      </c>
      <c r="K17" t="str">
        <f t="shared" si="2"/>
        <v>ON</v>
      </c>
      <c r="L17" t="str">
        <f t="shared" si="0"/>
        <v>ON</v>
      </c>
      <c r="M17" t="str">
        <f t="shared" si="1"/>
        <v>ON</v>
      </c>
      <c r="N17">
        <v>35</v>
      </c>
      <c r="O17">
        <v>20</v>
      </c>
      <c r="P17">
        <v>10</v>
      </c>
      <c r="Q17">
        <v>0</v>
      </c>
      <c r="R17">
        <v>0</v>
      </c>
      <c r="S17">
        <v>0</v>
      </c>
      <c r="V17" s="197">
        <v>12</v>
      </c>
      <c r="W17" s="200">
        <v>100.458333333333</v>
      </c>
      <c r="X17" s="26">
        <f t="shared" ca="1" si="3"/>
        <v>0.45</v>
      </c>
      <c r="AB17" s="199"/>
      <c r="AE17" t="s">
        <v>1029</v>
      </c>
    </row>
    <row r="18" spans="1:31" x14ac:dyDescent="0.25">
      <c r="A18">
        <v>13</v>
      </c>
      <c r="D18" t="s">
        <v>1077</v>
      </c>
      <c r="E18">
        <v>80</v>
      </c>
      <c r="F18">
        <v>60</v>
      </c>
      <c r="G18">
        <v>10</v>
      </c>
      <c r="H18">
        <v>75</v>
      </c>
      <c r="I18">
        <v>50</v>
      </c>
      <c r="J18">
        <v>65</v>
      </c>
      <c r="K18" t="str">
        <f t="shared" si="2"/>
        <v>ON</v>
      </c>
      <c r="L18" t="str">
        <f t="shared" si="0"/>
        <v>ON</v>
      </c>
      <c r="M18" t="str">
        <f t="shared" si="1"/>
        <v>ON</v>
      </c>
      <c r="N18">
        <v>5</v>
      </c>
      <c r="O18">
        <v>0</v>
      </c>
      <c r="P18">
        <v>0</v>
      </c>
      <c r="Q18">
        <v>0</v>
      </c>
      <c r="R18">
        <v>0</v>
      </c>
      <c r="S18">
        <v>0</v>
      </c>
      <c r="V18" s="197">
        <v>13</v>
      </c>
      <c r="W18" s="200">
        <v>100.5</v>
      </c>
      <c r="X18" s="26">
        <f t="shared" ca="1" si="3"/>
        <v>0.45</v>
      </c>
      <c r="AB18" s="199"/>
      <c r="AE18" t="s">
        <v>1024</v>
      </c>
    </row>
    <row r="19" spans="1:31" x14ac:dyDescent="0.25">
      <c r="A19">
        <v>14</v>
      </c>
      <c r="D19" t="s">
        <v>1078</v>
      </c>
      <c r="E19">
        <v>80</v>
      </c>
      <c r="F19">
        <v>60</v>
      </c>
      <c r="G19">
        <v>70</v>
      </c>
      <c r="H19">
        <v>75</v>
      </c>
      <c r="I19">
        <v>50</v>
      </c>
      <c r="J19">
        <v>65</v>
      </c>
      <c r="K19" t="str">
        <f t="shared" si="2"/>
        <v>ON</v>
      </c>
      <c r="L19" t="str">
        <f t="shared" si="0"/>
        <v>ON</v>
      </c>
      <c r="M19" t="str">
        <f t="shared" si="1"/>
        <v>ON</v>
      </c>
      <c r="N19">
        <v>5</v>
      </c>
      <c r="O19">
        <v>0</v>
      </c>
      <c r="P19">
        <v>0</v>
      </c>
      <c r="Q19">
        <v>0</v>
      </c>
      <c r="R19">
        <v>0</v>
      </c>
      <c r="S19">
        <v>0</v>
      </c>
      <c r="V19" s="197">
        <v>14</v>
      </c>
      <c r="W19" s="200">
        <v>100.541666666667</v>
      </c>
      <c r="X19" s="26">
        <f t="shared" ca="1" si="3"/>
        <v>0.9</v>
      </c>
      <c r="AB19" s="199"/>
      <c r="AE19" t="s">
        <v>1079</v>
      </c>
    </row>
    <row r="20" spans="1:31" x14ac:dyDescent="0.25">
      <c r="A20">
        <v>15</v>
      </c>
      <c r="D20" t="s">
        <v>1080</v>
      </c>
      <c r="E20">
        <v>80</v>
      </c>
      <c r="F20">
        <v>60</v>
      </c>
      <c r="G20">
        <v>70</v>
      </c>
      <c r="H20">
        <v>75</v>
      </c>
      <c r="I20">
        <v>50</v>
      </c>
      <c r="J20">
        <v>65</v>
      </c>
      <c r="K20" t="str">
        <f t="shared" si="2"/>
        <v>ON</v>
      </c>
      <c r="L20" t="str">
        <f t="shared" si="0"/>
        <v>ON</v>
      </c>
      <c r="M20" t="str">
        <f t="shared" si="1"/>
        <v>ON</v>
      </c>
      <c r="N20">
        <v>5</v>
      </c>
      <c r="O20">
        <v>0</v>
      </c>
      <c r="P20">
        <v>0</v>
      </c>
      <c r="Q20">
        <v>0</v>
      </c>
      <c r="R20">
        <v>0</v>
      </c>
      <c r="S20">
        <v>0</v>
      </c>
      <c r="V20" s="197">
        <v>15</v>
      </c>
      <c r="W20" s="200">
        <v>100.583333333333</v>
      </c>
      <c r="X20" s="26">
        <f t="shared" ca="1" si="3"/>
        <v>0.9</v>
      </c>
      <c r="AB20" s="199"/>
      <c r="AE20" t="s">
        <v>1081</v>
      </c>
    </row>
    <row r="21" spans="1:31" x14ac:dyDescent="0.25">
      <c r="A21">
        <v>16</v>
      </c>
      <c r="D21" t="s">
        <v>1082</v>
      </c>
      <c r="E21">
        <v>80</v>
      </c>
      <c r="F21">
        <v>60</v>
      </c>
      <c r="G21">
        <v>70</v>
      </c>
      <c r="H21">
        <v>75</v>
      </c>
      <c r="I21">
        <v>50</v>
      </c>
      <c r="J21">
        <v>65</v>
      </c>
      <c r="K21" t="str">
        <f t="shared" si="2"/>
        <v>ON</v>
      </c>
      <c r="L21" t="str">
        <f t="shared" si="0"/>
        <v>ON</v>
      </c>
      <c r="M21" t="str">
        <f t="shared" si="1"/>
        <v>ON</v>
      </c>
      <c r="N21">
        <v>5</v>
      </c>
      <c r="O21">
        <v>0</v>
      </c>
      <c r="P21">
        <v>0</v>
      </c>
      <c r="Q21">
        <v>0</v>
      </c>
      <c r="R21">
        <v>0</v>
      </c>
      <c r="S21">
        <v>0</v>
      </c>
      <c r="V21" s="197">
        <v>16</v>
      </c>
      <c r="W21" s="200">
        <v>100.625</v>
      </c>
      <c r="X21" s="26">
        <f t="shared" ca="1" si="3"/>
        <v>0.9</v>
      </c>
      <c r="AB21" s="199"/>
      <c r="AE21" t="s">
        <v>1042</v>
      </c>
    </row>
    <row r="22" spans="1:31" x14ac:dyDescent="0.25">
      <c r="A22">
        <v>17</v>
      </c>
      <c r="D22" t="s">
        <v>1083</v>
      </c>
      <c r="E22">
        <v>80</v>
      </c>
      <c r="F22">
        <v>60</v>
      </c>
      <c r="G22">
        <v>70</v>
      </c>
      <c r="H22">
        <v>75</v>
      </c>
      <c r="I22">
        <v>50</v>
      </c>
      <c r="J22">
        <v>65</v>
      </c>
      <c r="K22" t="str">
        <f t="shared" si="2"/>
        <v>ON</v>
      </c>
      <c r="L22" t="str">
        <f t="shared" si="0"/>
        <v>ON</v>
      </c>
      <c r="M22" t="str">
        <f t="shared" si="1"/>
        <v>ON</v>
      </c>
      <c r="N22">
        <v>5</v>
      </c>
      <c r="O22">
        <v>0</v>
      </c>
      <c r="P22">
        <v>0</v>
      </c>
      <c r="Q22">
        <v>0</v>
      </c>
      <c r="R22">
        <v>0</v>
      </c>
      <c r="S22">
        <v>0</v>
      </c>
      <c r="V22" s="197">
        <v>17</v>
      </c>
      <c r="W22" s="200">
        <v>100.666666666667</v>
      </c>
      <c r="X22" s="26">
        <f t="shared" ca="1" si="3"/>
        <v>0.9</v>
      </c>
      <c r="AB22" s="199"/>
    </row>
    <row r="23" spans="1:31" x14ac:dyDescent="0.25">
      <c r="A23">
        <v>18</v>
      </c>
      <c r="D23" t="s">
        <v>1084</v>
      </c>
      <c r="E23">
        <v>80</v>
      </c>
      <c r="F23">
        <v>60</v>
      </c>
      <c r="G23">
        <v>70</v>
      </c>
      <c r="H23">
        <v>75</v>
      </c>
      <c r="I23">
        <v>50</v>
      </c>
      <c r="J23">
        <v>65</v>
      </c>
      <c r="K23" t="str">
        <f t="shared" si="2"/>
        <v>ON</v>
      </c>
      <c r="L23" t="str">
        <f t="shared" si="0"/>
        <v>ON</v>
      </c>
      <c r="M23" t="str">
        <f t="shared" si="1"/>
        <v>ON</v>
      </c>
      <c r="N23">
        <v>0</v>
      </c>
      <c r="O23">
        <v>0</v>
      </c>
      <c r="P23">
        <v>0</v>
      </c>
      <c r="Q23">
        <v>0</v>
      </c>
      <c r="R23">
        <v>0</v>
      </c>
      <c r="S23">
        <v>0</v>
      </c>
      <c r="V23" s="197">
        <v>18</v>
      </c>
      <c r="W23" s="200">
        <v>100.708333333333</v>
      </c>
      <c r="X23" s="26">
        <f t="shared" ca="1" si="3"/>
        <v>0.9</v>
      </c>
      <c r="AB23" s="199"/>
    </row>
    <row r="24" spans="1:31" x14ac:dyDescent="0.25">
      <c r="A24">
        <v>19</v>
      </c>
      <c r="D24" t="s">
        <v>1085</v>
      </c>
      <c r="E24">
        <v>20</v>
      </c>
      <c r="F24">
        <v>60</v>
      </c>
      <c r="G24">
        <v>70</v>
      </c>
      <c r="H24">
        <v>75</v>
      </c>
      <c r="I24">
        <v>50</v>
      </c>
      <c r="J24">
        <v>65</v>
      </c>
      <c r="K24" t="str">
        <f t="shared" si="2"/>
        <v>ON</v>
      </c>
      <c r="L24" t="str">
        <f t="shared" si="0"/>
        <v>ON</v>
      </c>
      <c r="M24" t="str">
        <f t="shared" si="1"/>
        <v>ON</v>
      </c>
      <c r="N24">
        <v>0</v>
      </c>
      <c r="O24">
        <v>0</v>
      </c>
      <c r="P24">
        <v>0</v>
      </c>
      <c r="Q24">
        <v>0</v>
      </c>
      <c r="R24">
        <v>0</v>
      </c>
      <c r="S24">
        <v>0</v>
      </c>
      <c r="V24" s="197">
        <v>19</v>
      </c>
      <c r="W24" s="200">
        <v>100.75</v>
      </c>
      <c r="X24" s="26">
        <f t="shared" ca="1" si="3"/>
        <v>0.3</v>
      </c>
      <c r="AB24" s="199"/>
    </row>
    <row r="25" spans="1:31" x14ac:dyDescent="0.25">
      <c r="A25">
        <v>20</v>
      </c>
      <c r="D25" t="s">
        <v>1086</v>
      </c>
      <c r="E25">
        <v>20</v>
      </c>
      <c r="F25">
        <v>60</v>
      </c>
      <c r="G25">
        <v>70</v>
      </c>
      <c r="H25">
        <v>75</v>
      </c>
      <c r="I25">
        <v>50</v>
      </c>
      <c r="J25">
        <v>65</v>
      </c>
      <c r="K25" t="str">
        <f t="shared" si="2"/>
        <v>ON</v>
      </c>
      <c r="L25" t="str">
        <f t="shared" si="0"/>
        <v>ON</v>
      </c>
      <c r="M25" t="str">
        <f t="shared" si="1"/>
        <v>ON</v>
      </c>
      <c r="N25">
        <v>0</v>
      </c>
      <c r="O25">
        <v>65</v>
      </c>
      <c r="P25">
        <v>65</v>
      </c>
      <c r="Q25">
        <v>0</v>
      </c>
      <c r="R25">
        <v>0</v>
      </c>
      <c r="S25">
        <v>0</v>
      </c>
      <c r="V25" s="197">
        <v>20</v>
      </c>
      <c r="W25" s="200">
        <v>100.791666666667</v>
      </c>
      <c r="X25" s="26">
        <f t="shared" ca="1" si="3"/>
        <v>0.1</v>
      </c>
      <c r="AB25" s="199"/>
    </row>
    <row r="26" spans="1:31" x14ac:dyDescent="0.25">
      <c r="A26">
        <v>21</v>
      </c>
      <c r="D26" t="s">
        <v>1087</v>
      </c>
      <c r="E26">
        <v>20</v>
      </c>
      <c r="F26">
        <v>60</v>
      </c>
      <c r="G26">
        <v>70</v>
      </c>
      <c r="H26">
        <v>75</v>
      </c>
      <c r="I26">
        <v>50</v>
      </c>
      <c r="J26">
        <v>65</v>
      </c>
      <c r="K26" t="str">
        <f t="shared" si="2"/>
        <v>ON</v>
      </c>
      <c r="L26" t="str">
        <f t="shared" si="0"/>
        <v>ON</v>
      </c>
      <c r="M26" t="str">
        <f t="shared" si="1"/>
        <v>ON</v>
      </c>
      <c r="N26">
        <v>0</v>
      </c>
      <c r="O26">
        <v>30</v>
      </c>
      <c r="P26">
        <v>30</v>
      </c>
      <c r="Q26">
        <v>0</v>
      </c>
      <c r="R26">
        <v>0</v>
      </c>
      <c r="S26">
        <v>0</v>
      </c>
      <c r="V26" s="197">
        <v>21</v>
      </c>
      <c r="W26" s="200">
        <v>100.833333333333</v>
      </c>
      <c r="X26" s="26">
        <f t="shared" ca="1" si="3"/>
        <v>0.1</v>
      </c>
      <c r="AB26" s="199"/>
    </row>
    <row r="27" spans="1:31" x14ac:dyDescent="0.25">
      <c r="A27">
        <v>22</v>
      </c>
      <c r="D27" t="s">
        <v>1088</v>
      </c>
      <c r="E27">
        <v>20</v>
      </c>
      <c r="F27">
        <v>80</v>
      </c>
      <c r="G27">
        <v>70</v>
      </c>
      <c r="H27">
        <v>75</v>
      </c>
      <c r="I27">
        <v>50</v>
      </c>
      <c r="J27">
        <v>65</v>
      </c>
      <c r="K27" t="str">
        <f t="shared" si="2"/>
        <v>ON</v>
      </c>
      <c r="L27" t="str">
        <f t="shared" si="0"/>
        <v>ON</v>
      </c>
      <c r="M27" t="str">
        <f t="shared" si="1"/>
        <v>ON</v>
      </c>
      <c r="N27">
        <v>0</v>
      </c>
      <c r="O27">
        <v>0</v>
      </c>
      <c r="P27">
        <v>0</v>
      </c>
      <c r="Q27">
        <v>0</v>
      </c>
      <c r="R27">
        <v>0</v>
      </c>
      <c r="S27">
        <v>0</v>
      </c>
      <c r="V27" s="197">
        <v>22</v>
      </c>
      <c r="W27" s="200">
        <v>100.875</v>
      </c>
      <c r="X27" s="26">
        <f t="shared" ca="1" si="3"/>
        <v>0.1</v>
      </c>
      <c r="AB27" s="199"/>
    </row>
    <row r="28" spans="1:31" x14ac:dyDescent="0.25">
      <c r="A28">
        <v>23</v>
      </c>
      <c r="D28" t="s">
        <v>1089</v>
      </c>
      <c r="E28">
        <v>10</v>
      </c>
      <c r="F28">
        <v>10</v>
      </c>
      <c r="G28">
        <v>20</v>
      </c>
      <c r="H28">
        <v>25</v>
      </c>
      <c r="I28">
        <v>50</v>
      </c>
      <c r="J28">
        <v>5</v>
      </c>
      <c r="K28" t="str">
        <f t="shared" si="2"/>
        <v>ON</v>
      </c>
      <c r="L28" t="str">
        <f t="shared" si="0"/>
        <v>ON</v>
      </c>
      <c r="M28" t="str">
        <f t="shared" si="1"/>
        <v>ON</v>
      </c>
      <c r="N28">
        <v>0</v>
      </c>
      <c r="O28">
        <v>0</v>
      </c>
      <c r="P28">
        <v>0</v>
      </c>
      <c r="Q28">
        <v>0</v>
      </c>
      <c r="R28">
        <v>0</v>
      </c>
      <c r="S28">
        <v>0</v>
      </c>
      <c r="V28" s="197">
        <v>23</v>
      </c>
      <c r="W28" s="200">
        <v>100.916666666667</v>
      </c>
      <c r="X28" s="26">
        <f t="shared" ca="1" si="3"/>
        <v>0</v>
      </c>
      <c r="AB28" s="199"/>
    </row>
    <row r="29" spans="1:31" ht="15.75" thickBot="1" x14ac:dyDescent="0.3">
      <c r="A29">
        <v>24</v>
      </c>
      <c r="D29" t="s">
        <v>1090</v>
      </c>
      <c r="E29">
        <v>0</v>
      </c>
      <c r="F29">
        <v>0</v>
      </c>
      <c r="G29">
        <v>0</v>
      </c>
      <c r="H29">
        <v>5</v>
      </c>
      <c r="I29">
        <v>5</v>
      </c>
      <c r="J29">
        <v>5</v>
      </c>
      <c r="K29" t="str">
        <f t="shared" si="2"/>
        <v>OFF</v>
      </c>
      <c r="L29" t="str">
        <f t="shared" si="0"/>
        <v>OFF</v>
      </c>
      <c r="M29" t="str">
        <f t="shared" si="1"/>
        <v>OFF</v>
      </c>
      <c r="N29">
        <v>0</v>
      </c>
      <c r="O29">
        <v>0</v>
      </c>
      <c r="P29">
        <v>0</v>
      </c>
      <c r="Q29">
        <v>0</v>
      </c>
      <c r="R29">
        <v>0</v>
      </c>
      <c r="S29">
        <v>0</v>
      </c>
      <c r="V29" s="202">
        <v>24</v>
      </c>
      <c r="W29" s="203">
        <v>100.958333333333</v>
      </c>
      <c r="X29" s="40">
        <f t="shared" ca="1" si="3"/>
        <v>0</v>
      </c>
      <c r="AB29" s="199"/>
    </row>
    <row r="30" spans="1:31" ht="15.75" thickBot="1" x14ac:dyDescent="0.3">
      <c r="X30" s="199"/>
    </row>
    <row r="31" spans="1:31" ht="15" customHeight="1" thickBot="1" x14ac:dyDescent="0.3">
      <c r="A31" t="s">
        <v>1058</v>
      </c>
      <c r="D31" t="s">
        <v>1048</v>
      </c>
      <c r="E31" t="s">
        <v>498</v>
      </c>
      <c r="H31" t="s">
        <v>500</v>
      </c>
      <c r="K31" t="s">
        <v>1045</v>
      </c>
      <c r="N31" t="s">
        <v>1049</v>
      </c>
      <c r="Q31" t="s">
        <v>1039</v>
      </c>
      <c r="V31" s="779" t="s">
        <v>12</v>
      </c>
      <c r="W31" s="780"/>
      <c r="X31" s="781"/>
    </row>
    <row r="32" spans="1:31" ht="15" customHeight="1" x14ac:dyDescent="0.25">
      <c r="E32" t="s">
        <v>1040</v>
      </c>
      <c r="F32" t="s">
        <v>1046</v>
      </c>
      <c r="G32" t="s">
        <v>1053</v>
      </c>
      <c r="H32" t="s">
        <v>1040</v>
      </c>
      <c r="I32" t="s">
        <v>1046</v>
      </c>
      <c r="J32" t="s">
        <v>1053</v>
      </c>
      <c r="K32" t="s">
        <v>1040</v>
      </c>
      <c r="L32" t="s">
        <v>1046</v>
      </c>
      <c r="M32" t="s">
        <v>1053</v>
      </c>
      <c r="N32" t="s">
        <v>1040</v>
      </c>
      <c r="O32" t="s">
        <v>1046</v>
      </c>
      <c r="P32" t="s">
        <v>1053</v>
      </c>
      <c r="Q32" t="s">
        <v>1040</v>
      </c>
      <c r="R32" t="s">
        <v>1046</v>
      </c>
      <c r="S32" t="s">
        <v>1053</v>
      </c>
      <c r="V32" s="771" t="s">
        <v>1091</v>
      </c>
      <c r="W32" s="772"/>
      <c r="X32" s="773"/>
    </row>
    <row r="33" spans="1:24" x14ac:dyDescent="0.25">
      <c r="A33">
        <v>1</v>
      </c>
      <c r="D33" t="s">
        <v>1056</v>
      </c>
      <c r="E33">
        <v>0</v>
      </c>
      <c r="F33">
        <v>0</v>
      </c>
      <c r="G33">
        <v>0</v>
      </c>
      <c r="H33">
        <v>10</v>
      </c>
      <c r="I33">
        <v>10</v>
      </c>
      <c r="J33">
        <v>5</v>
      </c>
      <c r="K33" t="s">
        <v>1092</v>
      </c>
      <c r="L33" t="s">
        <v>1092</v>
      </c>
      <c r="M33" t="s">
        <v>1092</v>
      </c>
      <c r="N33">
        <v>1</v>
      </c>
      <c r="O33">
        <v>1</v>
      </c>
      <c r="P33">
        <v>1</v>
      </c>
      <c r="Q33">
        <v>0</v>
      </c>
      <c r="R33">
        <v>0</v>
      </c>
      <c r="S33">
        <v>0</v>
      </c>
      <c r="V33" s="768" t="s">
        <v>1093</v>
      </c>
      <c r="W33" s="769"/>
      <c r="X33" s="770"/>
    </row>
    <row r="34" spans="1:24" x14ac:dyDescent="0.25">
      <c r="A34">
        <v>2</v>
      </c>
      <c r="D34" t="s">
        <v>1057</v>
      </c>
      <c r="E34">
        <v>0</v>
      </c>
      <c r="F34">
        <v>0</v>
      </c>
      <c r="G34">
        <v>0</v>
      </c>
      <c r="H34">
        <v>10</v>
      </c>
      <c r="I34">
        <v>10</v>
      </c>
      <c r="J34">
        <v>5</v>
      </c>
      <c r="K34" t="s">
        <v>1092</v>
      </c>
      <c r="L34" t="s">
        <v>1092</v>
      </c>
      <c r="M34" t="s">
        <v>1092</v>
      </c>
      <c r="N34">
        <v>1</v>
      </c>
      <c r="O34">
        <v>1</v>
      </c>
      <c r="P34">
        <v>1</v>
      </c>
      <c r="Q34">
        <v>0</v>
      </c>
      <c r="R34">
        <v>0</v>
      </c>
      <c r="S34">
        <v>0</v>
      </c>
      <c r="V34" s="768" t="s">
        <v>1094</v>
      </c>
      <c r="W34" s="769"/>
      <c r="X34" s="770"/>
    </row>
    <row r="35" spans="1:24" x14ac:dyDescent="0.25">
      <c r="A35">
        <v>3</v>
      </c>
      <c r="D35" t="s">
        <v>1059</v>
      </c>
      <c r="E35">
        <v>0</v>
      </c>
      <c r="F35">
        <v>0</v>
      </c>
      <c r="G35">
        <v>0</v>
      </c>
      <c r="H35">
        <v>10</v>
      </c>
      <c r="I35">
        <v>10</v>
      </c>
      <c r="J35">
        <v>5</v>
      </c>
      <c r="K35" t="s">
        <v>1092</v>
      </c>
      <c r="L35" t="s">
        <v>1092</v>
      </c>
      <c r="M35" t="s">
        <v>1092</v>
      </c>
      <c r="N35">
        <v>1</v>
      </c>
      <c r="O35">
        <v>1</v>
      </c>
      <c r="P35">
        <v>1</v>
      </c>
      <c r="Q35">
        <v>0</v>
      </c>
      <c r="R35">
        <v>0</v>
      </c>
      <c r="S35">
        <v>0</v>
      </c>
      <c r="V35" s="768" t="s">
        <v>1095</v>
      </c>
      <c r="W35" s="769"/>
      <c r="X35" s="770"/>
    </row>
    <row r="36" spans="1:24" ht="15" customHeight="1" x14ac:dyDescent="0.25">
      <c r="A36">
        <v>4</v>
      </c>
      <c r="D36" t="s">
        <v>1061</v>
      </c>
      <c r="E36">
        <v>0</v>
      </c>
      <c r="F36">
        <v>0</v>
      </c>
      <c r="G36">
        <v>0</v>
      </c>
      <c r="H36">
        <v>10</v>
      </c>
      <c r="I36">
        <v>10</v>
      </c>
      <c r="J36">
        <v>5</v>
      </c>
      <c r="K36" t="s">
        <v>1092</v>
      </c>
      <c r="L36" t="s">
        <v>1092</v>
      </c>
      <c r="M36" t="s">
        <v>1092</v>
      </c>
      <c r="N36">
        <v>1</v>
      </c>
      <c r="O36">
        <v>1</v>
      </c>
      <c r="P36">
        <v>1</v>
      </c>
      <c r="Q36">
        <v>0</v>
      </c>
      <c r="R36">
        <v>0</v>
      </c>
      <c r="S36">
        <v>0</v>
      </c>
      <c r="V36" s="768" t="s">
        <v>1096</v>
      </c>
      <c r="W36" s="769"/>
      <c r="X36" s="770"/>
    </row>
    <row r="37" spans="1:24" ht="15.75" thickBot="1" x14ac:dyDescent="0.3">
      <c r="A37">
        <v>5</v>
      </c>
      <c r="D37" t="s">
        <v>1063</v>
      </c>
      <c r="E37">
        <v>0</v>
      </c>
      <c r="F37">
        <v>0</v>
      </c>
      <c r="G37">
        <v>0</v>
      </c>
      <c r="H37">
        <v>10</v>
      </c>
      <c r="I37">
        <v>10</v>
      </c>
      <c r="J37">
        <v>5</v>
      </c>
      <c r="K37" t="s">
        <v>1092</v>
      </c>
      <c r="L37" t="s">
        <v>1092</v>
      </c>
      <c r="M37" t="s">
        <v>1092</v>
      </c>
      <c r="N37">
        <v>1</v>
      </c>
      <c r="O37">
        <v>1</v>
      </c>
      <c r="P37">
        <v>1</v>
      </c>
      <c r="Q37">
        <v>0</v>
      </c>
      <c r="R37">
        <v>0</v>
      </c>
      <c r="S37">
        <v>0</v>
      </c>
      <c r="V37" s="768"/>
      <c r="W37" s="769"/>
      <c r="X37" s="770"/>
    </row>
    <row r="38" spans="1:24" x14ac:dyDescent="0.25">
      <c r="A38">
        <v>6</v>
      </c>
      <c r="D38" t="s">
        <v>1065</v>
      </c>
      <c r="E38">
        <v>0</v>
      </c>
      <c r="F38">
        <v>0</v>
      </c>
      <c r="G38">
        <v>0</v>
      </c>
      <c r="H38">
        <v>10</v>
      </c>
      <c r="I38">
        <v>10</v>
      </c>
      <c r="J38">
        <v>5</v>
      </c>
      <c r="K38" t="s">
        <v>1092</v>
      </c>
      <c r="L38" t="s">
        <v>1092</v>
      </c>
      <c r="M38" t="s">
        <v>1092</v>
      </c>
      <c r="N38">
        <v>1</v>
      </c>
      <c r="O38">
        <v>1</v>
      </c>
      <c r="P38">
        <v>1</v>
      </c>
      <c r="Q38">
        <v>0</v>
      </c>
      <c r="R38">
        <v>0</v>
      </c>
      <c r="S38">
        <v>0</v>
      </c>
      <c r="V38" s="771" t="s">
        <v>1097</v>
      </c>
      <c r="W38" s="772"/>
      <c r="X38" s="773"/>
    </row>
    <row r="39" spans="1:24" x14ac:dyDescent="0.25">
      <c r="A39">
        <v>7</v>
      </c>
      <c r="D39" t="s">
        <v>1067</v>
      </c>
      <c r="E39">
        <v>0</v>
      </c>
      <c r="F39">
        <v>0</v>
      </c>
      <c r="G39">
        <v>0</v>
      </c>
      <c r="H39">
        <v>10</v>
      </c>
      <c r="I39">
        <v>10</v>
      </c>
      <c r="J39">
        <v>5</v>
      </c>
      <c r="K39" t="s">
        <v>1092</v>
      </c>
      <c r="L39" t="s">
        <v>1092</v>
      </c>
      <c r="M39" t="s">
        <v>1092</v>
      </c>
      <c r="N39">
        <v>1</v>
      </c>
      <c r="O39">
        <v>1</v>
      </c>
      <c r="P39">
        <v>1</v>
      </c>
      <c r="Q39">
        <v>0</v>
      </c>
      <c r="R39">
        <v>0</v>
      </c>
      <c r="S39">
        <v>0</v>
      </c>
      <c r="V39" s="774" t="s">
        <v>1098</v>
      </c>
      <c r="W39" s="666"/>
      <c r="X39" s="775"/>
    </row>
    <row r="40" spans="1:24" x14ac:dyDescent="0.25">
      <c r="A40">
        <v>8</v>
      </c>
      <c r="D40" t="s">
        <v>1069</v>
      </c>
      <c r="E40">
        <v>10</v>
      </c>
      <c r="F40">
        <v>10</v>
      </c>
      <c r="G40">
        <v>0</v>
      </c>
      <c r="H40">
        <v>50</v>
      </c>
      <c r="I40">
        <v>20</v>
      </c>
      <c r="J40">
        <v>5</v>
      </c>
      <c r="K40" t="s">
        <v>1092</v>
      </c>
      <c r="L40" t="s">
        <v>1092</v>
      </c>
      <c r="M40" t="s">
        <v>1092</v>
      </c>
      <c r="N40">
        <v>17</v>
      </c>
      <c r="O40">
        <v>1</v>
      </c>
      <c r="P40">
        <v>1</v>
      </c>
      <c r="Q40">
        <v>2</v>
      </c>
      <c r="R40">
        <v>2</v>
      </c>
      <c r="S40">
        <v>0</v>
      </c>
      <c r="V40" s="774" t="s">
        <v>1099</v>
      </c>
      <c r="W40" s="666"/>
      <c r="X40" s="775"/>
    </row>
    <row r="41" spans="1:24" ht="15.75" thickBot="1" x14ac:dyDescent="0.3">
      <c r="A41">
        <v>9</v>
      </c>
      <c r="D41" t="s">
        <v>1071</v>
      </c>
      <c r="E41">
        <v>50</v>
      </c>
      <c r="F41">
        <v>30</v>
      </c>
      <c r="G41">
        <v>5</v>
      </c>
      <c r="H41">
        <v>90</v>
      </c>
      <c r="I41">
        <v>40</v>
      </c>
      <c r="J41">
        <v>10</v>
      </c>
      <c r="K41" t="s">
        <v>1092</v>
      </c>
      <c r="L41" t="s">
        <v>1092</v>
      </c>
      <c r="M41" t="s">
        <v>1092</v>
      </c>
      <c r="N41">
        <v>58</v>
      </c>
      <c r="O41">
        <v>20</v>
      </c>
      <c r="P41">
        <v>1</v>
      </c>
      <c r="Q41">
        <v>75</v>
      </c>
      <c r="R41">
        <v>46</v>
      </c>
      <c r="S41">
        <v>2</v>
      </c>
      <c r="V41" s="38" t="s">
        <v>1100</v>
      </c>
      <c r="W41" s="39"/>
      <c r="X41" s="40"/>
    </row>
    <row r="42" spans="1:24" x14ac:dyDescent="0.25">
      <c r="A42">
        <v>10</v>
      </c>
      <c r="D42" t="s">
        <v>1073</v>
      </c>
      <c r="E42">
        <v>80</v>
      </c>
      <c r="F42">
        <v>40</v>
      </c>
      <c r="G42">
        <v>5</v>
      </c>
      <c r="H42">
        <v>90</v>
      </c>
      <c r="I42">
        <v>40</v>
      </c>
      <c r="J42">
        <v>10</v>
      </c>
      <c r="K42" t="s">
        <v>1092</v>
      </c>
      <c r="L42" t="s">
        <v>1092</v>
      </c>
      <c r="M42" t="s">
        <v>1092</v>
      </c>
      <c r="N42">
        <v>66</v>
      </c>
      <c r="O42">
        <v>28</v>
      </c>
      <c r="P42">
        <v>1</v>
      </c>
      <c r="Q42">
        <v>100</v>
      </c>
      <c r="R42">
        <v>70</v>
      </c>
      <c r="S42">
        <v>2</v>
      </c>
    </row>
    <row r="43" spans="1:24" x14ac:dyDescent="0.25">
      <c r="A43">
        <v>11</v>
      </c>
      <c r="D43" t="s">
        <v>1075</v>
      </c>
      <c r="E43">
        <v>80</v>
      </c>
      <c r="F43">
        <v>40</v>
      </c>
      <c r="G43">
        <v>5</v>
      </c>
      <c r="H43">
        <v>90</v>
      </c>
      <c r="I43">
        <v>40</v>
      </c>
      <c r="J43">
        <v>10</v>
      </c>
      <c r="K43" t="s">
        <v>1092</v>
      </c>
      <c r="L43" t="s">
        <v>1092</v>
      </c>
      <c r="M43" t="s">
        <v>1092</v>
      </c>
      <c r="N43">
        <v>78</v>
      </c>
      <c r="O43">
        <v>30</v>
      </c>
      <c r="P43">
        <v>1</v>
      </c>
      <c r="Q43">
        <v>100</v>
      </c>
      <c r="R43">
        <v>70</v>
      </c>
      <c r="S43">
        <v>2</v>
      </c>
    </row>
    <row r="44" spans="1:24" x14ac:dyDescent="0.25">
      <c r="A44">
        <v>12</v>
      </c>
      <c r="D44" t="s">
        <v>1076</v>
      </c>
      <c r="E44">
        <v>80</v>
      </c>
      <c r="F44">
        <v>40</v>
      </c>
      <c r="G44">
        <v>5</v>
      </c>
      <c r="H44">
        <v>90</v>
      </c>
      <c r="I44">
        <v>40</v>
      </c>
      <c r="J44">
        <v>10</v>
      </c>
      <c r="K44" t="s">
        <v>1092</v>
      </c>
      <c r="L44" t="s">
        <v>1092</v>
      </c>
      <c r="M44" t="s">
        <v>1092</v>
      </c>
      <c r="N44">
        <v>82</v>
      </c>
      <c r="O44">
        <v>30</v>
      </c>
      <c r="P44">
        <v>1</v>
      </c>
      <c r="Q44">
        <v>100</v>
      </c>
      <c r="R44">
        <v>70</v>
      </c>
      <c r="S44">
        <v>2</v>
      </c>
    </row>
    <row r="45" spans="1:24" x14ac:dyDescent="0.25">
      <c r="A45">
        <v>13</v>
      </c>
      <c r="D45" t="s">
        <v>1077</v>
      </c>
      <c r="E45">
        <v>80</v>
      </c>
      <c r="F45">
        <v>40</v>
      </c>
      <c r="G45">
        <v>5</v>
      </c>
      <c r="H45">
        <v>90</v>
      </c>
      <c r="I45">
        <v>40</v>
      </c>
      <c r="J45">
        <v>10</v>
      </c>
      <c r="K45" t="s">
        <v>1092</v>
      </c>
      <c r="L45" t="s">
        <v>1092</v>
      </c>
      <c r="M45" t="s">
        <v>1092</v>
      </c>
      <c r="N45">
        <v>71</v>
      </c>
      <c r="O45">
        <v>24</v>
      </c>
      <c r="P45">
        <v>1</v>
      </c>
      <c r="Q45">
        <v>75</v>
      </c>
      <c r="R45">
        <v>51</v>
      </c>
      <c r="S45">
        <v>2</v>
      </c>
    </row>
    <row r="46" spans="1:24" x14ac:dyDescent="0.25">
      <c r="A46">
        <v>14</v>
      </c>
      <c r="D46" t="s">
        <v>1078</v>
      </c>
      <c r="E46">
        <v>80</v>
      </c>
      <c r="F46">
        <v>40</v>
      </c>
      <c r="G46">
        <v>5</v>
      </c>
      <c r="H46">
        <v>90</v>
      </c>
      <c r="I46">
        <v>40</v>
      </c>
      <c r="J46">
        <v>10</v>
      </c>
      <c r="K46" t="s">
        <v>1092</v>
      </c>
      <c r="L46" t="s">
        <v>1092</v>
      </c>
      <c r="M46" t="s">
        <v>1092</v>
      </c>
      <c r="N46">
        <v>82</v>
      </c>
      <c r="O46">
        <v>24</v>
      </c>
      <c r="P46">
        <v>1</v>
      </c>
      <c r="Q46">
        <v>100</v>
      </c>
      <c r="R46">
        <v>51</v>
      </c>
      <c r="S46">
        <v>2</v>
      </c>
    </row>
    <row r="47" spans="1:24" x14ac:dyDescent="0.25">
      <c r="A47">
        <v>15</v>
      </c>
      <c r="D47" t="s">
        <v>1080</v>
      </c>
      <c r="E47">
        <v>80</v>
      </c>
      <c r="F47">
        <v>40</v>
      </c>
      <c r="G47">
        <v>5</v>
      </c>
      <c r="H47">
        <v>90</v>
      </c>
      <c r="I47">
        <v>40</v>
      </c>
      <c r="J47">
        <v>10</v>
      </c>
      <c r="K47" t="s">
        <v>1092</v>
      </c>
      <c r="L47" t="s">
        <v>1092</v>
      </c>
      <c r="M47" t="s">
        <v>1092</v>
      </c>
      <c r="N47">
        <v>78</v>
      </c>
      <c r="O47">
        <v>23</v>
      </c>
      <c r="P47">
        <v>1</v>
      </c>
      <c r="Q47">
        <v>100</v>
      </c>
      <c r="R47">
        <v>51</v>
      </c>
      <c r="S47">
        <v>2</v>
      </c>
    </row>
    <row r="48" spans="1:24" x14ac:dyDescent="0.25">
      <c r="A48">
        <v>16</v>
      </c>
      <c r="D48" t="s">
        <v>1082</v>
      </c>
      <c r="E48">
        <v>80</v>
      </c>
      <c r="F48">
        <v>40</v>
      </c>
      <c r="G48">
        <v>5</v>
      </c>
      <c r="H48">
        <v>90</v>
      </c>
      <c r="I48">
        <v>40</v>
      </c>
      <c r="J48">
        <v>10</v>
      </c>
      <c r="K48" t="s">
        <v>1092</v>
      </c>
      <c r="L48" t="s">
        <v>1092</v>
      </c>
      <c r="M48" t="s">
        <v>1092</v>
      </c>
      <c r="N48">
        <v>74</v>
      </c>
      <c r="O48">
        <v>23</v>
      </c>
      <c r="P48">
        <v>1</v>
      </c>
      <c r="Q48">
        <v>100</v>
      </c>
      <c r="R48">
        <v>51</v>
      </c>
      <c r="S48">
        <v>2</v>
      </c>
    </row>
    <row r="49" spans="1:19" x14ac:dyDescent="0.25">
      <c r="A49">
        <v>17</v>
      </c>
      <c r="D49" t="s">
        <v>1083</v>
      </c>
      <c r="E49">
        <v>80</v>
      </c>
      <c r="F49">
        <v>40</v>
      </c>
      <c r="G49">
        <v>0</v>
      </c>
      <c r="H49">
        <v>30</v>
      </c>
      <c r="I49">
        <v>40</v>
      </c>
      <c r="J49">
        <v>5</v>
      </c>
      <c r="K49" t="s">
        <v>1092</v>
      </c>
      <c r="L49" t="s">
        <v>1092</v>
      </c>
      <c r="M49" t="s">
        <v>1092</v>
      </c>
      <c r="N49">
        <v>63</v>
      </c>
      <c r="O49">
        <v>23</v>
      </c>
      <c r="P49">
        <v>1</v>
      </c>
      <c r="Q49">
        <v>100</v>
      </c>
      <c r="R49">
        <v>51</v>
      </c>
      <c r="S49">
        <v>0</v>
      </c>
    </row>
    <row r="50" spans="1:19" x14ac:dyDescent="0.25">
      <c r="A50">
        <v>18</v>
      </c>
      <c r="D50" t="s">
        <v>1084</v>
      </c>
      <c r="E50">
        <v>50</v>
      </c>
      <c r="F50">
        <v>10</v>
      </c>
      <c r="G50">
        <v>0</v>
      </c>
      <c r="H50">
        <v>30</v>
      </c>
      <c r="I50">
        <v>40</v>
      </c>
      <c r="J50">
        <v>5</v>
      </c>
      <c r="K50" t="s">
        <v>1092</v>
      </c>
      <c r="L50" t="s">
        <v>1092</v>
      </c>
      <c r="M50" t="s">
        <v>1092</v>
      </c>
      <c r="N50">
        <v>41</v>
      </c>
      <c r="O50">
        <v>10</v>
      </c>
      <c r="P50">
        <v>1</v>
      </c>
      <c r="Q50">
        <v>100</v>
      </c>
      <c r="R50">
        <v>25</v>
      </c>
      <c r="S50">
        <v>0</v>
      </c>
    </row>
    <row r="51" spans="1:19" x14ac:dyDescent="0.25">
      <c r="A51">
        <v>19</v>
      </c>
      <c r="D51" t="s">
        <v>1085</v>
      </c>
      <c r="E51">
        <v>30</v>
      </c>
      <c r="F51">
        <v>10</v>
      </c>
      <c r="G51">
        <v>0</v>
      </c>
      <c r="H51">
        <v>30</v>
      </c>
      <c r="I51">
        <v>10</v>
      </c>
      <c r="J51">
        <v>5</v>
      </c>
      <c r="K51" t="s">
        <v>1092</v>
      </c>
      <c r="L51" t="s">
        <v>1092</v>
      </c>
      <c r="M51" t="s">
        <v>1092</v>
      </c>
      <c r="N51">
        <v>18</v>
      </c>
      <c r="O51">
        <v>1</v>
      </c>
      <c r="P51">
        <v>1</v>
      </c>
      <c r="Q51">
        <v>52</v>
      </c>
      <c r="R51">
        <v>2</v>
      </c>
      <c r="S51">
        <v>0</v>
      </c>
    </row>
    <row r="52" spans="1:19" x14ac:dyDescent="0.25">
      <c r="A52">
        <v>20</v>
      </c>
      <c r="D52" t="s">
        <v>1086</v>
      </c>
      <c r="E52">
        <v>30</v>
      </c>
      <c r="F52">
        <v>0</v>
      </c>
      <c r="G52">
        <v>0</v>
      </c>
      <c r="H52">
        <v>30</v>
      </c>
      <c r="I52">
        <v>10</v>
      </c>
      <c r="J52">
        <v>5</v>
      </c>
      <c r="K52" t="s">
        <v>1092</v>
      </c>
      <c r="L52" t="s">
        <v>1092</v>
      </c>
      <c r="M52" t="s">
        <v>1092</v>
      </c>
      <c r="N52">
        <v>18</v>
      </c>
      <c r="O52">
        <v>1</v>
      </c>
      <c r="P52">
        <v>1</v>
      </c>
      <c r="Q52">
        <v>52</v>
      </c>
      <c r="R52">
        <v>0</v>
      </c>
      <c r="S52">
        <v>0</v>
      </c>
    </row>
    <row r="53" spans="1:19" x14ac:dyDescent="0.25">
      <c r="A53">
        <v>21</v>
      </c>
      <c r="D53" t="s">
        <v>1087</v>
      </c>
      <c r="E53">
        <v>20</v>
      </c>
      <c r="F53">
        <v>0</v>
      </c>
      <c r="G53">
        <v>0</v>
      </c>
      <c r="H53">
        <v>30</v>
      </c>
      <c r="I53">
        <v>10</v>
      </c>
      <c r="J53">
        <v>5</v>
      </c>
      <c r="K53" t="s">
        <v>1092</v>
      </c>
      <c r="L53" t="s">
        <v>1092</v>
      </c>
      <c r="M53" t="s">
        <v>1092</v>
      </c>
      <c r="N53">
        <v>18</v>
      </c>
      <c r="O53">
        <v>1</v>
      </c>
      <c r="P53">
        <v>1</v>
      </c>
      <c r="Q53">
        <v>52</v>
      </c>
      <c r="R53">
        <v>0</v>
      </c>
      <c r="S53">
        <v>0</v>
      </c>
    </row>
    <row r="54" spans="1:19" x14ac:dyDescent="0.25">
      <c r="A54">
        <v>22</v>
      </c>
      <c r="D54" t="s">
        <v>1088</v>
      </c>
      <c r="E54">
        <v>20</v>
      </c>
      <c r="F54">
        <v>0</v>
      </c>
      <c r="G54">
        <v>0</v>
      </c>
      <c r="H54">
        <v>30</v>
      </c>
      <c r="I54">
        <v>10</v>
      </c>
      <c r="J54">
        <v>5</v>
      </c>
      <c r="K54" t="s">
        <v>1092</v>
      </c>
      <c r="L54" t="s">
        <v>1092</v>
      </c>
      <c r="M54" t="s">
        <v>1092</v>
      </c>
      <c r="N54">
        <v>10</v>
      </c>
      <c r="O54">
        <v>1</v>
      </c>
      <c r="P54">
        <v>1</v>
      </c>
      <c r="Q54">
        <v>28</v>
      </c>
      <c r="R54">
        <v>0</v>
      </c>
      <c r="S54">
        <v>0</v>
      </c>
    </row>
    <row r="55" spans="1:19" x14ac:dyDescent="0.25">
      <c r="A55">
        <v>23</v>
      </c>
      <c r="D55" t="s">
        <v>1089</v>
      </c>
      <c r="E55">
        <v>0</v>
      </c>
      <c r="F55">
        <v>0</v>
      </c>
      <c r="G55">
        <v>0</v>
      </c>
      <c r="H55">
        <v>30</v>
      </c>
      <c r="I55">
        <v>10</v>
      </c>
      <c r="J55">
        <v>5</v>
      </c>
      <c r="K55" t="s">
        <v>1092</v>
      </c>
      <c r="L55" t="s">
        <v>1092</v>
      </c>
      <c r="M55" t="s">
        <v>1092</v>
      </c>
      <c r="N55">
        <v>1</v>
      </c>
      <c r="O55">
        <v>1</v>
      </c>
      <c r="P55">
        <v>1</v>
      </c>
      <c r="Q55">
        <v>0</v>
      </c>
      <c r="R55">
        <v>0</v>
      </c>
      <c r="S55">
        <v>0</v>
      </c>
    </row>
    <row r="56" spans="1:19" x14ac:dyDescent="0.25">
      <c r="A56">
        <v>24</v>
      </c>
      <c r="D56" t="s">
        <v>1090</v>
      </c>
      <c r="E56">
        <v>0</v>
      </c>
      <c r="F56">
        <v>0</v>
      </c>
      <c r="G56">
        <v>0</v>
      </c>
      <c r="H56">
        <v>10</v>
      </c>
      <c r="I56">
        <v>10</v>
      </c>
      <c r="J56">
        <v>5</v>
      </c>
      <c r="K56" t="s">
        <v>1092</v>
      </c>
      <c r="L56" t="s">
        <v>1092</v>
      </c>
      <c r="M56" t="s">
        <v>1092</v>
      </c>
      <c r="N56">
        <v>1</v>
      </c>
      <c r="O56">
        <v>1</v>
      </c>
      <c r="P56">
        <v>1</v>
      </c>
      <c r="Q56">
        <v>0</v>
      </c>
      <c r="R56">
        <v>0</v>
      </c>
      <c r="S56">
        <v>0</v>
      </c>
    </row>
    <row r="58" spans="1:19" x14ac:dyDescent="0.25">
      <c r="A58" t="s">
        <v>1060</v>
      </c>
      <c r="D58" t="s">
        <v>1048</v>
      </c>
      <c r="E58" t="s">
        <v>498</v>
      </c>
      <c r="H58" t="s">
        <v>500</v>
      </c>
      <c r="K58" t="s">
        <v>1045</v>
      </c>
      <c r="N58" t="s">
        <v>1049</v>
      </c>
      <c r="Q58" t="s">
        <v>1039</v>
      </c>
    </row>
    <row r="59" spans="1:19" x14ac:dyDescent="0.25">
      <c r="E59" t="s">
        <v>1040</v>
      </c>
      <c r="F59" t="s">
        <v>1046</v>
      </c>
      <c r="G59" t="s">
        <v>1053</v>
      </c>
      <c r="H59" t="s">
        <v>1040</v>
      </c>
      <c r="I59" t="s">
        <v>1046</v>
      </c>
      <c r="J59" t="s">
        <v>1053</v>
      </c>
      <c r="K59" t="s">
        <v>1040</v>
      </c>
      <c r="L59" t="s">
        <v>1046</v>
      </c>
      <c r="M59" t="s">
        <v>1053</v>
      </c>
      <c r="N59" t="s">
        <v>1040</v>
      </c>
      <c r="O59" t="s">
        <v>1046</v>
      </c>
      <c r="P59" t="s">
        <v>1053</v>
      </c>
      <c r="Q59" t="s">
        <v>1040</v>
      </c>
      <c r="R59" t="s">
        <v>1046</v>
      </c>
      <c r="S59" t="s">
        <v>1053</v>
      </c>
    </row>
    <row r="60" spans="1:19" x14ac:dyDescent="0.25">
      <c r="A60">
        <v>1</v>
      </c>
      <c r="D60" t="s">
        <v>1056</v>
      </c>
      <c r="E60">
        <v>90</v>
      </c>
      <c r="F60">
        <v>90</v>
      </c>
      <c r="G60">
        <v>70</v>
      </c>
      <c r="H60">
        <v>20</v>
      </c>
      <c r="I60">
        <v>20</v>
      </c>
      <c r="J60">
        <v>30</v>
      </c>
      <c r="K60" t="s">
        <v>1092</v>
      </c>
      <c r="L60" t="s">
        <v>1092</v>
      </c>
      <c r="M60" t="s">
        <v>1092</v>
      </c>
      <c r="N60">
        <v>20</v>
      </c>
      <c r="O60">
        <v>20</v>
      </c>
      <c r="P60">
        <v>25</v>
      </c>
      <c r="Q60">
        <v>40</v>
      </c>
      <c r="R60">
        <v>44</v>
      </c>
      <c r="S60">
        <v>55</v>
      </c>
    </row>
    <row r="61" spans="1:19" x14ac:dyDescent="0.25">
      <c r="A61">
        <v>2</v>
      </c>
      <c r="D61" t="s">
        <v>1057</v>
      </c>
      <c r="E61">
        <v>90</v>
      </c>
      <c r="F61">
        <v>90</v>
      </c>
      <c r="G61">
        <v>70</v>
      </c>
      <c r="H61">
        <v>15</v>
      </c>
      <c r="I61">
        <v>20</v>
      </c>
      <c r="J61">
        <v>30</v>
      </c>
      <c r="K61" t="s">
        <v>1092</v>
      </c>
      <c r="L61" t="s">
        <v>1092</v>
      </c>
      <c r="M61" t="s">
        <v>1092</v>
      </c>
      <c r="N61">
        <v>15</v>
      </c>
      <c r="O61">
        <v>15</v>
      </c>
      <c r="P61">
        <v>20</v>
      </c>
      <c r="Q61">
        <v>33</v>
      </c>
      <c r="R61">
        <v>35</v>
      </c>
      <c r="S61">
        <v>55</v>
      </c>
    </row>
    <row r="62" spans="1:19" x14ac:dyDescent="0.25">
      <c r="A62">
        <v>3</v>
      </c>
      <c r="D62" t="s">
        <v>1059</v>
      </c>
      <c r="E62">
        <v>90</v>
      </c>
      <c r="F62">
        <v>90</v>
      </c>
      <c r="G62">
        <v>70</v>
      </c>
      <c r="H62">
        <v>10</v>
      </c>
      <c r="I62">
        <v>10</v>
      </c>
      <c r="J62">
        <v>20</v>
      </c>
      <c r="K62" t="s">
        <v>1092</v>
      </c>
      <c r="L62" t="s">
        <v>1092</v>
      </c>
      <c r="M62" t="s">
        <v>1092</v>
      </c>
      <c r="N62">
        <v>15</v>
      </c>
      <c r="O62">
        <v>15</v>
      </c>
      <c r="P62">
        <v>20</v>
      </c>
      <c r="Q62">
        <v>33</v>
      </c>
      <c r="R62">
        <v>35</v>
      </c>
      <c r="S62">
        <v>43</v>
      </c>
    </row>
    <row r="63" spans="1:19" x14ac:dyDescent="0.25">
      <c r="A63">
        <v>4</v>
      </c>
      <c r="D63" t="s">
        <v>1061</v>
      </c>
      <c r="E63">
        <v>90</v>
      </c>
      <c r="F63">
        <v>90</v>
      </c>
      <c r="G63">
        <v>70</v>
      </c>
      <c r="H63">
        <v>10</v>
      </c>
      <c r="I63">
        <v>10</v>
      </c>
      <c r="J63">
        <v>20</v>
      </c>
      <c r="K63" t="s">
        <v>1092</v>
      </c>
      <c r="L63" t="s">
        <v>1092</v>
      </c>
      <c r="M63" t="s">
        <v>1092</v>
      </c>
      <c r="N63">
        <v>15</v>
      </c>
      <c r="O63">
        <v>15</v>
      </c>
      <c r="P63">
        <v>20</v>
      </c>
      <c r="Q63">
        <v>33</v>
      </c>
      <c r="R63">
        <v>35</v>
      </c>
      <c r="S63">
        <v>43</v>
      </c>
    </row>
    <row r="64" spans="1:19" x14ac:dyDescent="0.25">
      <c r="A64">
        <v>5</v>
      </c>
      <c r="D64" t="s">
        <v>1063</v>
      </c>
      <c r="E64">
        <v>90</v>
      </c>
      <c r="F64">
        <v>90</v>
      </c>
      <c r="G64">
        <v>70</v>
      </c>
      <c r="H64">
        <v>10</v>
      </c>
      <c r="I64">
        <v>10</v>
      </c>
      <c r="J64">
        <v>20</v>
      </c>
      <c r="K64" t="s">
        <v>1092</v>
      </c>
      <c r="L64" t="s">
        <v>1092</v>
      </c>
      <c r="M64" t="s">
        <v>1092</v>
      </c>
      <c r="N64">
        <v>20</v>
      </c>
      <c r="O64">
        <v>20</v>
      </c>
      <c r="P64">
        <v>20</v>
      </c>
      <c r="Q64">
        <v>33</v>
      </c>
      <c r="R64">
        <v>35</v>
      </c>
      <c r="S64">
        <v>43</v>
      </c>
    </row>
    <row r="65" spans="1:19" x14ac:dyDescent="0.25">
      <c r="A65">
        <v>6</v>
      </c>
      <c r="D65" t="s">
        <v>1065</v>
      </c>
      <c r="E65">
        <v>90</v>
      </c>
      <c r="F65">
        <v>90</v>
      </c>
      <c r="G65">
        <v>70</v>
      </c>
      <c r="H65">
        <v>20</v>
      </c>
      <c r="I65">
        <v>10</v>
      </c>
      <c r="J65">
        <v>20</v>
      </c>
      <c r="K65" t="s">
        <v>1092</v>
      </c>
      <c r="L65" t="s">
        <v>1092</v>
      </c>
      <c r="M65" t="s">
        <v>1092</v>
      </c>
      <c r="N65">
        <v>25</v>
      </c>
      <c r="O65">
        <v>25</v>
      </c>
      <c r="P65">
        <v>30</v>
      </c>
      <c r="Q65">
        <v>33</v>
      </c>
      <c r="R65">
        <v>35</v>
      </c>
      <c r="S65">
        <v>43</v>
      </c>
    </row>
    <row r="66" spans="1:19" x14ac:dyDescent="0.25">
      <c r="A66">
        <v>7</v>
      </c>
      <c r="D66" t="s">
        <v>1067</v>
      </c>
      <c r="E66">
        <v>70</v>
      </c>
      <c r="F66">
        <v>70</v>
      </c>
      <c r="G66">
        <v>70</v>
      </c>
      <c r="H66">
        <v>40</v>
      </c>
      <c r="I66">
        <v>30</v>
      </c>
      <c r="J66">
        <v>30</v>
      </c>
      <c r="K66" t="s">
        <v>1092</v>
      </c>
      <c r="L66" t="s">
        <v>1092</v>
      </c>
      <c r="M66" t="s">
        <v>1092</v>
      </c>
      <c r="N66">
        <v>50</v>
      </c>
      <c r="O66">
        <v>40</v>
      </c>
      <c r="P66">
        <v>50</v>
      </c>
      <c r="Q66">
        <v>42</v>
      </c>
      <c r="R66">
        <v>40</v>
      </c>
      <c r="S66">
        <v>52</v>
      </c>
    </row>
    <row r="67" spans="1:19" x14ac:dyDescent="0.25">
      <c r="A67">
        <v>8</v>
      </c>
      <c r="D67" t="s">
        <v>1069</v>
      </c>
      <c r="E67">
        <v>40</v>
      </c>
      <c r="F67">
        <v>50</v>
      </c>
      <c r="G67">
        <v>70</v>
      </c>
      <c r="H67">
        <v>50</v>
      </c>
      <c r="I67">
        <v>30</v>
      </c>
      <c r="J67">
        <v>40</v>
      </c>
      <c r="K67" t="s">
        <v>1092</v>
      </c>
      <c r="L67" t="s">
        <v>1092</v>
      </c>
      <c r="M67" t="s">
        <v>1092</v>
      </c>
      <c r="N67">
        <v>60</v>
      </c>
      <c r="O67">
        <v>50</v>
      </c>
      <c r="P67">
        <v>50</v>
      </c>
      <c r="Q67">
        <v>42</v>
      </c>
      <c r="R67">
        <v>32</v>
      </c>
      <c r="S67">
        <v>52</v>
      </c>
    </row>
    <row r="68" spans="1:19" x14ac:dyDescent="0.25">
      <c r="A68">
        <v>9</v>
      </c>
      <c r="D68" t="s">
        <v>1071</v>
      </c>
      <c r="E68">
        <v>40</v>
      </c>
      <c r="F68">
        <v>50</v>
      </c>
      <c r="G68">
        <v>50</v>
      </c>
      <c r="H68">
        <v>40</v>
      </c>
      <c r="I68">
        <v>40</v>
      </c>
      <c r="J68">
        <v>40</v>
      </c>
      <c r="K68" t="s">
        <v>1092</v>
      </c>
      <c r="L68" t="s">
        <v>1092</v>
      </c>
      <c r="M68" t="s">
        <v>1092</v>
      </c>
      <c r="N68">
        <v>55</v>
      </c>
      <c r="O68">
        <v>50</v>
      </c>
      <c r="P68">
        <v>50</v>
      </c>
      <c r="Q68">
        <v>52</v>
      </c>
      <c r="R68">
        <v>45</v>
      </c>
      <c r="S68">
        <v>65</v>
      </c>
    </row>
    <row r="69" spans="1:19" x14ac:dyDescent="0.25">
      <c r="A69">
        <v>10</v>
      </c>
      <c r="D69" t="s">
        <v>1073</v>
      </c>
      <c r="E69">
        <v>20</v>
      </c>
      <c r="F69">
        <v>30</v>
      </c>
      <c r="G69">
        <v>50</v>
      </c>
      <c r="H69">
        <v>40</v>
      </c>
      <c r="I69">
        <v>40</v>
      </c>
      <c r="J69">
        <v>30</v>
      </c>
      <c r="K69" t="s">
        <v>1092</v>
      </c>
      <c r="L69" t="s">
        <v>1092</v>
      </c>
      <c r="M69" t="s">
        <v>1092</v>
      </c>
      <c r="N69">
        <v>45</v>
      </c>
      <c r="O69">
        <v>50</v>
      </c>
      <c r="P69">
        <v>55</v>
      </c>
      <c r="Q69">
        <v>52</v>
      </c>
      <c r="R69">
        <v>45</v>
      </c>
      <c r="S69">
        <v>65</v>
      </c>
    </row>
    <row r="70" spans="1:19" x14ac:dyDescent="0.25">
      <c r="A70">
        <v>11</v>
      </c>
      <c r="D70" t="s">
        <v>1075</v>
      </c>
      <c r="E70">
        <v>20</v>
      </c>
      <c r="F70">
        <v>30</v>
      </c>
      <c r="G70">
        <v>50</v>
      </c>
      <c r="H70">
        <v>25</v>
      </c>
      <c r="I70">
        <v>30</v>
      </c>
      <c r="J70">
        <v>30</v>
      </c>
      <c r="K70" t="s">
        <v>1092</v>
      </c>
      <c r="L70" t="s">
        <v>1092</v>
      </c>
      <c r="M70" t="s">
        <v>1092</v>
      </c>
      <c r="N70">
        <v>40</v>
      </c>
      <c r="O70">
        <v>45</v>
      </c>
      <c r="P70">
        <v>50</v>
      </c>
      <c r="Q70">
        <v>40</v>
      </c>
      <c r="R70">
        <v>42</v>
      </c>
      <c r="S70">
        <v>53</v>
      </c>
    </row>
    <row r="71" spans="1:19" x14ac:dyDescent="0.25">
      <c r="A71">
        <v>12</v>
      </c>
      <c r="D71" t="s">
        <v>1076</v>
      </c>
      <c r="E71">
        <v>20</v>
      </c>
      <c r="F71">
        <v>30</v>
      </c>
      <c r="G71">
        <v>30</v>
      </c>
      <c r="H71">
        <v>25</v>
      </c>
      <c r="I71">
        <v>25</v>
      </c>
      <c r="J71">
        <v>30</v>
      </c>
      <c r="K71" t="s">
        <v>1092</v>
      </c>
      <c r="L71" t="s">
        <v>1092</v>
      </c>
      <c r="M71" t="s">
        <v>1092</v>
      </c>
      <c r="N71">
        <v>45</v>
      </c>
      <c r="O71">
        <v>50</v>
      </c>
      <c r="P71">
        <v>50</v>
      </c>
      <c r="Q71">
        <v>51</v>
      </c>
      <c r="R71">
        <v>60</v>
      </c>
      <c r="S71">
        <v>60</v>
      </c>
    </row>
    <row r="72" spans="1:19" x14ac:dyDescent="0.25">
      <c r="A72">
        <v>13</v>
      </c>
      <c r="D72" t="s">
        <v>1077</v>
      </c>
      <c r="E72">
        <v>20</v>
      </c>
      <c r="F72">
        <v>30</v>
      </c>
      <c r="G72">
        <v>30</v>
      </c>
      <c r="H72">
        <v>25</v>
      </c>
      <c r="I72">
        <v>25</v>
      </c>
      <c r="J72">
        <v>30</v>
      </c>
      <c r="K72" t="s">
        <v>1092</v>
      </c>
      <c r="L72" t="s">
        <v>1092</v>
      </c>
      <c r="M72" t="s">
        <v>1092</v>
      </c>
      <c r="N72">
        <v>40</v>
      </c>
      <c r="O72">
        <v>50</v>
      </c>
      <c r="P72">
        <v>40</v>
      </c>
      <c r="Q72">
        <v>51</v>
      </c>
      <c r="R72">
        <v>65</v>
      </c>
      <c r="S72">
        <v>53</v>
      </c>
    </row>
    <row r="73" spans="1:19" x14ac:dyDescent="0.25">
      <c r="A73">
        <v>14</v>
      </c>
      <c r="D73" t="s">
        <v>1078</v>
      </c>
      <c r="E73">
        <v>20</v>
      </c>
      <c r="F73">
        <v>30</v>
      </c>
      <c r="G73">
        <v>20</v>
      </c>
      <c r="H73">
        <v>25</v>
      </c>
      <c r="I73">
        <v>25</v>
      </c>
      <c r="J73">
        <v>20</v>
      </c>
      <c r="K73" t="s">
        <v>1092</v>
      </c>
      <c r="L73" t="s">
        <v>1092</v>
      </c>
      <c r="M73" t="s">
        <v>1092</v>
      </c>
      <c r="N73">
        <v>35</v>
      </c>
      <c r="O73">
        <v>45</v>
      </c>
      <c r="P73">
        <v>40</v>
      </c>
      <c r="Q73">
        <v>51</v>
      </c>
      <c r="R73">
        <v>65</v>
      </c>
      <c r="S73">
        <v>51</v>
      </c>
    </row>
    <row r="74" spans="1:19" x14ac:dyDescent="0.25">
      <c r="A74">
        <v>15</v>
      </c>
      <c r="D74" t="s">
        <v>1080</v>
      </c>
      <c r="E74">
        <v>20</v>
      </c>
      <c r="F74">
        <v>30</v>
      </c>
      <c r="G74">
        <v>20</v>
      </c>
      <c r="H74">
        <v>25</v>
      </c>
      <c r="I74">
        <v>25</v>
      </c>
      <c r="J74">
        <v>20</v>
      </c>
      <c r="K74" t="s">
        <v>1092</v>
      </c>
      <c r="L74" t="s">
        <v>1092</v>
      </c>
      <c r="M74" t="s">
        <v>1092</v>
      </c>
      <c r="N74">
        <v>30</v>
      </c>
      <c r="O74">
        <v>40</v>
      </c>
      <c r="P74">
        <v>30</v>
      </c>
      <c r="Q74">
        <v>51</v>
      </c>
      <c r="R74">
        <v>65</v>
      </c>
      <c r="S74">
        <v>50</v>
      </c>
    </row>
    <row r="75" spans="1:19" x14ac:dyDescent="0.25">
      <c r="A75">
        <v>16</v>
      </c>
      <c r="D75" t="s">
        <v>1082</v>
      </c>
      <c r="E75">
        <v>30</v>
      </c>
      <c r="F75">
        <v>30</v>
      </c>
      <c r="G75">
        <v>20</v>
      </c>
      <c r="H75">
        <v>25</v>
      </c>
      <c r="I75">
        <v>25</v>
      </c>
      <c r="J75">
        <v>20</v>
      </c>
      <c r="K75" t="s">
        <v>1092</v>
      </c>
      <c r="L75" t="s">
        <v>1092</v>
      </c>
      <c r="M75" t="s">
        <v>1092</v>
      </c>
      <c r="N75">
        <v>30</v>
      </c>
      <c r="O75">
        <v>40</v>
      </c>
      <c r="P75">
        <v>30</v>
      </c>
      <c r="Q75">
        <v>51</v>
      </c>
      <c r="R75">
        <v>65</v>
      </c>
      <c r="S75">
        <v>44</v>
      </c>
    </row>
    <row r="76" spans="1:19" x14ac:dyDescent="0.25">
      <c r="A76">
        <v>17</v>
      </c>
      <c r="D76" t="s">
        <v>1083</v>
      </c>
      <c r="E76">
        <v>50</v>
      </c>
      <c r="F76">
        <v>30</v>
      </c>
      <c r="G76">
        <v>30</v>
      </c>
      <c r="H76">
        <v>25</v>
      </c>
      <c r="I76">
        <v>25</v>
      </c>
      <c r="J76">
        <v>20</v>
      </c>
      <c r="K76" t="s">
        <v>1092</v>
      </c>
      <c r="L76" t="s">
        <v>1092</v>
      </c>
      <c r="M76" t="s">
        <v>1092</v>
      </c>
      <c r="N76">
        <v>30</v>
      </c>
      <c r="O76">
        <v>35</v>
      </c>
      <c r="P76">
        <v>30</v>
      </c>
      <c r="Q76">
        <v>63</v>
      </c>
      <c r="R76">
        <v>65</v>
      </c>
      <c r="S76">
        <v>64</v>
      </c>
    </row>
    <row r="77" spans="1:19" x14ac:dyDescent="0.25">
      <c r="A77">
        <v>18</v>
      </c>
      <c r="D77" t="s">
        <v>1084</v>
      </c>
      <c r="E77">
        <v>50</v>
      </c>
      <c r="F77">
        <v>50</v>
      </c>
      <c r="G77">
        <v>40</v>
      </c>
      <c r="H77">
        <v>25</v>
      </c>
      <c r="I77">
        <v>25</v>
      </c>
      <c r="J77">
        <v>20</v>
      </c>
      <c r="K77" t="s">
        <v>1092</v>
      </c>
      <c r="L77" t="s">
        <v>1092</v>
      </c>
      <c r="M77" t="s">
        <v>1092</v>
      </c>
      <c r="N77">
        <v>40</v>
      </c>
      <c r="O77">
        <v>40</v>
      </c>
      <c r="P77">
        <v>40</v>
      </c>
      <c r="Q77">
        <v>80</v>
      </c>
      <c r="R77">
        <v>75</v>
      </c>
      <c r="S77">
        <v>62</v>
      </c>
    </row>
    <row r="78" spans="1:19" x14ac:dyDescent="0.25">
      <c r="A78">
        <v>19</v>
      </c>
      <c r="D78" t="s">
        <v>1085</v>
      </c>
      <c r="E78">
        <v>50</v>
      </c>
      <c r="F78">
        <v>60</v>
      </c>
      <c r="G78">
        <v>40</v>
      </c>
      <c r="H78">
        <v>60</v>
      </c>
      <c r="I78">
        <v>60</v>
      </c>
      <c r="J78">
        <v>50</v>
      </c>
      <c r="K78" t="s">
        <v>1092</v>
      </c>
      <c r="L78" t="s">
        <v>1092</v>
      </c>
      <c r="M78" t="s">
        <v>1092</v>
      </c>
      <c r="N78">
        <v>55</v>
      </c>
      <c r="O78">
        <v>55</v>
      </c>
      <c r="P78">
        <v>50</v>
      </c>
      <c r="Q78">
        <v>86</v>
      </c>
      <c r="R78">
        <v>80</v>
      </c>
      <c r="S78">
        <v>65</v>
      </c>
    </row>
    <row r="79" spans="1:19" x14ac:dyDescent="0.25">
      <c r="A79">
        <v>20</v>
      </c>
      <c r="D79" t="s">
        <v>1086</v>
      </c>
      <c r="E79">
        <v>70</v>
      </c>
      <c r="F79">
        <v>60</v>
      </c>
      <c r="G79">
        <v>60</v>
      </c>
      <c r="H79">
        <v>80</v>
      </c>
      <c r="I79">
        <v>70</v>
      </c>
      <c r="J79">
        <v>70</v>
      </c>
      <c r="K79" t="s">
        <v>1092</v>
      </c>
      <c r="L79" t="s">
        <v>1092</v>
      </c>
      <c r="M79" t="s">
        <v>1092</v>
      </c>
      <c r="N79">
        <v>60</v>
      </c>
      <c r="O79">
        <v>55</v>
      </c>
      <c r="P79">
        <v>50</v>
      </c>
      <c r="Q79">
        <v>70</v>
      </c>
      <c r="R79">
        <v>80</v>
      </c>
      <c r="S79">
        <v>63</v>
      </c>
    </row>
    <row r="80" spans="1:19" x14ac:dyDescent="0.25">
      <c r="A80">
        <v>21</v>
      </c>
      <c r="D80" t="s">
        <v>1087</v>
      </c>
      <c r="E80">
        <v>70</v>
      </c>
      <c r="F80">
        <v>60</v>
      </c>
      <c r="G80">
        <v>60</v>
      </c>
      <c r="H80">
        <v>90</v>
      </c>
      <c r="I80">
        <v>70</v>
      </c>
      <c r="J80">
        <v>80</v>
      </c>
      <c r="K80" t="s">
        <v>1092</v>
      </c>
      <c r="L80" t="s">
        <v>1092</v>
      </c>
      <c r="M80" t="s">
        <v>1092</v>
      </c>
      <c r="N80">
        <v>50</v>
      </c>
      <c r="O80">
        <v>50</v>
      </c>
      <c r="P80">
        <v>40</v>
      </c>
      <c r="Q80">
        <v>70</v>
      </c>
      <c r="R80">
        <v>75</v>
      </c>
      <c r="S80">
        <v>63</v>
      </c>
    </row>
    <row r="81" spans="1:19" x14ac:dyDescent="0.25">
      <c r="A81">
        <v>22</v>
      </c>
      <c r="D81" t="s">
        <v>1088</v>
      </c>
      <c r="E81">
        <v>80</v>
      </c>
      <c r="F81">
        <v>70</v>
      </c>
      <c r="G81">
        <v>80</v>
      </c>
      <c r="H81">
        <v>80</v>
      </c>
      <c r="I81">
        <v>70</v>
      </c>
      <c r="J81">
        <v>60</v>
      </c>
      <c r="K81" t="s">
        <v>1092</v>
      </c>
      <c r="L81" t="s">
        <v>1092</v>
      </c>
      <c r="M81" t="s">
        <v>1092</v>
      </c>
      <c r="N81">
        <v>55</v>
      </c>
      <c r="O81">
        <v>55</v>
      </c>
      <c r="P81">
        <v>50</v>
      </c>
      <c r="Q81">
        <v>70</v>
      </c>
      <c r="R81">
        <v>75</v>
      </c>
      <c r="S81">
        <v>63</v>
      </c>
    </row>
    <row r="82" spans="1:19" x14ac:dyDescent="0.25">
      <c r="A82">
        <v>23</v>
      </c>
      <c r="D82" t="s">
        <v>1089</v>
      </c>
      <c r="E82">
        <v>90</v>
      </c>
      <c r="F82">
        <v>70</v>
      </c>
      <c r="G82">
        <v>80</v>
      </c>
      <c r="H82">
        <v>60</v>
      </c>
      <c r="I82">
        <v>60</v>
      </c>
      <c r="J82">
        <v>50</v>
      </c>
      <c r="K82" t="s">
        <v>1092</v>
      </c>
      <c r="L82" t="s">
        <v>1092</v>
      </c>
      <c r="M82" t="s">
        <v>1092</v>
      </c>
      <c r="N82">
        <v>45</v>
      </c>
      <c r="O82">
        <v>40</v>
      </c>
      <c r="P82">
        <v>40</v>
      </c>
      <c r="Q82">
        <v>45</v>
      </c>
      <c r="R82">
        <v>55</v>
      </c>
      <c r="S82">
        <v>40</v>
      </c>
    </row>
    <row r="83" spans="1:19" x14ac:dyDescent="0.25">
      <c r="A83">
        <v>24</v>
      </c>
      <c r="D83" t="s">
        <v>1090</v>
      </c>
      <c r="E83">
        <v>90</v>
      </c>
      <c r="F83">
        <v>70</v>
      </c>
      <c r="G83">
        <v>80</v>
      </c>
      <c r="H83">
        <v>30</v>
      </c>
      <c r="I83">
        <v>30</v>
      </c>
      <c r="J83">
        <v>30</v>
      </c>
      <c r="K83" t="s">
        <v>1092</v>
      </c>
      <c r="L83" t="s">
        <v>1092</v>
      </c>
      <c r="M83" t="s">
        <v>1092</v>
      </c>
      <c r="N83">
        <v>25</v>
      </c>
      <c r="O83">
        <v>30</v>
      </c>
      <c r="P83">
        <v>20</v>
      </c>
      <c r="Q83">
        <v>45</v>
      </c>
      <c r="R83">
        <v>55</v>
      </c>
      <c r="S83">
        <v>40</v>
      </c>
    </row>
    <row r="85" spans="1:19" x14ac:dyDescent="0.25">
      <c r="A85" t="s">
        <v>1062</v>
      </c>
      <c r="D85" t="s">
        <v>1048</v>
      </c>
      <c r="E85" t="s">
        <v>498</v>
      </c>
      <c r="H85" t="s">
        <v>500</v>
      </c>
      <c r="K85" t="s">
        <v>1045</v>
      </c>
      <c r="N85" t="s">
        <v>1049</v>
      </c>
      <c r="Q85" t="s">
        <v>1039</v>
      </c>
    </row>
    <row r="86" spans="1:19" x14ac:dyDescent="0.25">
      <c r="E86" t="s">
        <v>1040</v>
      </c>
      <c r="F86" t="s">
        <v>1046</v>
      </c>
      <c r="G86" t="s">
        <v>1053</v>
      </c>
      <c r="H86" t="s">
        <v>1040</v>
      </c>
      <c r="I86" t="s">
        <v>1046</v>
      </c>
      <c r="J86" t="s">
        <v>1053</v>
      </c>
      <c r="K86" t="s">
        <v>1040</v>
      </c>
      <c r="L86" t="s">
        <v>1046</v>
      </c>
      <c r="M86" t="s">
        <v>1053</v>
      </c>
      <c r="N86" t="s">
        <v>1040</v>
      </c>
      <c r="O86" t="s">
        <v>1046</v>
      </c>
      <c r="P86" t="s">
        <v>1053</v>
      </c>
      <c r="Q86" t="s">
        <v>1040</v>
      </c>
      <c r="R86" t="s">
        <v>1046</v>
      </c>
      <c r="S86" t="s">
        <v>1053</v>
      </c>
    </row>
    <row r="87" spans="1:19" x14ac:dyDescent="0.25">
      <c r="A87">
        <v>1</v>
      </c>
      <c r="D87" t="s">
        <v>1056</v>
      </c>
      <c r="E87">
        <v>0</v>
      </c>
      <c r="F87">
        <v>0</v>
      </c>
      <c r="G87">
        <v>0</v>
      </c>
      <c r="H87">
        <v>5</v>
      </c>
      <c r="I87">
        <v>5</v>
      </c>
      <c r="J87">
        <v>5</v>
      </c>
      <c r="K87" t="s">
        <v>1101</v>
      </c>
      <c r="L87" t="s">
        <v>1101</v>
      </c>
      <c r="M87" t="s">
        <v>1101</v>
      </c>
      <c r="N87">
        <v>5</v>
      </c>
      <c r="O87">
        <v>5</v>
      </c>
      <c r="P87">
        <v>4</v>
      </c>
      <c r="Q87">
        <v>0</v>
      </c>
      <c r="R87">
        <v>0</v>
      </c>
      <c r="S87">
        <v>0</v>
      </c>
    </row>
    <row r="88" spans="1:19" x14ac:dyDescent="0.25">
      <c r="A88">
        <v>2</v>
      </c>
      <c r="D88" t="s">
        <v>1057</v>
      </c>
      <c r="E88">
        <v>0</v>
      </c>
      <c r="F88">
        <v>0</v>
      </c>
      <c r="G88">
        <v>0</v>
      </c>
      <c r="H88">
        <v>5</v>
      </c>
      <c r="I88">
        <v>5</v>
      </c>
      <c r="J88">
        <v>5</v>
      </c>
      <c r="K88" t="s">
        <v>1101</v>
      </c>
      <c r="L88" t="s">
        <v>1101</v>
      </c>
      <c r="M88" t="s">
        <v>1101</v>
      </c>
      <c r="N88">
        <v>5</v>
      </c>
      <c r="O88">
        <v>5</v>
      </c>
      <c r="P88">
        <v>4</v>
      </c>
      <c r="Q88">
        <v>0</v>
      </c>
      <c r="R88">
        <v>0</v>
      </c>
      <c r="S88">
        <v>0</v>
      </c>
    </row>
    <row r="89" spans="1:19" x14ac:dyDescent="0.25">
      <c r="A89">
        <v>3</v>
      </c>
      <c r="D89" t="s">
        <v>1059</v>
      </c>
      <c r="E89">
        <v>0</v>
      </c>
      <c r="F89">
        <v>0</v>
      </c>
      <c r="G89">
        <v>0</v>
      </c>
      <c r="H89">
        <v>5</v>
      </c>
      <c r="I89">
        <v>5</v>
      </c>
      <c r="J89">
        <v>5</v>
      </c>
      <c r="K89" t="s">
        <v>1101</v>
      </c>
      <c r="L89" t="s">
        <v>1101</v>
      </c>
      <c r="M89" t="s">
        <v>1101</v>
      </c>
      <c r="N89">
        <v>5</v>
      </c>
      <c r="O89">
        <v>5</v>
      </c>
      <c r="P89">
        <v>4</v>
      </c>
      <c r="Q89">
        <v>0</v>
      </c>
      <c r="R89">
        <v>0</v>
      </c>
      <c r="S89">
        <v>0</v>
      </c>
    </row>
    <row r="90" spans="1:19" x14ac:dyDescent="0.25">
      <c r="A90">
        <v>4</v>
      </c>
      <c r="D90" t="s">
        <v>1061</v>
      </c>
      <c r="E90">
        <v>0</v>
      </c>
      <c r="F90">
        <v>0</v>
      </c>
      <c r="G90">
        <v>0</v>
      </c>
      <c r="H90">
        <v>5</v>
      </c>
      <c r="I90">
        <v>5</v>
      </c>
      <c r="J90">
        <v>5</v>
      </c>
      <c r="K90" t="s">
        <v>1101</v>
      </c>
      <c r="L90" t="s">
        <v>1101</v>
      </c>
      <c r="M90" t="s">
        <v>1101</v>
      </c>
      <c r="N90">
        <v>5</v>
      </c>
      <c r="O90">
        <v>5</v>
      </c>
      <c r="P90">
        <v>4</v>
      </c>
      <c r="Q90">
        <v>0</v>
      </c>
      <c r="R90">
        <v>0</v>
      </c>
      <c r="S90">
        <v>0</v>
      </c>
    </row>
    <row r="91" spans="1:19" x14ac:dyDescent="0.25">
      <c r="A91">
        <v>5</v>
      </c>
      <c r="D91" t="s">
        <v>1063</v>
      </c>
      <c r="E91">
        <v>0</v>
      </c>
      <c r="F91">
        <v>0</v>
      </c>
      <c r="G91">
        <v>0</v>
      </c>
      <c r="H91">
        <v>5</v>
      </c>
      <c r="I91">
        <v>5</v>
      </c>
      <c r="J91">
        <v>5</v>
      </c>
      <c r="K91" t="s">
        <v>1101</v>
      </c>
      <c r="L91" t="s">
        <v>1101</v>
      </c>
      <c r="M91" t="s">
        <v>1101</v>
      </c>
      <c r="N91">
        <v>5</v>
      </c>
      <c r="O91">
        <v>5</v>
      </c>
      <c r="P91">
        <v>4</v>
      </c>
      <c r="Q91">
        <v>0</v>
      </c>
      <c r="R91">
        <v>0</v>
      </c>
      <c r="S91">
        <v>0</v>
      </c>
    </row>
    <row r="92" spans="1:19" x14ac:dyDescent="0.25">
      <c r="A92">
        <v>6</v>
      </c>
      <c r="D92" t="s">
        <v>1065</v>
      </c>
      <c r="E92">
        <v>0</v>
      </c>
      <c r="F92">
        <v>0</v>
      </c>
      <c r="G92">
        <v>0</v>
      </c>
      <c r="H92">
        <v>10</v>
      </c>
      <c r="I92">
        <v>5</v>
      </c>
      <c r="J92">
        <v>5</v>
      </c>
      <c r="K92" t="s">
        <v>1101</v>
      </c>
      <c r="L92" t="s">
        <v>1101</v>
      </c>
      <c r="M92" t="s">
        <v>1101</v>
      </c>
      <c r="N92">
        <v>8</v>
      </c>
      <c r="O92">
        <v>8</v>
      </c>
      <c r="P92">
        <v>7</v>
      </c>
      <c r="Q92">
        <v>0</v>
      </c>
      <c r="R92">
        <v>0</v>
      </c>
      <c r="S92">
        <v>0</v>
      </c>
    </row>
    <row r="93" spans="1:19" x14ac:dyDescent="0.25">
      <c r="A93">
        <v>7</v>
      </c>
      <c r="D93" t="s">
        <v>1067</v>
      </c>
      <c r="E93">
        <v>10</v>
      </c>
      <c r="F93">
        <v>10</v>
      </c>
      <c r="G93">
        <v>5</v>
      </c>
      <c r="H93">
        <v>10</v>
      </c>
      <c r="I93">
        <v>10</v>
      </c>
      <c r="J93">
        <v>5</v>
      </c>
      <c r="K93" t="s">
        <v>1092</v>
      </c>
      <c r="L93" t="s">
        <v>1092</v>
      </c>
      <c r="M93" t="s">
        <v>1101</v>
      </c>
      <c r="N93">
        <v>7</v>
      </c>
      <c r="O93">
        <v>7</v>
      </c>
      <c r="P93">
        <v>4</v>
      </c>
      <c r="Q93">
        <v>0</v>
      </c>
      <c r="R93">
        <v>0</v>
      </c>
      <c r="S93">
        <v>0</v>
      </c>
    </row>
    <row r="94" spans="1:19" x14ac:dyDescent="0.25">
      <c r="A94">
        <v>8</v>
      </c>
      <c r="D94" t="s">
        <v>1069</v>
      </c>
      <c r="E94">
        <v>20</v>
      </c>
      <c r="F94">
        <v>10</v>
      </c>
      <c r="G94">
        <v>5</v>
      </c>
      <c r="H94">
        <v>30</v>
      </c>
      <c r="I94">
        <v>10</v>
      </c>
      <c r="J94">
        <v>5</v>
      </c>
      <c r="K94" t="s">
        <v>1092</v>
      </c>
      <c r="L94" t="s">
        <v>1092</v>
      </c>
      <c r="M94" t="s">
        <v>1101</v>
      </c>
      <c r="N94">
        <v>19</v>
      </c>
      <c r="O94">
        <v>11</v>
      </c>
      <c r="P94">
        <v>4</v>
      </c>
      <c r="Q94">
        <v>35</v>
      </c>
      <c r="R94">
        <v>16</v>
      </c>
      <c r="S94">
        <v>0</v>
      </c>
    </row>
    <row r="95" spans="1:19" x14ac:dyDescent="0.25">
      <c r="A95">
        <v>9</v>
      </c>
      <c r="D95" t="s">
        <v>1071</v>
      </c>
      <c r="E95">
        <v>95</v>
      </c>
      <c r="F95">
        <v>30</v>
      </c>
      <c r="G95">
        <v>5</v>
      </c>
      <c r="H95">
        <v>90</v>
      </c>
      <c r="I95">
        <v>30</v>
      </c>
      <c r="J95">
        <v>5</v>
      </c>
      <c r="K95" t="s">
        <v>1092</v>
      </c>
      <c r="L95" t="s">
        <v>1092</v>
      </c>
      <c r="M95" t="s">
        <v>1101</v>
      </c>
      <c r="N95">
        <v>35</v>
      </c>
      <c r="O95">
        <v>15</v>
      </c>
      <c r="P95">
        <v>4</v>
      </c>
      <c r="Q95">
        <v>69</v>
      </c>
      <c r="R95">
        <v>14</v>
      </c>
      <c r="S95">
        <v>0</v>
      </c>
    </row>
    <row r="96" spans="1:19" x14ac:dyDescent="0.25">
      <c r="A96">
        <v>10</v>
      </c>
      <c r="D96" t="s">
        <v>1073</v>
      </c>
      <c r="E96">
        <v>95</v>
      </c>
      <c r="F96">
        <v>30</v>
      </c>
      <c r="G96">
        <v>5</v>
      </c>
      <c r="H96">
        <v>90</v>
      </c>
      <c r="I96">
        <v>30</v>
      </c>
      <c r="J96">
        <v>5</v>
      </c>
      <c r="K96" t="s">
        <v>1092</v>
      </c>
      <c r="L96" t="s">
        <v>1092</v>
      </c>
      <c r="M96" t="s">
        <v>1101</v>
      </c>
      <c r="N96">
        <v>38</v>
      </c>
      <c r="O96">
        <v>21</v>
      </c>
      <c r="P96">
        <v>4</v>
      </c>
      <c r="Q96">
        <v>43</v>
      </c>
      <c r="R96">
        <v>21</v>
      </c>
      <c r="S96">
        <v>0</v>
      </c>
    </row>
    <row r="97" spans="1:19" x14ac:dyDescent="0.25">
      <c r="A97">
        <v>11</v>
      </c>
      <c r="D97" t="s">
        <v>1075</v>
      </c>
      <c r="E97">
        <v>95</v>
      </c>
      <c r="F97">
        <v>30</v>
      </c>
      <c r="G97">
        <v>5</v>
      </c>
      <c r="H97">
        <v>90</v>
      </c>
      <c r="I97">
        <v>30</v>
      </c>
      <c r="J97">
        <v>5</v>
      </c>
      <c r="K97" t="s">
        <v>1092</v>
      </c>
      <c r="L97" t="s">
        <v>1092</v>
      </c>
      <c r="M97" t="s">
        <v>1101</v>
      </c>
      <c r="N97">
        <v>39</v>
      </c>
      <c r="O97">
        <v>19</v>
      </c>
      <c r="P97">
        <v>4</v>
      </c>
      <c r="Q97">
        <v>37</v>
      </c>
      <c r="R97">
        <v>18</v>
      </c>
      <c r="S97">
        <v>0</v>
      </c>
    </row>
    <row r="98" spans="1:19" x14ac:dyDescent="0.25">
      <c r="A98">
        <v>12</v>
      </c>
      <c r="D98" t="s">
        <v>1076</v>
      </c>
      <c r="E98">
        <v>95</v>
      </c>
      <c r="F98">
        <v>30</v>
      </c>
      <c r="G98">
        <v>5</v>
      </c>
      <c r="H98">
        <v>90</v>
      </c>
      <c r="I98">
        <v>30</v>
      </c>
      <c r="J98">
        <v>5</v>
      </c>
      <c r="K98" t="s">
        <v>1092</v>
      </c>
      <c r="L98" t="s">
        <v>1092</v>
      </c>
      <c r="M98" t="s">
        <v>1101</v>
      </c>
      <c r="N98">
        <v>47</v>
      </c>
      <c r="O98">
        <v>23</v>
      </c>
      <c r="P98">
        <v>6</v>
      </c>
      <c r="Q98">
        <v>43</v>
      </c>
      <c r="R98">
        <v>25</v>
      </c>
      <c r="S98">
        <v>0</v>
      </c>
    </row>
    <row r="99" spans="1:19" x14ac:dyDescent="0.25">
      <c r="A99">
        <v>13</v>
      </c>
      <c r="D99" t="s">
        <v>1077</v>
      </c>
      <c r="E99">
        <v>50</v>
      </c>
      <c r="F99">
        <v>10</v>
      </c>
      <c r="G99">
        <v>5</v>
      </c>
      <c r="H99">
        <v>80</v>
      </c>
      <c r="I99">
        <v>15</v>
      </c>
      <c r="J99">
        <v>5</v>
      </c>
      <c r="K99" t="s">
        <v>1092</v>
      </c>
      <c r="L99" t="s">
        <v>1092</v>
      </c>
      <c r="M99" t="s">
        <v>1101</v>
      </c>
      <c r="N99">
        <v>57</v>
      </c>
      <c r="O99">
        <v>20</v>
      </c>
      <c r="P99">
        <v>6</v>
      </c>
      <c r="Q99">
        <v>58</v>
      </c>
      <c r="R99">
        <v>21</v>
      </c>
      <c r="S99">
        <v>0</v>
      </c>
    </row>
    <row r="100" spans="1:19" x14ac:dyDescent="0.25">
      <c r="A100">
        <v>14</v>
      </c>
      <c r="D100" t="s">
        <v>1078</v>
      </c>
      <c r="E100">
        <v>95</v>
      </c>
      <c r="F100">
        <v>10</v>
      </c>
      <c r="G100">
        <v>5</v>
      </c>
      <c r="H100">
        <v>90</v>
      </c>
      <c r="I100">
        <v>15</v>
      </c>
      <c r="J100">
        <v>5</v>
      </c>
      <c r="K100" t="s">
        <v>1092</v>
      </c>
      <c r="L100" t="s">
        <v>1092</v>
      </c>
      <c r="M100" t="s">
        <v>1101</v>
      </c>
      <c r="N100">
        <v>54</v>
      </c>
      <c r="O100">
        <v>19</v>
      </c>
      <c r="P100">
        <v>9</v>
      </c>
      <c r="Q100">
        <v>48</v>
      </c>
      <c r="R100">
        <v>13</v>
      </c>
      <c r="S100">
        <v>0</v>
      </c>
    </row>
    <row r="101" spans="1:19" x14ac:dyDescent="0.25">
      <c r="A101">
        <v>15</v>
      </c>
      <c r="D101" t="s">
        <v>1080</v>
      </c>
      <c r="E101">
        <v>95</v>
      </c>
      <c r="F101">
        <v>10</v>
      </c>
      <c r="G101">
        <v>5</v>
      </c>
      <c r="H101">
        <v>90</v>
      </c>
      <c r="I101">
        <v>15</v>
      </c>
      <c r="J101">
        <v>5</v>
      </c>
      <c r="K101" t="s">
        <v>1092</v>
      </c>
      <c r="L101" t="s">
        <v>1092</v>
      </c>
      <c r="M101" t="s">
        <v>1101</v>
      </c>
      <c r="N101">
        <v>34</v>
      </c>
      <c r="O101">
        <v>15</v>
      </c>
      <c r="P101">
        <v>6</v>
      </c>
      <c r="Q101">
        <v>37</v>
      </c>
      <c r="R101">
        <v>8</v>
      </c>
      <c r="S101">
        <v>0</v>
      </c>
    </row>
    <row r="102" spans="1:19" x14ac:dyDescent="0.25">
      <c r="A102">
        <v>16</v>
      </c>
      <c r="D102" t="s">
        <v>1082</v>
      </c>
      <c r="E102">
        <v>95</v>
      </c>
      <c r="F102">
        <v>10</v>
      </c>
      <c r="G102">
        <v>5</v>
      </c>
      <c r="H102">
        <v>90</v>
      </c>
      <c r="I102">
        <v>15</v>
      </c>
      <c r="J102">
        <v>5</v>
      </c>
      <c r="K102" t="s">
        <v>1092</v>
      </c>
      <c r="L102" t="s">
        <v>1092</v>
      </c>
      <c r="M102" t="s">
        <v>1101</v>
      </c>
      <c r="N102">
        <v>33</v>
      </c>
      <c r="O102">
        <v>12</v>
      </c>
      <c r="P102">
        <v>4</v>
      </c>
      <c r="Q102">
        <v>37</v>
      </c>
      <c r="R102">
        <v>4</v>
      </c>
      <c r="S102">
        <v>0</v>
      </c>
    </row>
    <row r="103" spans="1:19" x14ac:dyDescent="0.25">
      <c r="A103">
        <v>17</v>
      </c>
      <c r="D103" t="s">
        <v>1083</v>
      </c>
      <c r="E103">
        <v>95</v>
      </c>
      <c r="F103">
        <v>10</v>
      </c>
      <c r="G103">
        <v>5</v>
      </c>
      <c r="H103">
        <v>90</v>
      </c>
      <c r="I103">
        <v>15</v>
      </c>
      <c r="J103">
        <v>5</v>
      </c>
      <c r="K103" t="s">
        <v>1092</v>
      </c>
      <c r="L103" t="s">
        <v>1092</v>
      </c>
      <c r="M103" t="s">
        <v>1101</v>
      </c>
      <c r="N103">
        <v>44</v>
      </c>
      <c r="O103">
        <v>14</v>
      </c>
      <c r="P103">
        <v>4</v>
      </c>
      <c r="Q103">
        <v>46</v>
      </c>
      <c r="R103">
        <v>5</v>
      </c>
      <c r="S103">
        <v>0</v>
      </c>
    </row>
    <row r="104" spans="1:19" x14ac:dyDescent="0.25">
      <c r="A104">
        <v>18</v>
      </c>
      <c r="D104" t="s">
        <v>1084</v>
      </c>
      <c r="E104">
        <v>30</v>
      </c>
      <c r="F104">
        <v>5</v>
      </c>
      <c r="G104">
        <v>5</v>
      </c>
      <c r="H104">
        <v>50</v>
      </c>
      <c r="I104">
        <v>5</v>
      </c>
      <c r="J104">
        <v>5</v>
      </c>
      <c r="K104" t="s">
        <v>1092</v>
      </c>
      <c r="L104" t="s">
        <v>1092</v>
      </c>
      <c r="M104" t="s">
        <v>1101</v>
      </c>
      <c r="N104">
        <v>26</v>
      </c>
      <c r="O104">
        <v>7</v>
      </c>
      <c r="P104">
        <v>4</v>
      </c>
      <c r="Q104">
        <v>62</v>
      </c>
      <c r="R104">
        <v>6</v>
      </c>
      <c r="S104">
        <v>0</v>
      </c>
    </row>
    <row r="105" spans="1:19" x14ac:dyDescent="0.25">
      <c r="A105">
        <v>19</v>
      </c>
      <c r="D105" t="s">
        <v>1085</v>
      </c>
      <c r="E105">
        <v>10</v>
      </c>
      <c r="F105">
        <v>5</v>
      </c>
      <c r="G105">
        <v>0</v>
      </c>
      <c r="H105">
        <v>30</v>
      </c>
      <c r="I105">
        <v>5</v>
      </c>
      <c r="J105">
        <v>5</v>
      </c>
      <c r="K105" t="s">
        <v>1092</v>
      </c>
      <c r="L105" t="s">
        <v>1101</v>
      </c>
      <c r="M105" t="s">
        <v>1101</v>
      </c>
      <c r="N105">
        <v>21</v>
      </c>
      <c r="O105">
        <v>7</v>
      </c>
      <c r="P105">
        <v>4</v>
      </c>
      <c r="Q105">
        <v>20</v>
      </c>
      <c r="R105">
        <v>0</v>
      </c>
      <c r="S105">
        <v>0</v>
      </c>
    </row>
    <row r="106" spans="1:19" x14ac:dyDescent="0.25">
      <c r="A106">
        <v>20</v>
      </c>
      <c r="D106" t="s">
        <v>1086</v>
      </c>
      <c r="E106">
        <v>10</v>
      </c>
      <c r="F106">
        <v>0</v>
      </c>
      <c r="G106">
        <v>0</v>
      </c>
      <c r="H106">
        <v>30</v>
      </c>
      <c r="I106">
        <v>5</v>
      </c>
      <c r="J106">
        <v>5</v>
      </c>
      <c r="K106" t="s">
        <v>1092</v>
      </c>
      <c r="L106" t="s">
        <v>1101</v>
      </c>
      <c r="M106" t="s">
        <v>1101</v>
      </c>
      <c r="N106">
        <v>15</v>
      </c>
      <c r="O106">
        <v>7</v>
      </c>
      <c r="P106">
        <v>4</v>
      </c>
      <c r="Q106">
        <v>12</v>
      </c>
      <c r="R106">
        <v>0</v>
      </c>
      <c r="S106">
        <v>0</v>
      </c>
    </row>
    <row r="107" spans="1:19" x14ac:dyDescent="0.25">
      <c r="A107">
        <v>21</v>
      </c>
      <c r="D107" t="s">
        <v>1087</v>
      </c>
      <c r="E107">
        <v>10</v>
      </c>
      <c r="F107">
        <v>0</v>
      </c>
      <c r="G107">
        <v>0</v>
      </c>
      <c r="H107">
        <v>20</v>
      </c>
      <c r="I107">
        <v>5</v>
      </c>
      <c r="J107">
        <v>5</v>
      </c>
      <c r="K107" t="s">
        <v>1092</v>
      </c>
      <c r="L107" t="s">
        <v>1101</v>
      </c>
      <c r="M107" t="s">
        <v>1101</v>
      </c>
      <c r="N107">
        <v>17</v>
      </c>
      <c r="O107">
        <v>7</v>
      </c>
      <c r="P107">
        <v>4</v>
      </c>
      <c r="Q107">
        <v>4</v>
      </c>
      <c r="R107">
        <v>0</v>
      </c>
      <c r="S107">
        <v>0</v>
      </c>
    </row>
    <row r="108" spans="1:19" x14ac:dyDescent="0.25">
      <c r="A108">
        <v>22</v>
      </c>
      <c r="D108" t="s">
        <v>1088</v>
      </c>
      <c r="E108">
        <v>10</v>
      </c>
      <c r="F108">
        <v>0</v>
      </c>
      <c r="G108">
        <v>0</v>
      </c>
      <c r="H108">
        <v>20</v>
      </c>
      <c r="I108">
        <v>5</v>
      </c>
      <c r="J108">
        <v>5</v>
      </c>
      <c r="K108" t="s">
        <v>1092</v>
      </c>
      <c r="L108" t="s">
        <v>1101</v>
      </c>
      <c r="M108" t="s">
        <v>1101</v>
      </c>
      <c r="N108">
        <v>8</v>
      </c>
      <c r="O108">
        <v>9</v>
      </c>
      <c r="P108">
        <v>7</v>
      </c>
      <c r="Q108">
        <v>4</v>
      </c>
      <c r="R108">
        <v>0</v>
      </c>
      <c r="S108">
        <v>0</v>
      </c>
    </row>
    <row r="109" spans="1:19" x14ac:dyDescent="0.25">
      <c r="A109">
        <v>23</v>
      </c>
      <c r="D109" t="s">
        <v>1089</v>
      </c>
      <c r="E109">
        <v>5</v>
      </c>
      <c r="F109">
        <v>0</v>
      </c>
      <c r="G109">
        <v>0</v>
      </c>
      <c r="H109">
        <v>10</v>
      </c>
      <c r="I109">
        <v>5</v>
      </c>
      <c r="J109">
        <v>5</v>
      </c>
      <c r="K109" t="s">
        <v>1101</v>
      </c>
      <c r="L109" t="s">
        <v>1101</v>
      </c>
      <c r="M109" t="s">
        <v>1101</v>
      </c>
      <c r="N109">
        <v>5</v>
      </c>
      <c r="O109">
        <v>5</v>
      </c>
      <c r="P109">
        <v>4</v>
      </c>
      <c r="Q109">
        <v>0</v>
      </c>
      <c r="R109">
        <v>0</v>
      </c>
      <c r="S109">
        <v>0</v>
      </c>
    </row>
    <row r="110" spans="1:19" x14ac:dyDescent="0.25">
      <c r="A110">
        <v>24</v>
      </c>
      <c r="D110" t="s">
        <v>1090</v>
      </c>
      <c r="E110">
        <v>5</v>
      </c>
      <c r="F110">
        <v>0</v>
      </c>
      <c r="G110">
        <v>0</v>
      </c>
      <c r="H110">
        <v>5</v>
      </c>
      <c r="I110">
        <v>5</v>
      </c>
      <c r="J110">
        <v>5</v>
      </c>
      <c r="K110" t="s">
        <v>1101</v>
      </c>
      <c r="L110" t="s">
        <v>1101</v>
      </c>
      <c r="M110" t="s">
        <v>1101</v>
      </c>
      <c r="N110">
        <v>5</v>
      </c>
      <c r="O110">
        <v>5</v>
      </c>
      <c r="P110">
        <v>4</v>
      </c>
      <c r="Q110">
        <v>0</v>
      </c>
      <c r="R110">
        <v>0</v>
      </c>
      <c r="S110">
        <v>0</v>
      </c>
    </row>
    <row r="113" spans="1:19" x14ac:dyDescent="0.25">
      <c r="A113" t="s">
        <v>1064</v>
      </c>
      <c r="D113" t="s">
        <v>1048</v>
      </c>
      <c r="E113" t="s">
        <v>498</v>
      </c>
      <c r="H113" t="s">
        <v>500</v>
      </c>
      <c r="K113" t="s">
        <v>1045</v>
      </c>
      <c r="N113" t="s">
        <v>1049</v>
      </c>
      <c r="Q113" t="s">
        <v>1039</v>
      </c>
    </row>
    <row r="114" spans="1:19" x14ac:dyDescent="0.25">
      <c r="E114" t="s">
        <v>1040</v>
      </c>
      <c r="F114" t="s">
        <v>1046</v>
      </c>
      <c r="G114" t="s">
        <v>1053</v>
      </c>
      <c r="H114" t="s">
        <v>1040</v>
      </c>
      <c r="I114" t="s">
        <v>1046</v>
      </c>
      <c r="J114" t="s">
        <v>1053</v>
      </c>
      <c r="K114" t="s">
        <v>1040</v>
      </c>
      <c r="L114" t="s">
        <v>1046</v>
      </c>
      <c r="M114" t="s">
        <v>1053</v>
      </c>
      <c r="N114" t="s">
        <v>1040</v>
      </c>
      <c r="O114" t="s">
        <v>1046</v>
      </c>
      <c r="P114" t="s">
        <v>1053</v>
      </c>
      <c r="Q114" t="s">
        <v>1040</v>
      </c>
      <c r="R114" t="s">
        <v>1046</v>
      </c>
      <c r="S114" t="s">
        <v>1053</v>
      </c>
    </row>
    <row r="115" spans="1:19" x14ac:dyDescent="0.25">
      <c r="A115">
        <v>1</v>
      </c>
      <c r="D115" t="s">
        <v>1056</v>
      </c>
      <c r="E115">
        <v>0</v>
      </c>
      <c r="F115">
        <v>0</v>
      </c>
      <c r="G115">
        <v>0</v>
      </c>
      <c r="H115">
        <v>5</v>
      </c>
      <c r="I115">
        <v>5</v>
      </c>
      <c r="J115">
        <v>5</v>
      </c>
      <c r="K115" t="s">
        <v>1101</v>
      </c>
      <c r="L115" t="s">
        <v>1101</v>
      </c>
      <c r="M115" t="s">
        <v>1101</v>
      </c>
      <c r="N115">
        <v>5</v>
      </c>
      <c r="O115">
        <v>5</v>
      </c>
      <c r="P115">
        <v>4</v>
      </c>
      <c r="Q115">
        <v>0</v>
      </c>
      <c r="R115">
        <v>0</v>
      </c>
      <c r="S115">
        <v>0</v>
      </c>
    </row>
    <row r="116" spans="1:19" x14ac:dyDescent="0.25">
      <c r="A116">
        <v>2</v>
      </c>
      <c r="D116" t="s">
        <v>1057</v>
      </c>
      <c r="E116">
        <v>0</v>
      </c>
      <c r="F116">
        <v>0</v>
      </c>
      <c r="G116">
        <v>0</v>
      </c>
      <c r="H116">
        <v>5</v>
      </c>
      <c r="I116">
        <v>5</v>
      </c>
      <c r="J116">
        <v>5</v>
      </c>
      <c r="K116" t="s">
        <v>1101</v>
      </c>
      <c r="L116" t="s">
        <v>1101</v>
      </c>
      <c r="M116" t="s">
        <v>1101</v>
      </c>
      <c r="N116">
        <v>5</v>
      </c>
      <c r="O116">
        <v>5</v>
      </c>
      <c r="P116">
        <v>4</v>
      </c>
      <c r="Q116">
        <v>0</v>
      </c>
      <c r="R116">
        <v>0</v>
      </c>
      <c r="S116">
        <v>0</v>
      </c>
    </row>
    <row r="117" spans="1:19" x14ac:dyDescent="0.25">
      <c r="A117">
        <v>3</v>
      </c>
      <c r="D117" t="s">
        <v>1059</v>
      </c>
      <c r="E117">
        <v>0</v>
      </c>
      <c r="F117">
        <v>0</v>
      </c>
      <c r="G117">
        <v>0</v>
      </c>
      <c r="H117">
        <v>5</v>
      </c>
      <c r="I117">
        <v>5</v>
      </c>
      <c r="J117">
        <v>5</v>
      </c>
      <c r="K117" t="s">
        <v>1101</v>
      </c>
      <c r="L117" t="s">
        <v>1101</v>
      </c>
      <c r="M117" t="s">
        <v>1101</v>
      </c>
      <c r="N117">
        <v>5</v>
      </c>
      <c r="O117">
        <v>5</v>
      </c>
      <c r="P117">
        <v>4</v>
      </c>
      <c r="Q117">
        <v>0</v>
      </c>
      <c r="R117">
        <v>0</v>
      </c>
      <c r="S117">
        <v>0</v>
      </c>
    </row>
    <row r="118" spans="1:19" x14ac:dyDescent="0.25">
      <c r="A118">
        <v>4</v>
      </c>
      <c r="D118" t="s">
        <v>1061</v>
      </c>
      <c r="E118">
        <v>0</v>
      </c>
      <c r="F118">
        <v>0</v>
      </c>
      <c r="G118">
        <v>0</v>
      </c>
      <c r="H118">
        <v>5</v>
      </c>
      <c r="I118">
        <v>5</v>
      </c>
      <c r="J118">
        <v>5</v>
      </c>
      <c r="K118" t="s">
        <v>1101</v>
      </c>
      <c r="L118" t="s">
        <v>1101</v>
      </c>
      <c r="M118" t="s">
        <v>1101</v>
      </c>
      <c r="N118">
        <v>5</v>
      </c>
      <c r="O118">
        <v>5</v>
      </c>
      <c r="P118">
        <v>4</v>
      </c>
      <c r="Q118">
        <v>0</v>
      </c>
      <c r="R118">
        <v>0</v>
      </c>
      <c r="S118">
        <v>0</v>
      </c>
    </row>
    <row r="119" spans="1:19" x14ac:dyDescent="0.25">
      <c r="A119">
        <v>5</v>
      </c>
      <c r="D119" t="s">
        <v>1063</v>
      </c>
      <c r="E119">
        <v>0</v>
      </c>
      <c r="F119">
        <v>0</v>
      </c>
      <c r="G119">
        <v>0</v>
      </c>
      <c r="H119">
        <v>5</v>
      </c>
      <c r="I119">
        <v>5</v>
      </c>
      <c r="J119">
        <v>5</v>
      </c>
      <c r="K119" t="s">
        <v>1101</v>
      </c>
      <c r="L119" t="s">
        <v>1101</v>
      </c>
      <c r="M119" t="s">
        <v>1101</v>
      </c>
      <c r="N119">
        <v>5</v>
      </c>
      <c r="O119">
        <v>5</v>
      </c>
      <c r="P119">
        <v>4</v>
      </c>
      <c r="Q119">
        <v>0</v>
      </c>
      <c r="R119">
        <v>0</v>
      </c>
      <c r="S119">
        <v>0</v>
      </c>
    </row>
    <row r="120" spans="1:19" x14ac:dyDescent="0.25">
      <c r="A120">
        <v>6</v>
      </c>
      <c r="D120" t="s">
        <v>1065</v>
      </c>
      <c r="E120">
        <v>0</v>
      </c>
      <c r="F120">
        <v>0</v>
      </c>
      <c r="G120">
        <v>0</v>
      </c>
      <c r="H120">
        <v>10</v>
      </c>
      <c r="I120">
        <v>5</v>
      </c>
      <c r="J120">
        <v>5</v>
      </c>
      <c r="K120" t="s">
        <v>1101</v>
      </c>
      <c r="L120" t="s">
        <v>1101</v>
      </c>
      <c r="M120" t="s">
        <v>1101</v>
      </c>
      <c r="N120">
        <v>8</v>
      </c>
      <c r="O120">
        <v>8</v>
      </c>
      <c r="P120">
        <v>7</v>
      </c>
      <c r="Q120">
        <v>0</v>
      </c>
      <c r="R120">
        <v>0</v>
      </c>
      <c r="S120">
        <v>0</v>
      </c>
    </row>
    <row r="121" spans="1:19" x14ac:dyDescent="0.25">
      <c r="A121">
        <v>7</v>
      </c>
      <c r="D121" t="s">
        <v>1067</v>
      </c>
      <c r="E121">
        <v>10</v>
      </c>
      <c r="F121">
        <v>10</v>
      </c>
      <c r="G121">
        <v>5</v>
      </c>
      <c r="H121">
        <v>10</v>
      </c>
      <c r="I121">
        <v>10</v>
      </c>
      <c r="J121">
        <v>5</v>
      </c>
      <c r="K121" t="s">
        <v>1092</v>
      </c>
      <c r="L121" t="s">
        <v>1092</v>
      </c>
      <c r="M121" t="s">
        <v>1101</v>
      </c>
      <c r="N121">
        <v>7</v>
      </c>
      <c r="O121">
        <v>7</v>
      </c>
      <c r="P121">
        <v>4</v>
      </c>
      <c r="Q121">
        <v>0</v>
      </c>
      <c r="R121">
        <v>0</v>
      </c>
      <c r="S121">
        <v>0</v>
      </c>
    </row>
    <row r="122" spans="1:19" x14ac:dyDescent="0.25">
      <c r="A122">
        <v>8</v>
      </c>
      <c r="D122" t="s">
        <v>1069</v>
      </c>
      <c r="E122">
        <v>20</v>
      </c>
      <c r="F122">
        <v>10</v>
      </c>
      <c r="G122">
        <v>5</v>
      </c>
      <c r="H122">
        <v>30</v>
      </c>
      <c r="I122">
        <v>10</v>
      </c>
      <c r="J122">
        <v>5</v>
      </c>
      <c r="K122" t="s">
        <v>1092</v>
      </c>
      <c r="L122" t="s">
        <v>1092</v>
      </c>
      <c r="M122" t="s">
        <v>1101</v>
      </c>
      <c r="N122">
        <v>19</v>
      </c>
      <c r="O122">
        <v>11</v>
      </c>
      <c r="P122">
        <v>4</v>
      </c>
      <c r="Q122">
        <v>35</v>
      </c>
      <c r="R122">
        <v>16</v>
      </c>
      <c r="S122">
        <v>0</v>
      </c>
    </row>
    <row r="123" spans="1:19" x14ac:dyDescent="0.25">
      <c r="A123">
        <v>9</v>
      </c>
      <c r="D123" t="s">
        <v>1071</v>
      </c>
      <c r="E123">
        <v>95</v>
      </c>
      <c r="F123">
        <v>30</v>
      </c>
      <c r="G123">
        <v>5</v>
      </c>
      <c r="H123">
        <v>90</v>
      </c>
      <c r="I123">
        <v>30</v>
      </c>
      <c r="J123">
        <v>5</v>
      </c>
      <c r="K123" t="s">
        <v>1092</v>
      </c>
      <c r="L123" t="s">
        <v>1092</v>
      </c>
      <c r="M123" t="s">
        <v>1101</v>
      </c>
      <c r="N123">
        <v>35</v>
      </c>
      <c r="O123">
        <v>15</v>
      </c>
      <c r="P123">
        <v>4</v>
      </c>
      <c r="Q123">
        <v>69</v>
      </c>
      <c r="R123">
        <v>14</v>
      </c>
      <c r="S123">
        <v>0</v>
      </c>
    </row>
    <row r="124" spans="1:19" x14ac:dyDescent="0.25">
      <c r="A124">
        <v>10</v>
      </c>
      <c r="D124" t="s">
        <v>1073</v>
      </c>
      <c r="E124">
        <v>95</v>
      </c>
      <c r="F124">
        <v>30</v>
      </c>
      <c r="G124">
        <v>5</v>
      </c>
      <c r="H124">
        <v>90</v>
      </c>
      <c r="I124">
        <v>30</v>
      </c>
      <c r="J124">
        <v>5</v>
      </c>
      <c r="K124" t="s">
        <v>1092</v>
      </c>
      <c r="L124" t="s">
        <v>1092</v>
      </c>
      <c r="M124" t="s">
        <v>1101</v>
      </c>
      <c r="N124">
        <v>38</v>
      </c>
      <c r="O124">
        <v>21</v>
      </c>
      <c r="P124">
        <v>4</v>
      </c>
      <c r="Q124">
        <v>43</v>
      </c>
      <c r="R124">
        <v>21</v>
      </c>
      <c r="S124">
        <v>0</v>
      </c>
    </row>
    <row r="125" spans="1:19" x14ac:dyDescent="0.25">
      <c r="A125">
        <v>11</v>
      </c>
      <c r="D125" t="s">
        <v>1075</v>
      </c>
      <c r="E125">
        <v>95</v>
      </c>
      <c r="F125">
        <v>30</v>
      </c>
      <c r="G125">
        <v>5</v>
      </c>
      <c r="H125">
        <v>90</v>
      </c>
      <c r="I125">
        <v>30</v>
      </c>
      <c r="J125">
        <v>5</v>
      </c>
      <c r="K125" t="s">
        <v>1092</v>
      </c>
      <c r="L125" t="s">
        <v>1092</v>
      </c>
      <c r="M125" t="s">
        <v>1101</v>
      </c>
      <c r="N125">
        <v>39</v>
      </c>
      <c r="O125">
        <v>19</v>
      </c>
      <c r="P125">
        <v>4</v>
      </c>
      <c r="Q125">
        <v>37</v>
      </c>
      <c r="R125">
        <v>18</v>
      </c>
      <c r="S125">
        <v>0</v>
      </c>
    </row>
    <row r="126" spans="1:19" x14ac:dyDescent="0.25">
      <c r="A126">
        <v>12</v>
      </c>
      <c r="D126" t="s">
        <v>1076</v>
      </c>
      <c r="E126">
        <v>95</v>
      </c>
      <c r="F126">
        <v>30</v>
      </c>
      <c r="G126">
        <v>5</v>
      </c>
      <c r="H126">
        <v>90</v>
      </c>
      <c r="I126">
        <v>30</v>
      </c>
      <c r="J126">
        <v>5</v>
      </c>
      <c r="K126" t="s">
        <v>1092</v>
      </c>
      <c r="L126" t="s">
        <v>1092</v>
      </c>
      <c r="M126" t="s">
        <v>1101</v>
      </c>
      <c r="N126">
        <v>47</v>
      </c>
      <c r="O126">
        <v>23</v>
      </c>
      <c r="P126">
        <v>6</v>
      </c>
      <c r="Q126">
        <v>43</v>
      </c>
      <c r="R126">
        <v>25</v>
      </c>
      <c r="S126">
        <v>0</v>
      </c>
    </row>
    <row r="127" spans="1:19" x14ac:dyDescent="0.25">
      <c r="A127">
        <v>13</v>
      </c>
      <c r="D127" t="s">
        <v>1077</v>
      </c>
      <c r="E127">
        <v>50</v>
      </c>
      <c r="F127">
        <v>10</v>
      </c>
      <c r="G127">
        <v>5</v>
      </c>
      <c r="H127">
        <v>80</v>
      </c>
      <c r="I127">
        <v>15</v>
      </c>
      <c r="J127">
        <v>5</v>
      </c>
      <c r="K127" t="s">
        <v>1092</v>
      </c>
      <c r="L127" t="s">
        <v>1092</v>
      </c>
      <c r="M127" t="s">
        <v>1101</v>
      </c>
      <c r="N127">
        <v>57</v>
      </c>
      <c r="O127">
        <v>20</v>
      </c>
      <c r="P127">
        <v>6</v>
      </c>
      <c r="Q127">
        <v>58</v>
      </c>
      <c r="R127">
        <v>21</v>
      </c>
      <c r="S127">
        <v>0</v>
      </c>
    </row>
    <row r="128" spans="1:19" x14ac:dyDescent="0.25">
      <c r="A128">
        <v>14</v>
      </c>
      <c r="D128" t="s">
        <v>1078</v>
      </c>
      <c r="E128">
        <v>95</v>
      </c>
      <c r="F128">
        <v>10</v>
      </c>
      <c r="G128">
        <v>5</v>
      </c>
      <c r="H128">
        <v>90</v>
      </c>
      <c r="I128">
        <v>15</v>
      </c>
      <c r="J128">
        <v>5</v>
      </c>
      <c r="K128" t="s">
        <v>1092</v>
      </c>
      <c r="L128" t="s">
        <v>1092</v>
      </c>
      <c r="M128" t="s">
        <v>1101</v>
      </c>
      <c r="N128">
        <v>54</v>
      </c>
      <c r="O128">
        <v>19</v>
      </c>
      <c r="P128">
        <v>9</v>
      </c>
      <c r="Q128">
        <v>48</v>
      </c>
      <c r="R128">
        <v>13</v>
      </c>
      <c r="S128">
        <v>0</v>
      </c>
    </row>
    <row r="129" spans="1:19" x14ac:dyDescent="0.25">
      <c r="A129">
        <v>15</v>
      </c>
      <c r="D129" t="s">
        <v>1080</v>
      </c>
      <c r="E129">
        <v>95</v>
      </c>
      <c r="F129">
        <v>10</v>
      </c>
      <c r="G129">
        <v>5</v>
      </c>
      <c r="H129">
        <v>90</v>
      </c>
      <c r="I129">
        <v>15</v>
      </c>
      <c r="J129">
        <v>5</v>
      </c>
      <c r="K129" t="s">
        <v>1092</v>
      </c>
      <c r="L129" t="s">
        <v>1092</v>
      </c>
      <c r="M129" t="s">
        <v>1101</v>
      </c>
      <c r="N129">
        <v>34</v>
      </c>
      <c r="O129">
        <v>15</v>
      </c>
      <c r="P129">
        <v>6</v>
      </c>
      <c r="Q129">
        <v>37</v>
      </c>
      <c r="R129">
        <v>8</v>
      </c>
      <c r="S129">
        <v>0</v>
      </c>
    </row>
    <row r="130" spans="1:19" x14ac:dyDescent="0.25">
      <c r="A130">
        <v>16</v>
      </c>
      <c r="D130" t="s">
        <v>1082</v>
      </c>
      <c r="E130">
        <v>95</v>
      </c>
      <c r="F130">
        <v>10</v>
      </c>
      <c r="G130">
        <v>5</v>
      </c>
      <c r="H130">
        <v>90</v>
      </c>
      <c r="I130">
        <v>15</v>
      </c>
      <c r="J130">
        <v>5</v>
      </c>
      <c r="K130" t="s">
        <v>1092</v>
      </c>
      <c r="L130" t="s">
        <v>1092</v>
      </c>
      <c r="M130" t="s">
        <v>1101</v>
      </c>
      <c r="N130">
        <v>33</v>
      </c>
      <c r="O130">
        <v>12</v>
      </c>
      <c r="P130">
        <v>4</v>
      </c>
      <c r="Q130">
        <v>37</v>
      </c>
      <c r="R130">
        <v>4</v>
      </c>
      <c r="S130">
        <v>0</v>
      </c>
    </row>
    <row r="131" spans="1:19" x14ac:dyDescent="0.25">
      <c r="A131">
        <v>17</v>
      </c>
      <c r="D131" t="s">
        <v>1083</v>
      </c>
      <c r="E131">
        <v>95</v>
      </c>
      <c r="F131">
        <v>10</v>
      </c>
      <c r="G131">
        <v>5</v>
      </c>
      <c r="H131">
        <v>90</v>
      </c>
      <c r="I131">
        <v>15</v>
      </c>
      <c r="J131">
        <v>5</v>
      </c>
      <c r="K131" t="s">
        <v>1092</v>
      </c>
      <c r="L131" t="s">
        <v>1092</v>
      </c>
      <c r="M131" t="s">
        <v>1101</v>
      </c>
      <c r="N131">
        <v>44</v>
      </c>
      <c r="O131">
        <v>14</v>
      </c>
      <c r="P131">
        <v>4</v>
      </c>
      <c r="Q131">
        <v>46</v>
      </c>
      <c r="R131">
        <v>5</v>
      </c>
      <c r="S131">
        <v>0</v>
      </c>
    </row>
    <row r="132" spans="1:19" x14ac:dyDescent="0.25">
      <c r="A132">
        <v>18</v>
      </c>
      <c r="D132" t="s">
        <v>1084</v>
      </c>
      <c r="E132">
        <v>30</v>
      </c>
      <c r="F132">
        <v>5</v>
      </c>
      <c r="G132">
        <v>5</v>
      </c>
      <c r="H132">
        <v>50</v>
      </c>
      <c r="I132">
        <v>5</v>
      </c>
      <c r="J132">
        <v>5</v>
      </c>
      <c r="K132" t="s">
        <v>1092</v>
      </c>
      <c r="L132" t="s">
        <v>1092</v>
      </c>
      <c r="M132" t="s">
        <v>1101</v>
      </c>
      <c r="N132">
        <v>26</v>
      </c>
      <c r="O132">
        <v>7</v>
      </c>
      <c r="P132">
        <v>4</v>
      </c>
      <c r="Q132">
        <v>62</v>
      </c>
      <c r="R132">
        <v>6</v>
      </c>
      <c r="S132">
        <v>0</v>
      </c>
    </row>
    <row r="133" spans="1:19" x14ac:dyDescent="0.25">
      <c r="A133">
        <v>19</v>
      </c>
      <c r="D133" t="s">
        <v>1085</v>
      </c>
      <c r="E133">
        <v>10</v>
      </c>
      <c r="F133">
        <v>5</v>
      </c>
      <c r="G133">
        <v>0</v>
      </c>
      <c r="H133">
        <v>30</v>
      </c>
      <c r="I133">
        <v>5</v>
      </c>
      <c r="J133">
        <v>5</v>
      </c>
      <c r="K133" t="s">
        <v>1092</v>
      </c>
      <c r="L133" t="s">
        <v>1101</v>
      </c>
      <c r="M133" t="s">
        <v>1101</v>
      </c>
      <c r="N133">
        <v>21</v>
      </c>
      <c r="O133">
        <v>7</v>
      </c>
      <c r="P133">
        <v>4</v>
      </c>
      <c r="Q133">
        <v>20</v>
      </c>
      <c r="R133">
        <v>0</v>
      </c>
      <c r="S133">
        <v>0</v>
      </c>
    </row>
    <row r="134" spans="1:19" x14ac:dyDescent="0.25">
      <c r="A134">
        <v>20</v>
      </c>
      <c r="D134" t="s">
        <v>1086</v>
      </c>
      <c r="E134">
        <v>10</v>
      </c>
      <c r="F134">
        <v>0</v>
      </c>
      <c r="G134">
        <v>0</v>
      </c>
      <c r="H134">
        <v>30</v>
      </c>
      <c r="I134">
        <v>5</v>
      </c>
      <c r="J134">
        <v>5</v>
      </c>
      <c r="K134" t="s">
        <v>1092</v>
      </c>
      <c r="L134" t="s">
        <v>1101</v>
      </c>
      <c r="M134" t="s">
        <v>1101</v>
      </c>
      <c r="N134">
        <v>15</v>
      </c>
      <c r="O134">
        <v>7</v>
      </c>
      <c r="P134">
        <v>4</v>
      </c>
      <c r="Q134">
        <v>12</v>
      </c>
      <c r="R134">
        <v>0</v>
      </c>
      <c r="S134">
        <v>0</v>
      </c>
    </row>
    <row r="135" spans="1:19" x14ac:dyDescent="0.25">
      <c r="A135">
        <v>21</v>
      </c>
      <c r="D135" t="s">
        <v>1087</v>
      </c>
      <c r="E135">
        <v>10</v>
      </c>
      <c r="F135">
        <v>0</v>
      </c>
      <c r="G135">
        <v>0</v>
      </c>
      <c r="H135">
        <v>20</v>
      </c>
      <c r="I135">
        <v>5</v>
      </c>
      <c r="J135">
        <v>5</v>
      </c>
      <c r="K135" t="s">
        <v>1092</v>
      </c>
      <c r="L135" t="s">
        <v>1101</v>
      </c>
      <c r="M135" t="s">
        <v>1101</v>
      </c>
      <c r="N135">
        <v>17</v>
      </c>
      <c r="O135">
        <v>7</v>
      </c>
      <c r="P135">
        <v>4</v>
      </c>
      <c r="Q135">
        <v>4</v>
      </c>
      <c r="R135">
        <v>0</v>
      </c>
      <c r="S135">
        <v>0</v>
      </c>
    </row>
    <row r="136" spans="1:19" x14ac:dyDescent="0.25">
      <c r="A136">
        <v>22</v>
      </c>
      <c r="D136" t="s">
        <v>1088</v>
      </c>
      <c r="E136">
        <v>10</v>
      </c>
      <c r="F136">
        <v>0</v>
      </c>
      <c r="G136">
        <v>0</v>
      </c>
      <c r="H136">
        <v>20</v>
      </c>
      <c r="I136">
        <v>5</v>
      </c>
      <c r="J136">
        <v>5</v>
      </c>
      <c r="K136" t="s">
        <v>1092</v>
      </c>
      <c r="L136" t="s">
        <v>1101</v>
      </c>
      <c r="M136" t="s">
        <v>1101</v>
      </c>
      <c r="N136">
        <v>8</v>
      </c>
      <c r="O136">
        <v>9</v>
      </c>
      <c r="P136">
        <v>7</v>
      </c>
      <c r="Q136">
        <v>4</v>
      </c>
      <c r="R136">
        <v>0</v>
      </c>
      <c r="S136">
        <v>0</v>
      </c>
    </row>
    <row r="137" spans="1:19" x14ac:dyDescent="0.25">
      <c r="A137">
        <v>23</v>
      </c>
      <c r="D137" t="s">
        <v>1089</v>
      </c>
      <c r="E137">
        <v>5</v>
      </c>
      <c r="F137">
        <v>0</v>
      </c>
      <c r="G137">
        <v>0</v>
      </c>
      <c r="H137">
        <v>10</v>
      </c>
      <c r="I137">
        <v>5</v>
      </c>
      <c r="J137">
        <v>5</v>
      </c>
      <c r="K137" t="s">
        <v>1101</v>
      </c>
      <c r="L137" t="s">
        <v>1101</v>
      </c>
      <c r="M137" t="s">
        <v>1101</v>
      </c>
      <c r="N137">
        <v>5</v>
      </c>
      <c r="O137">
        <v>5</v>
      </c>
      <c r="P137">
        <v>4</v>
      </c>
      <c r="Q137">
        <v>0</v>
      </c>
      <c r="R137">
        <v>0</v>
      </c>
      <c r="S137">
        <v>0</v>
      </c>
    </row>
    <row r="138" spans="1:19" x14ac:dyDescent="0.25">
      <c r="A138">
        <v>24</v>
      </c>
      <c r="D138" t="s">
        <v>1090</v>
      </c>
      <c r="E138">
        <v>5</v>
      </c>
      <c r="F138">
        <v>0</v>
      </c>
      <c r="G138">
        <v>0</v>
      </c>
      <c r="H138">
        <v>5</v>
      </c>
      <c r="I138">
        <v>5</v>
      </c>
      <c r="J138">
        <v>5</v>
      </c>
      <c r="K138" t="s">
        <v>1101</v>
      </c>
      <c r="L138" t="s">
        <v>1101</v>
      </c>
      <c r="M138" t="s">
        <v>1101</v>
      </c>
      <c r="N138">
        <v>5</v>
      </c>
      <c r="O138">
        <v>5</v>
      </c>
      <c r="P138">
        <v>4</v>
      </c>
      <c r="Q138">
        <v>0</v>
      </c>
      <c r="R138">
        <v>0</v>
      </c>
      <c r="S138">
        <v>0</v>
      </c>
    </row>
    <row r="141" spans="1:19" x14ac:dyDescent="0.25">
      <c r="A141" t="s">
        <v>1066</v>
      </c>
      <c r="D141" t="s">
        <v>1048</v>
      </c>
      <c r="E141" t="s">
        <v>498</v>
      </c>
      <c r="H141" t="s">
        <v>500</v>
      </c>
      <c r="K141" t="s">
        <v>1045</v>
      </c>
      <c r="N141" t="s">
        <v>1049</v>
      </c>
      <c r="Q141" t="s">
        <v>1039</v>
      </c>
    </row>
    <row r="142" spans="1:19" x14ac:dyDescent="0.25">
      <c r="E142" t="s">
        <v>1040</v>
      </c>
      <c r="F142" t="s">
        <v>1046</v>
      </c>
      <c r="G142" t="s">
        <v>1053</v>
      </c>
      <c r="H142" t="s">
        <v>1040</v>
      </c>
      <c r="I142" t="s">
        <v>1046</v>
      </c>
      <c r="J142" t="s">
        <v>1053</v>
      </c>
      <c r="K142" t="s">
        <v>1040</v>
      </c>
      <c r="L142" t="s">
        <v>1046</v>
      </c>
      <c r="M142" t="s">
        <v>1053</v>
      </c>
      <c r="N142" t="s">
        <v>1040</v>
      </c>
      <c r="O142" t="s">
        <v>1046</v>
      </c>
      <c r="P142" t="s">
        <v>1053</v>
      </c>
      <c r="Q142" t="s">
        <v>1040</v>
      </c>
      <c r="R142" t="s">
        <v>1046</v>
      </c>
      <c r="S142" t="s">
        <v>1053</v>
      </c>
    </row>
    <row r="143" spans="1:19" x14ac:dyDescent="0.25">
      <c r="A143">
        <v>1</v>
      </c>
      <c r="D143" t="s">
        <v>1056</v>
      </c>
      <c r="E143">
        <v>15</v>
      </c>
      <c r="F143">
        <v>30</v>
      </c>
      <c r="G143">
        <v>20</v>
      </c>
      <c r="H143">
        <v>15</v>
      </c>
      <c r="I143">
        <v>20</v>
      </c>
      <c r="J143">
        <v>20</v>
      </c>
      <c r="K143" t="s">
        <v>1092</v>
      </c>
      <c r="L143" t="s">
        <v>1092</v>
      </c>
      <c r="M143" t="s">
        <v>1092</v>
      </c>
      <c r="N143">
        <v>20</v>
      </c>
      <c r="O143">
        <v>20</v>
      </c>
      <c r="P143">
        <v>25</v>
      </c>
      <c r="Q143">
        <v>0</v>
      </c>
      <c r="R143">
        <v>0</v>
      </c>
      <c r="S143">
        <v>0</v>
      </c>
    </row>
    <row r="144" spans="1:19" x14ac:dyDescent="0.25">
      <c r="A144">
        <v>2</v>
      </c>
      <c r="D144" t="s">
        <v>1057</v>
      </c>
      <c r="E144">
        <v>15</v>
      </c>
      <c r="F144">
        <v>25</v>
      </c>
      <c r="G144">
        <v>20</v>
      </c>
      <c r="H144">
        <v>15</v>
      </c>
      <c r="I144">
        <v>15</v>
      </c>
      <c r="J144">
        <v>15</v>
      </c>
      <c r="K144" t="s">
        <v>1092</v>
      </c>
      <c r="L144" t="s">
        <v>1092</v>
      </c>
      <c r="M144" t="s">
        <v>1092</v>
      </c>
      <c r="N144">
        <v>15</v>
      </c>
      <c r="O144">
        <v>15</v>
      </c>
      <c r="P144">
        <v>20</v>
      </c>
      <c r="Q144">
        <v>0</v>
      </c>
      <c r="R144">
        <v>0</v>
      </c>
      <c r="S144">
        <v>0</v>
      </c>
    </row>
    <row r="145" spans="1:19" x14ac:dyDescent="0.25">
      <c r="A145">
        <v>3</v>
      </c>
      <c r="D145" t="s">
        <v>1059</v>
      </c>
      <c r="E145">
        <v>5</v>
      </c>
      <c r="F145">
        <v>5</v>
      </c>
      <c r="G145">
        <v>5</v>
      </c>
      <c r="H145">
        <v>15</v>
      </c>
      <c r="I145">
        <v>15</v>
      </c>
      <c r="J145">
        <v>15</v>
      </c>
      <c r="K145" t="s">
        <v>1092</v>
      </c>
      <c r="L145" t="s">
        <v>1092</v>
      </c>
      <c r="M145" t="s">
        <v>1092</v>
      </c>
      <c r="N145">
        <v>15</v>
      </c>
      <c r="O145">
        <v>15</v>
      </c>
      <c r="P145">
        <v>20</v>
      </c>
      <c r="Q145">
        <v>0</v>
      </c>
      <c r="R145">
        <v>0</v>
      </c>
      <c r="S145">
        <v>0</v>
      </c>
    </row>
    <row r="146" spans="1:19" x14ac:dyDescent="0.25">
      <c r="A146">
        <v>4</v>
      </c>
      <c r="D146" t="s">
        <v>1061</v>
      </c>
      <c r="E146">
        <v>0</v>
      </c>
      <c r="F146">
        <v>0</v>
      </c>
      <c r="G146">
        <v>0</v>
      </c>
      <c r="H146">
        <v>15</v>
      </c>
      <c r="I146">
        <v>15</v>
      </c>
      <c r="J146">
        <v>15</v>
      </c>
      <c r="K146" t="s">
        <v>1101</v>
      </c>
      <c r="L146" t="s">
        <v>1101</v>
      </c>
      <c r="M146" t="s">
        <v>1101</v>
      </c>
      <c r="N146">
        <v>0</v>
      </c>
      <c r="O146">
        <v>0</v>
      </c>
      <c r="P146">
        <v>0</v>
      </c>
      <c r="Q146">
        <v>0</v>
      </c>
      <c r="R146">
        <v>0</v>
      </c>
      <c r="S146">
        <v>0</v>
      </c>
    </row>
    <row r="147" spans="1:19" x14ac:dyDescent="0.25">
      <c r="A147">
        <v>5</v>
      </c>
      <c r="D147" t="s">
        <v>1063</v>
      </c>
      <c r="E147">
        <v>0</v>
      </c>
      <c r="F147">
        <v>0</v>
      </c>
      <c r="G147">
        <v>0</v>
      </c>
      <c r="H147">
        <v>15</v>
      </c>
      <c r="I147">
        <v>15</v>
      </c>
      <c r="J147">
        <v>15</v>
      </c>
      <c r="K147" t="s">
        <v>1101</v>
      </c>
      <c r="L147" t="s">
        <v>1101</v>
      </c>
      <c r="M147" t="s">
        <v>1101</v>
      </c>
      <c r="N147">
        <v>0</v>
      </c>
      <c r="O147">
        <v>0</v>
      </c>
      <c r="P147">
        <v>0</v>
      </c>
      <c r="Q147">
        <v>0</v>
      </c>
      <c r="R147">
        <v>0</v>
      </c>
      <c r="S147">
        <v>0</v>
      </c>
    </row>
    <row r="148" spans="1:19" x14ac:dyDescent="0.25">
      <c r="A148">
        <v>6</v>
      </c>
      <c r="D148" t="s">
        <v>1065</v>
      </c>
      <c r="E148">
        <v>0</v>
      </c>
      <c r="F148">
        <v>0</v>
      </c>
      <c r="G148">
        <v>0</v>
      </c>
      <c r="H148">
        <v>20</v>
      </c>
      <c r="I148">
        <v>15</v>
      </c>
      <c r="J148">
        <v>15</v>
      </c>
      <c r="K148" t="s">
        <v>1101</v>
      </c>
      <c r="L148" t="s">
        <v>1101</v>
      </c>
      <c r="M148" t="s">
        <v>1101</v>
      </c>
      <c r="N148">
        <v>0</v>
      </c>
      <c r="O148">
        <v>0</v>
      </c>
      <c r="P148">
        <v>0</v>
      </c>
      <c r="Q148">
        <v>0</v>
      </c>
      <c r="R148">
        <v>0</v>
      </c>
      <c r="S148">
        <v>0</v>
      </c>
    </row>
    <row r="149" spans="1:19" x14ac:dyDescent="0.25">
      <c r="A149">
        <v>7</v>
      </c>
      <c r="D149" t="s">
        <v>1067</v>
      </c>
      <c r="E149">
        <v>0</v>
      </c>
      <c r="F149">
        <v>0</v>
      </c>
      <c r="G149">
        <v>0</v>
      </c>
      <c r="H149">
        <v>40</v>
      </c>
      <c r="I149">
        <v>30</v>
      </c>
      <c r="J149">
        <v>30</v>
      </c>
      <c r="K149" t="s">
        <v>1101</v>
      </c>
      <c r="L149" t="s">
        <v>1101</v>
      </c>
      <c r="M149" t="s">
        <v>1101</v>
      </c>
      <c r="N149">
        <v>0</v>
      </c>
      <c r="O149">
        <v>0</v>
      </c>
      <c r="P149">
        <v>0</v>
      </c>
      <c r="Q149">
        <v>0</v>
      </c>
      <c r="R149">
        <v>0</v>
      </c>
      <c r="S149">
        <v>0</v>
      </c>
    </row>
    <row r="150" spans="1:19" x14ac:dyDescent="0.25">
      <c r="A150">
        <v>8</v>
      </c>
      <c r="D150" t="s">
        <v>1069</v>
      </c>
      <c r="E150">
        <v>5</v>
      </c>
      <c r="F150">
        <v>0</v>
      </c>
      <c r="G150">
        <v>0</v>
      </c>
      <c r="H150">
        <v>40</v>
      </c>
      <c r="I150">
        <v>30</v>
      </c>
      <c r="J150">
        <v>30</v>
      </c>
      <c r="K150" t="s">
        <v>1092</v>
      </c>
      <c r="L150" t="s">
        <v>1101</v>
      </c>
      <c r="M150" t="s">
        <v>1101</v>
      </c>
      <c r="N150">
        <v>60</v>
      </c>
      <c r="O150">
        <v>0</v>
      </c>
      <c r="P150">
        <v>0</v>
      </c>
      <c r="Q150">
        <v>0</v>
      </c>
      <c r="R150">
        <v>0</v>
      </c>
      <c r="S150">
        <v>0</v>
      </c>
    </row>
    <row r="151" spans="1:19" x14ac:dyDescent="0.25">
      <c r="A151">
        <v>9</v>
      </c>
      <c r="D151" t="s">
        <v>1071</v>
      </c>
      <c r="E151">
        <v>5</v>
      </c>
      <c r="F151">
        <v>0</v>
      </c>
      <c r="G151">
        <v>0</v>
      </c>
      <c r="H151">
        <v>60</v>
      </c>
      <c r="I151">
        <v>60</v>
      </c>
      <c r="J151">
        <v>50</v>
      </c>
      <c r="K151" t="s">
        <v>1092</v>
      </c>
      <c r="L151" t="s">
        <v>1101</v>
      </c>
      <c r="M151" t="s">
        <v>1101</v>
      </c>
      <c r="N151">
        <v>55</v>
      </c>
      <c r="O151">
        <v>0</v>
      </c>
      <c r="P151">
        <v>0</v>
      </c>
      <c r="Q151">
        <v>0</v>
      </c>
      <c r="R151">
        <v>0</v>
      </c>
      <c r="S151">
        <v>0</v>
      </c>
    </row>
    <row r="152" spans="1:19" x14ac:dyDescent="0.25">
      <c r="A152">
        <v>10</v>
      </c>
      <c r="D152" t="s">
        <v>1073</v>
      </c>
      <c r="E152">
        <v>5</v>
      </c>
      <c r="F152">
        <v>5</v>
      </c>
      <c r="G152">
        <v>0</v>
      </c>
      <c r="H152">
        <v>60</v>
      </c>
      <c r="I152">
        <v>60</v>
      </c>
      <c r="J152">
        <v>50</v>
      </c>
      <c r="K152" t="s">
        <v>1092</v>
      </c>
      <c r="L152" t="s">
        <v>1092</v>
      </c>
      <c r="M152" t="s">
        <v>1101</v>
      </c>
      <c r="N152">
        <v>45</v>
      </c>
      <c r="O152">
        <v>50</v>
      </c>
      <c r="P152">
        <v>0</v>
      </c>
      <c r="Q152">
        <v>0</v>
      </c>
      <c r="R152">
        <v>0</v>
      </c>
      <c r="S152">
        <v>0</v>
      </c>
    </row>
    <row r="153" spans="1:19" x14ac:dyDescent="0.25">
      <c r="A153">
        <v>11</v>
      </c>
      <c r="D153" t="s">
        <v>1075</v>
      </c>
      <c r="E153">
        <v>20</v>
      </c>
      <c r="F153">
        <v>20</v>
      </c>
      <c r="G153">
        <v>10</v>
      </c>
      <c r="H153">
        <v>90</v>
      </c>
      <c r="I153">
        <v>80</v>
      </c>
      <c r="J153">
        <v>70</v>
      </c>
      <c r="K153" t="s">
        <v>1092</v>
      </c>
      <c r="L153" t="s">
        <v>1092</v>
      </c>
      <c r="M153" t="s">
        <v>1092</v>
      </c>
      <c r="N153">
        <v>40</v>
      </c>
      <c r="O153">
        <v>45</v>
      </c>
      <c r="P153">
        <v>50</v>
      </c>
      <c r="Q153">
        <v>0</v>
      </c>
      <c r="R153">
        <v>0</v>
      </c>
      <c r="S153">
        <v>0</v>
      </c>
    </row>
    <row r="154" spans="1:19" x14ac:dyDescent="0.25">
      <c r="A154">
        <v>12</v>
      </c>
      <c r="D154" t="s">
        <v>1076</v>
      </c>
      <c r="E154">
        <v>50</v>
      </c>
      <c r="F154">
        <v>45</v>
      </c>
      <c r="G154">
        <v>20</v>
      </c>
      <c r="H154">
        <v>90</v>
      </c>
      <c r="I154">
        <v>80</v>
      </c>
      <c r="J154">
        <v>70</v>
      </c>
      <c r="K154" t="s">
        <v>1092</v>
      </c>
      <c r="L154" t="s">
        <v>1092</v>
      </c>
      <c r="M154" t="s">
        <v>1092</v>
      </c>
      <c r="N154">
        <v>45</v>
      </c>
      <c r="O154">
        <v>50</v>
      </c>
      <c r="P154">
        <v>50</v>
      </c>
      <c r="Q154">
        <v>0</v>
      </c>
      <c r="R154">
        <v>0</v>
      </c>
      <c r="S154">
        <v>0</v>
      </c>
    </row>
    <row r="155" spans="1:19" x14ac:dyDescent="0.25">
      <c r="A155">
        <v>13</v>
      </c>
      <c r="D155" t="s">
        <v>1077</v>
      </c>
      <c r="E155">
        <v>80</v>
      </c>
      <c r="F155">
        <v>50</v>
      </c>
      <c r="G155">
        <v>25</v>
      </c>
      <c r="H155">
        <v>90</v>
      </c>
      <c r="I155">
        <v>80</v>
      </c>
      <c r="J155">
        <v>70</v>
      </c>
      <c r="K155" t="s">
        <v>1092</v>
      </c>
      <c r="L155" t="s">
        <v>1092</v>
      </c>
      <c r="M155" t="s">
        <v>1092</v>
      </c>
      <c r="N155">
        <v>40</v>
      </c>
      <c r="O155">
        <v>50</v>
      </c>
      <c r="P155">
        <v>40</v>
      </c>
      <c r="Q155">
        <v>0</v>
      </c>
      <c r="R155">
        <v>0</v>
      </c>
      <c r="S155">
        <v>0</v>
      </c>
    </row>
    <row r="156" spans="1:19" x14ac:dyDescent="0.25">
      <c r="A156">
        <v>14</v>
      </c>
      <c r="D156" t="s">
        <v>1078</v>
      </c>
      <c r="E156">
        <v>70</v>
      </c>
      <c r="F156">
        <v>50</v>
      </c>
      <c r="G156">
        <v>25</v>
      </c>
      <c r="H156">
        <v>90</v>
      </c>
      <c r="I156">
        <v>80</v>
      </c>
      <c r="J156">
        <v>70</v>
      </c>
      <c r="K156" t="s">
        <v>1092</v>
      </c>
      <c r="L156" t="s">
        <v>1092</v>
      </c>
      <c r="M156" t="s">
        <v>1092</v>
      </c>
      <c r="N156">
        <v>35</v>
      </c>
      <c r="O156">
        <v>45</v>
      </c>
      <c r="P156">
        <v>40</v>
      </c>
      <c r="Q156">
        <v>0</v>
      </c>
      <c r="R156">
        <v>0</v>
      </c>
      <c r="S156">
        <v>0</v>
      </c>
    </row>
    <row r="157" spans="1:19" x14ac:dyDescent="0.25">
      <c r="A157">
        <v>15</v>
      </c>
      <c r="D157" t="s">
        <v>1080</v>
      </c>
      <c r="E157">
        <v>40</v>
      </c>
      <c r="F157">
        <v>35</v>
      </c>
      <c r="G157">
        <v>15</v>
      </c>
      <c r="H157">
        <v>90</v>
      </c>
      <c r="I157">
        <v>80</v>
      </c>
      <c r="J157">
        <v>70</v>
      </c>
      <c r="K157" t="s">
        <v>1092</v>
      </c>
      <c r="L157" t="s">
        <v>1092</v>
      </c>
      <c r="M157" t="s">
        <v>1092</v>
      </c>
      <c r="N157">
        <v>30</v>
      </c>
      <c r="O157">
        <v>40</v>
      </c>
      <c r="P157">
        <v>30</v>
      </c>
      <c r="Q157">
        <v>0</v>
      </c>
      <c r="R157">
        <v>0</v>
      </c>
      <c r="S157">
        <v>0</v>
      </c>
    </row>
    <row r="158" spans="1:19" x14ac:dyDescent="0.25">
      <c r="A158">
        <v>16</v>
      </c>
      <c r="D158" t="s">
        <v>1082</v>
      </c>
      <c r="E158">
        <v>20</v>
      </c>
      <c r="F158">
        <v>30</v>
      </c>
      <c r="G158">
        <v>20</v>
      </c>
      <c r="H158">
        <v>90</v>
      </c>
      <c r="I158">
        <v>80</v>
      </c>
      <c r="J158">
        <v>70</v>
      </c>
      <c r="K158" t="s">
        <v>1092</v>
      </c>
      <c r="L158" t="s">
        <v>1092</v>
      </c>
      <c r="M158" t="s">
        <v>1092</v>
      </c>
      <c r="N158">
        <v>30</v>
      </c>
      <c r="O158">
        <v>40</v>
      </c>
      <c r="P158">
        <v>30</v>
      </c>
      <c r="Q158">
        <v>0</v>
      </c>
      <c r="R158">
        <v>0</v>
      </c>
      <c r="S158">
        <v>0</v>
      </c>
    </row>
    <row r="159" spans="1:19" x14ac:dyDescent="0.25">
      <c r="A159">
        <v>17</v>
      </c>
      <c r="D159" t="s">
        <v>1083</v>
      </c>
      <c r="E159">
        <v>25</v>
      </c>
      <c r="F159">
        <v>30</v>
      </c>
      <c r="G159">
        <v>25</v>
      </c>
      <c r="H159">
        <v>90</v>
      </c>
      <c r="I159">
        <v>80</v>
      </c>
      <c r="J159">
        <v>60</v>
      </c>
      <c r="K159" t="s">
        <v>1092</v>
      </c>
      <c r="L159" t="s">
        <v>1092</v>
      </c>
      <c r="M159" t="s">
        <v>1092</v>
      </c>
      <c r="N159">
        <v>30</v>
      </c>
      <c r="O159">
        <v>35</v>
      </c>
      <c r="P159">
        <v>30</v>
      </c>
      <c r="Q159">
        <v>0</v>
      </c>
      <c r="R159">
        <v>0</v>
      </c>
      <c r="S159">
        <v>0</v>
      </c>
    </row>
    <row r="160" spans="1:19" x14ac:dyDescent="0.25">
      <c r="A160">
        <v>18</v>
      </c>
      <c r="D160" t="s">
        <v>1084</v>
      </c>
      <c r="E160">
        <v>50</v>
      </c>
      <c r="F160">
        <v>30</v>
      </c>
      <c r="G160">
        <v>35</v>
      </c>
      <c r="H160">
        <v>90</v>
      </c>
      <c r="I160">
        <v>90</v>
      </c>
      <c r="J160">
        <v>60</v>
      </c>
      <c r="K160" t="s">
        <v>1092</v>
      </c>
      <c r="L160" t="s">
        <v>1092</v>
      </c>
      <c r="M160" t="s">
        <v>1092</v>
      </c>
      <c r="N160">
        <v>40</v>
      </c>
      <c r="O160">
        <v>40</v>
      </c>
      <c r="P160">
        <v>40</v>
      </c>
      <c r="Q160">
        <v>0</v>
      </c>
      <c r="R160">
        <v>0</v>
      </c>
      <c r="S160">
        <v>0</v>
      </c>
    </row>
    <row r="161" spans="1:19" x14ac:dyDescent="0.25">
      <c r="A161">
        <v>19</v>
      </c>
      <c r="D161" t="s">
        <v>1085</v>
      </c>
      <c r="E161">
        <v>80</v>
      </c>
      <c r="F161">
        <v>70</v>
      </c>
      <c r="G161">
        <v>55</v>
      </c>
      <c r="H161">
        <v>90</v>
      </c>
      <c r="I161">
        <v>90</v>
      </c>
      <c r="J161">
        <v>60</v>
      </c>
      <c r="K161" t="s">
        <v>1092</v>
      </c>
      <c r="L161" t="s">
        <v>1092</v>
      </c>
      <c r="M161" t="s">
        <v>1092</v>
      </c>
      <c r="N161">
        <v>55</v>
      </c>
      <c r="O161">
        <v>55</v>
      </c>
      <c r="P161">
        <v>50</v>
      </c>
      <c r="Q161">
        <v>0</v>
      </c>
      <c r="R161">
        <v>0</v>
      </c>
      <c r="S161">
        <v>0</v>
      </c>
    </row>
    <row r="162" spans="1:19" x14ac:dyDescent="0.25">
      <c r="A162">
        <v>20</v>
      </c>
      <c r="D162" t="s">
        <v>1086</v>
      </c>
      <c r="E162">
        <v>80</v>
      </c>
      <c r="F162">
        <v>90</v>
      </c>
      <c r="G162">
        <v>65</v>
      </c>
      <c r="H162">
        <v>90</v>
      </c>
      <c r="I162">
        <v>90</v>
      </c>
      <c r="J162">
        <v>60</v>
      </c>
      <c r="K162" t="s">
        <v>1092</v>
      </c>
      <c r="L162" t="s">
        <v>1092</v>
      </c>
      <c r="M162" t="s">
        <v>1092</v>
      </c>
      <c r="N162">
        <v>60</v>
      </c>
      <c r="O162">
        <v>55</v>
      </c>
      <c r="P162">
        <v>50</v>
      </c>
      <c r="Q162">
        <v>0</v>
      </c>
      <c r="R162">
        <v>0</v>
      </c>
      <c r="S162">
        <v>0</v>
      </c>
    </row>
    <row r="163" spans="1:19" x14ac:dyDescent="0.25">
      <c r="A163">
        <v>21</v>
      </c>
      <c r="D163" t="s">
        <v>1087</v>
      </c>
      <c r="E163">
        <v>80</v>
      </c>
      <c r="F163">
        <v>70</v>
      </c>
      <c r="G163">
        <v>70</v>
      </c>
      <c r="H163">
        <v>90</v>
      </c>
      <c r="I163">
        <v>90</v>
      </c>
      <c r="J163">
        <v>60</v>
      </c>
      <c r="K163" t="s">
        <v>1092</v>
      </c>
      <c r="L163" t="s">
        <v>1092</v>
      </c>
      <c r="M163" t="s">
        <v>1092</v>
      </c>
      <c r="N163">
        <v>50</v>
      </c>
      <c r="O163">
        <v>50</v>
      </c>
      <c r="P163">
        <v>40</v>
      </c>
      <c r="Q163">
        <v>0</v>
      </c>
      <c r="R163">
        <v>0</v>
      </c>
      <c r="S163">
        <v>0</v>
      </c>
    </row>
    <row r="164" spans="1:19" x14ac:dyDescent="0.25">
      <c r="A164">
        <v>22</v>
      </c>
      <c r="D164" t="s">
        <v>1088</v>
      </c>
      <c r="E164">
        <v>50</v>
      </c>
      <c r="F164">
        <v>65</v>
      </c>
      <c r="G164">
        <v>35</v>
      </c>
      <c r="H164">
        <v>90</v>
      </c>
      <c r="I164">
        <v>90</v>
      </c>
      <c r="J164">
        <v>60</v>
      </c>
      <c r="K164" t="s">
        <v>1092</v>
      </c>
      <c r="L164" t="s">
        <v>1092</v>
      </c>
      <c r="M164" t="s">
        <v>1092</v>
      </c>
      <c r="N164">
        <v>55</v>
      </c>
      <c r="O164">
        <v>55</v>
      </c>
      <c r="P164">
        <v>50</v>
      </c>
      <c r="Q164">
        <v>0</v>
      </c>
      <c r="R164">
        <v>0</v>
      </c>
      <c r="S164">
        <v>0</v>
      </c>
    </row>
    <row r="165" spans="1:19" x14ac:dyDescent="0.25">
      <c r="A165">
        <v>23</v>
      </c>
      <c r="D165" t="s">
        <v>1089</v>
      </c>
      <c r="E165">
        <v>35</v>
      </c>
      <c r="F165">
        <v>55</v>
      </c>
      <c r="G165">
        <v>20</v>
      </c>
      <c r="H165">
        <v>50</v>
      </c>
      <c r="I165">
        <v>50</v>
      </c>
      <c r="J165">
        <v>50</v>
      </c>
      <c r="K165" t="s">
        <v>1092</v>
      </c>
      <c r="L165" t="s">
        <v>1092</v>
      </c>
      <c r="M165" t="s">
        <v>1092</v>
      </c>
      <c r="N165">
        <v>45</v>
      </c>
      <c r="O165">
        <v>40</v>
      </c>
      <c r="P165">
        <v>40</v>
      </c>
      <c r="Q165">
        <v>0</v>
      </c>
      <c r="R165">
        <v>0</v>
      </c>
      <c r="S165">
        <v>0</v>
      </c>
    </row>
    <row r="166" spans="1:19" x14ac:dyDescent="0.25">
      <c r="A166">
        <v>24</v>
      </c>
      <c r="D166" t="s">
        <v>1090</v>
      </c>
      <c r="E166">
        <v>20</v>
      </c>
      <c r="F166">
        <v>35</v>
      </c>
      <c r="G166">
        <v>20</v>
      </c>
      <c r="H166">
        <v>30</v>
      </c>
      <c r="I166">
        <v>30</v>
      </c>
      <c r="J166">
        <v>30</v>
      </c>
      <c r="K166" t="s">
        <v>1092</v>
      </c>
      <c r="L166" t="s">
        <v>1092</v>
      </c>
      <c r="M166" t="s">
        <v>1092</v>
      </c>
      <c r="N166">
        <v>25</v>
      </c>
      <c r="O166">
        <v>30</v>
      </c>
      <c r="P166">
        <v>20</v>
      </c>
      <c r="Q166">
        <v>0</v>
      </c>
      <c r="R166">
        <v>0</v>
      </c>
      <c r="S166">
        <v>0</v>
      </c>
    </row>
    <row r="169" spans="1:19" x14ac:dyDescent="0.25">
      <c r="A169" t="s">
        <v>1068</v>
      </c>
      <c r="D169" t="s">
        <v>1048</v>
      </c>
      <c r="E169" t="s">
        <v>498</v>
      </c>
      <c r="H169" t="s">
        <v>500</v>
      </c>
      <c r="K169" t="s">
        <v>1045</v>
      </c>
      <c r="N169" t="s">
        <v>1049</v>
      </c>
      <c r="Q169" t="s">
        <v>1039</v>
      </c>
    </row>
    <row r="170" spans="1:19" x14ac:dyDescent="0.25">
      <c r="E170" t="s">
        <v>1040</v>
      </c>
      <c r="F170" t="s">
        <v>1046</v>
      </c>
      <c r="G170" t="s">
        <v>1053</v>
      </c>
      <c r="H170" t="s">
        <v>1040</v>
      </c>
      <c r="I170" t="s">
        <v>1046</v>
      </c>
      <c r="J170" t="s">
        <v>1053</v>
      </c>
      <c r="K170" t="s">
        <v>1040</v>
      </c>
      <c r="L170" t="s">
        <v>1046</v>
      </c>
      <c r="M170" t="s">
        <v>1053</v>
      </c>
      <c r="N170" t="s">
        <v>1040</v>
      </c>
      <c r="O170" t="s">
        <v>1046</v>
      </c>
      <c r="P170" t="s">
        <v>1053</v>
      </c>
      <c r="Q170" t="s">
        <v>1040</v>
      </c>
      <c r="R170" t="s">
        <v>1046</v>
      </c>
      <c r="S170" t="s">
        <v>1053</v>
      </c>
    </row>
    <row r="171" spans="1:19" x14ac:dyDescent="0.25">
      <c r="A171">
        <v>1</v>
      </c>
      <c r="D171" t="s">
        <v>1056</v>
      </c>
      <c r="E171">
        <v>0</v>
      </c>
      <c r="F171">
        <v>0</v>
      </c>
      <c r="G171">
        <v>0</v>
      </c>
      <c r="H171">
        <v>5</v>
      </c>
      <c r="I171">
        <v>5</v>
      </c>
      <c r="J171">
        <v>5</v>
      </c>
      <c r="K171" t="s">
        <v>1101</v>
      </c>
      <c r="L171" t="s">
        <v>1101</v>
      </c>
      <c r="M171" t="s">
        <v>1101</v>
      </c>
      <c r="N171">
        <v>4</v>
      </c>
      <c r="O171">
        <v>11</v>
      </c>
      <c r="P171">
        <v>7</v>
      </c>
      <c r="Q171">
        <v>0</v>
      </c>
      <c r="R171">
        <v>0</v>
      </c>
      <c r="S171">
        <v>0</v>
      </c>
    </row>
    <row r="172" spans="1:19" x14ac:dyDescent="0.25">
      <c r="A172">
        <v>2</v>
      </c>
      <c r="D172" t="s">
        <v>1057</v>
      </c>
      <c r="E172">
        <v>0</v>
      </c>
      <c r="F172">
        <v>0</v>
      </c>
      <c r="G172">
        <v>0</v>
      </c>
      <c r="H172">
        <v>5</v>
      </c>
      <c r="I172">
        <v>5</v>
      </c>
      <c r="J172">
        <v>5</v>
      </c>
      <c r="K172" t="s">
        <v>1101</v>
      </c>
      <c r="L172" t="s">
        <v>1101</v>
      </c>
      <c r="M172" t="s">
        <v>1101</v>
      </c>
      <c r="N172">
        <v>5</v>
      </c>
      <c r="O172">
        <v>10</v>
      </c>
      <c r="P172">
        <v>7</v>
      </c>
      <c r="Q172">
        <v>0</v>
      </c>
      <c r="R172">
        <v>0</v>
      </c>
      <c r="S172">
        <v>0</v>
      </c>
    </row>
    <row r="173" spans="1:19" x14ac:dyDescent="0.25">
      <c r="A173">
        <v>3</v>
      </c>
      <c r="D173" t="s">
        <v>1059</v>
      </c>
      <c r="E173">
        <v>0</v>
      </c>
      <c r="F173">
        <v>0</v>
      </c>
      <c r="G173">
        <v>0</v>
      </c>
      <c r="H173">
        <v>5</v>
      </c>
      <c r="I173">
        <v>5</v>
      </c>
      <c r="J173">
        <v>5</v>
      </c>
      <c r="K173" t="s">
        <v>1101</v>
      </c>
      <c r="L173" t="s">
        <v>1101</v>
      </c>
      <c r="M173" t="s">
        <v>1101</v>
      </c>
      <c r="N173">
        <v>5</v>
      </c>
      <c r="O173">
        <v>8</v>
      </c>
      <c r="P173">
        <v>7</v>
      </c>
      <c r="Q173">
        <v>0</v>
      </c>
      <c r="R173">
        <v>0</v>
      </c>
      <c r="S173">
        <v>0</v>
      </c>
    </row>
    <row r="174" spans="1:19" x14ac:dyDescent="0.25">
      <c r="A174">
        <v>4</v>
      </c>
      <c r="D174" t="s">
        <v>1061</v>
      </c>
      <c r="E174">
        <v>0</v>
      </c>
      <c r="F174">
        <v>0</v>
      </c>
      <c r="G174">
        <v>0</v>
      </c>
      <c r="H174">
        <v>5</v>
      </c>
      <c r="I174">
        <v>5</v>
      </c>
      <c r="J174">
        <v>5</v>
      </c>
      <c r="K174" t="s">
        <v>1101</v>
      </c>
      <c r="L174" t="s">
        <v>1101</v>
      </c>
      <c r="M174" t="s">
        <v>1101</v>
      </c>
      <c r="N174">
        <v>4</v>
      </c>
      <c r="O174">
        <v>6</v>
      </c>
      <c r="P174">
        <v>6</v>
      </c>
      <c r="Q174">
        <v>0</v>
      </c>
      <c r="R174">
        <v>0</v>
      </c>
      <c r="S174">
        <v>0</v>
      </c>
    </row>
    <row r="175" spans="1:19" x14ac:dyDescent="0.25">
      <c r="A175">
        <v>5</v>
      </c>
      <c r="D175" t="s">
        <v>1063</v>
      </c>
      <c r="E175">
        <v>0</v>
      </c>
      <c r="F175">
        <v>0</v>
      </c>
      <c r="G175">
        <v>0</v>
      </c>
      <c r="H175">
        <v>5</v>
      </c>
      <c r="I175">
        <v>5</v>
      </c>
      <c r="J175">
        <v>5</v>
      </c>
      <c r="K175" t="s">
        <v>1101</v>
      </c>
      <c r="L175" t="s">
        <v>1101</v>
      </c>
      <c r="M175" t="s">
        <v>1101</v>
      </c>
      <c r="N175">
        <v>4</v>
      </c>
      <c r="O175">
        <v>6</v>
      </c>
      <c r="P175">
        <v>6</v>
      </c>
      <c r="Q175">
        <v>0</v>
      </c>
      <c r="R175">
        <v>0</v>
      </c>
      <c r="S175">
        <v>0</v>
      </c>
    </row>
    <row r="176" spans="1:19" x14ac:dyDescent="0.25">
      <c r="A176">
        <v>6</v>
      </c>
      <c r="D176" t="s">
        <v>1065</v>
      </c>
      <c r="E176">
        <v>0</v>
      </c>
      <c r="F176">
        <v>0</v>
      </c>
      <c r="G176">
        <v>0</v>
      </c>
      <c r="H176">
        <v>5</v>
      </c>
      <c r="I176">
        <v>5</v>
      </c>
      <c r="J176">
        <v>5</v>
      </c>
      <c r="K176" t="s">
        <v>1101</v>
      </c>
      <c r="L176" t="s">
        <v>1101</v>
      </c>
      <c r="M176" t="s">
        <v>1101</v>
      </c>
      <c r="N176">
        <v>4</v>
      </c>
      <c r="O176">
        <v>6</v>
      </c>
      <c r="P176">
        <v>6</v>
      </c>
      <c r="Q176">
        <v>0</v>
      </c>
      <c r="R176">
        <v>0</v>
      </c>
      <c r="S176">
        <v>0</v>
      </c>
    </row>
    <row r="177" spans="1:19" x14ac:dyDescent="0.25">
      <c r="A177">
        <v>7</v>
      </c>
      <c r="D177" t="s">
        <v>1067</v>
      </c>
      <c r="E177">
        <v>0</v>
      </c>
      <c r="F177">
        <v>0</v>
      </c>
      <c r="G177">
        <v>0</v>
      </c>
      <c r="H177">
        <v>5</v>
      </c>
      <c r="I177">
        <v>5</v>
      </c>
      <c r="J177">
        <v>5</v>
      </c>
      <c r="K177" t="s">
        <v>1092</v>
      </c>
      <c r="L177" t="s">
        <v>1092</v>
      </c>
      <c r="M177" t="s">
        <v>1101</v>
      </c>
      <c r="N177">
        <v>4</v>
      </c>
      <c r="O177">
        <v>7</v>
      </c>
      <c r="P177">
        <v>7</v>
      </c>
      <c r="Q177">
        <v>0</v>
      </c>
      <c r="R177">
        <v>0</v>
      </c>
      <c r="S177">
        <v>0</v>
      </c>
    </row>
    <row r="178" spans="1:19" x14ac:dyDescent="0.25">
      <c r="A178">
        <v>8</v>
      </c>
      <c r="D178" t="s">
        <v>1069</v>
      </c>
      <c r="E178">
        <v>10</v>
      </c>
      <c r="F178">
        <v>10</v>
      </c>
      <c r="G178">
        <v>0</v>
      </c>
      <c r="H178">
        <v>20</v>
      </c>
      <c r="I178">
        <v>10</v>
      </c>
      <c r="J178">
        <v>5</v>
      </c>
      <c r="K178" t="s">
        <v>1092</v>
      </c>
      <c r="L178" t="s">
        <v>1092</v>
      </c>
      <c r="M178" t="s">
        <v>1101</v>
      </c>
      <c r="N178">
        <v>15</v>
      </c>
      <c r="O178">
        <v>20</v>
      </c>
      <c r="P178">
        <v>10</v>
      </c>
      <c r="Q178">
        <v>12</v>
      </c>
      <c r="R178">
        <v>9</v>
      </c>
      <c r="S178">
        <v>0</v>
      </c>
    </row>
    <row r="179" spans="1:19" x14ac:dyDescent="0.25">
      <c r="A179">
        <v>9</v>
      </c>
      <c r="D179" t="s">
        <v>1071</v>
      </c>
      <c r="E179">
        <v>20</v>
      </c>
      <c r="F179">
        <v>20</v>
      </c>
      <c r="G179">
        <v>0</v>
      </c>
      <c r="H179">
        <v>50</v>
      </c>
      <c r="I179">
        <v>30</v>
      </c>
      <c r="J179">
        <v>10</v>
      </c>
      <c r="K179" t="s">
        <v>1092</v>
      </c>
      <c r="L179" t="s">
        <v>1092</v>
      </c>
      <c r="M179" t="s">
        <v>1092</v>
      </c>
      <c r="N179">
        <v>23</v>
      </c>
      <c r="O179">
        <v>24</v>
      </c>
      <c r="P179">
        <v>12</v>
      </c>
      <c r="Q179">
        <v>22</v>
      </c>
      <c r="R179">
        <v>21</v>
      </c>
      <c r="S179">
        <v>0</v>
      </c>
    </row>
    <row r="180" spans="1:19" x14ac:dyDescent="0.25">
      <c r="A180">
        <v>10</v>
      </c>
      <c r="D180" t="s">
        <v>1073</v>
      </c>
      <c r="E180">
        <v>50</v>
      </c>
      <c r="F180">
        <v>50</v>
      </c>
      <c r="G180">
        <v>10</v>
      </c>
      <c r="H180">
        <v>90</v>
      </c>
      <c r="I180">
        <v>60</v>
      </c>
      <c r="J180">
        <v>10</v>
      </c>
      <c r="K180" t="s">
        <v>1092</v>
      </c>
      <c r="L180" t="s">
        <v>1092</v>
      </c>
      <c r="M180" t="s">
        <v>1092</v>
      </c>
      <c r="N180">
        <v>32</v>
      </c>
      <c r="O180">
        <v>27</v>
      </c>
      <c r="P180">
        <v>14</v>
      </c>
      <c r="Q180">
        <v>64</v>
      </c>
      <c r="R180">
        <v>56</v>
      </c>
      <c r="S180">
        <v>11</v>
      </c>
    </row>
    <row r="181" spans="1:19" x14ac:dyDescent="0.25">
      <c r="A181">
        <v>11</v>
      </c>
      <c r="D181" t="s">
        <v>1075</v>
      </c>
      <c r="E181">
        <v>50</v>
      </c>
      <c r="F181">
        <v>60</v>
      </c>
      <c r="G181">
        <v>20</v>
      </c>
      <c r="H181">
        <v>90</v>
      </c>
      <c r="I181">
        <v>90</v>
      </c>
      <c r="J181">
        <v>40</v>
      </c>
      <c r="K181" t="s">
        <v>1092</v>
      </c>
      <c r="L181" t="s">
        <v>1092</v>
      </c>
      <c r="M181" t="s">
        <v>1092</v>
      </c>
      <c r="N181">
        <v>41</v>
      </c>
      <c r="O181">
        <v>42</v>
      </c>
      <c r="P181">
        <v>29</v>
      </c>
      <c r="Q181">
        <v>74</v>
      </c>
      <c r="R181">
        <v>66</v>
      </c>
      <c r="S181">
        <v>13</v>
      </c>
    </row>
    <row r="182" spans="1:19" x14ac:dyDescent="0.25">
      <c r="A182">
        <v>12</v>
      </c>
      <c r="D182" t="s">
        <v>1076</v>
      </c>
      <c r="E182">
        <v>70</v>
      </c>
      <c r="F182">
        <v>80</v>
      </c>
      <c r="G182">
        <v>20</v>
      </c>
      <c r="H182">
        <v>90</v>
      </c>
      <c r="I182">
        <v>90</v>
      </c>
      <c r="J182">
        <v>40</v>
      </c>
      <c r="K182" t="s">
        <v>1092</v>
      </c>
      <c r="L182" t="s">
        <v>1092</v>
      </c>
      <c r="M182" t="s">
        <v>1092</v>
      </c>
      <c r="N182">
        <v>57</v>
      </c>
      <c r="O182">
        <v>54</v>
      </c>
      <c r="P182">
        <v>31</v>
      </c>
      <c r="Q182">
        <v>68</v>
      </c>
      <c r="R182">
        <v>68</v>
      </c>
      <c r="S182">
        <v>35</v>
      </c>
    </row>
    <row r="183" spans="1:19" x14ac:dyDescent="0.25">
      <c r="A183">
        <v>13</v>
      </c>
      <c r="D183" t="s">
        <v>1077</v>
      </c>
      <c r="E183">
        <v>70</v>
      </c>
      <c r="F183">
        <v>80</v>
      </c>
      <c r="G183">
        <v>40</v>
      </c>
      <c r="H183">
        <v>90</v>
      </c>
      <c r="I183">
        <v>90</v>
      </c>
      <c r="J183">
        <v>60</v>
      </c>
      <c r="K183" t="s">
        <v>1092</v>
      </c>
      <c r="L183" t="s">
        <v>1092</v>
      </c>
      <c r="M183" t="s">
        <v>1092</v>
      </c>
      <c r="N183">
        <v>62</v>
      </c>
      <c r="O183">
        <v>59</v>
      </c>
      <c r="P183">
        <v>36</v>
      </c>
      <c r="Q183">
        <v>68</v>
      </c>
      <c r="R183">
        <v>68</v>
      </c>
      <c r="S183">
        <v>37</v>
      </c>
    </row>
    <row r="184" spans="1:19" x14ac:dyDescent="0.25">
      <c r="A184">
        <v>14</v>
      </c>
      <c r="D184" t="s">
        <v>1078</v>
      </c>
      <c r="E184">
        <v>70</v>
      </c>
      <c r="F184">
        <v>80</v>
      </c>
      <c r="G184">
        <v>40</v>
      </c>
      <c r="H184">
        <v>90</v>
      </c>
      <c r="I184">
        <v>90</v>
      </c>
      <c r="J184">
        <v>60</v>
      </c>
      <c r="K184" t="s">
        <v>1092</v>
      </c>
      <c r="L184" t="s">
        <v>1092</v>
      </c>
      <c r="M184" t="s">
        <v>1092</v>
      </c>
      <c r="N184">
        <v>61</v>
      </c>
      <c r="O184">
        <v>60</v>
      </c>
      <c r="P184">
        <v>36</v>
      </c>
      <c r="Q184">
        <v>71</v>
      </c>
      <c r="R184">
        <v>69</v>
      </c>
      <c r="S184">
        <v>37</v>
      </c>
    </row>
    <row r="185" spans="1:19" x14ac:dyDescent="0.25">
      <c r="A185">
        <v>15</v>
      </c>
      <c r="D185" t="s">
        <v>1080</v>
      </c>
      <c r="E185">
        <v>70</v>
      </c>
      <c r="F185">
        <v>80</v>
      </c>
      <c r="G185">
        <v>40</v>
      </c>
      <c r="H185">
        <v>90</v>
      </c>
      <c r="I185">
        <v>90</v>
      </c>
      <c r="J185">
        <v>60</v>
      </c>
      <c r="K185" t="s">
        <v>1092</v>
      </c>
      <c r="L185" t="s">
        <v>1092</v>
      </c>
      <c r="M185" t="s">
        <v>1092</v>
      </c>
      <c r="N185">
        <v>50</v>
      </c>
      <c r="O185">
        <v>49</v>
      </c>
      <c r="P185">
        <v>34</v>
      </c>
      <c r="Q185">
        <v>72</v>
      </c>
      <c r="R185">
        <v>70</v>
      </c>
      <c r="S185">
        <v>39</v>
      </c>
    </row>
    <row r="186" spans="1:19" x14ac:dyDescent="0.25">
      <c r="A186">
        <v>16</v>
      </c>
      <c r="D186" t="s">
        <v>1082</v>
      </c>
      <c r="E186">
        <v>80</v>
      </c>
      <c r="F186">
        <v>80</v>
      </c>
      <c r="G186">
        <v>40</v>
      </c>
      <c r="H186">
        <v>90</v>
      </c>
      <c r="I186">
        <v>90</v>
      </c>
      <c r="J186">
        <v>60</v>
      </c>
      <c r="K186" t="s">
        <v>1092</v>
      </c>
      <c r="L186" t="s">
        <v>1092</v>
      </c>
      <c r="M186" t="s">
        <v>1092</v>
      </c>
      <c r="N186">
        <v>45</v>
      </c>
      <c r="O186">
        <v>48</v>
      </c>
      <c r="P186">
        <v>35</v>
      </c>
      <c r="Q186">
        <v>72</v>
      </c>
      <c r="R186">
        <v>69</v>
      </c>
      <c r="S186">
        <v>41</v>
      </c>
    </row>
    <row r="187" spans="1:19" x14ac:dyDescent="0.25">
      <c r="A187">
        <v>17</v>
      </c>
      <c r="D187" t="s">
        <v>1083</v>
      </c>
      <c r="E187">
        <v>70</v>
      </c>
      <c r="F187">
        <v>80</v>
      </c>
      <c r="G187">
        <v>40</v>
      </c>
      <c r="H187">
        <v>90</v>
      </c>
      <c r="I187">
        <v>90</v>
      </c>
      <c r="J187">
        <v>60</v>
      </c>
      <c r="K187" t="s">
        <v>1092</v>
      </c>
      <c r="L187" t="s">
        <v>1092</v>
      </c>
      <c r="M187" t="s">
        <v>1092</v>
      </c>
      <c r="N187">
        <v>46</v>
      </c>
      <c r="O187">
        <v>47</v>
      </c>
      <c r="P187">
        <v>37</v>
      </c>
      <c r="Q187">
        <v>73</v>
      </c>
      <c r="R187">
        <v>66</v>
      </c>
      <c r="S187">
        <v>38</v>
      </c>
    </row>
    <row r="188" spans="1:19" x14ac:dyDescent="0.25">
      <c r="A188">
        <v>18</v>
      </c>
      <c r="D188" t="s">
        <v>1084</v>
      </c>
      <c r="E188">
        <v>50</v>
      </c>
      <c r="F188">
        <v>60</v>
      </c>
      <c r="G188">
        <v>20</v>
      </c>
      <c r="H188">
        <v>90</v>
      </c>
      <c r="I188">
        <v>90</v>
      </c>
      <c r="J188">
        <v>40</v>
      </c>
      <c r="K188" t="s">
        <v>1092</v>
      </c>
      <c r="L188" t="s">
        <v>1092</v>
      </c>
      <c r="M188" t="s">
        <v>1101</v>
      </c>
      <c r="N188">
        <v>47</v>
      </c>
      <c r="O188">
        <v>46</v>
      </c>
      <c r="P188">
        <v>34</v>
      </c>
      <c r="Q188">
        <v>68</v>
      </c>
      <c r="R188">
        <v>58</v>
      </c>
      <c r="S188">
        <v>34</v>
      </c>
    </row>
    <row r="189" spans="1:19" x14ac:dyDescent="0.25">
      <c r="A189">
        <v>19</v>
      </c>
      <c r="D189" t="s">
        <v>1085</v>
      </c>
      <c r="E189">
        <v>50</v>
      </c>
      <c r="F189">
        <v>20</v>
      </c>
      <c r="G189">
        <v>10</v>
      </c>
      <c r="H189">
        <v>60</v>
      </c>
      <c r="I189">
        <v>50</v>
      </c>
      <c r="J189">
        <v>20</v>
      </c>
      <c r="K189" t="s">
        <v>1092</v>
      </c>
      <c r="L189" t="s">
        <v>1092</v>
      </c>
      <c r="M189" t="s">
        <v>1101</v>
      </c>
      <c r="N189">
        <v>42</v>
      </c>
      <c r="O189">
        <v>44</v>
      </c>
      <c r="P189">
        <v>25</v>
      </c>
      <c r="Q189">
        <v>68</v>
      </c>
      <c r="R189">
        <v>47</v>
      </c>
      <c r="S189">
        <v>3</v>
      </c>
    </row>
    <row r="190" spans="1:19" x14ac:dyDescent="0.25">
      <c r="A190">
        <v>20</v>
      </c>
      <c r="D190" t="s">
        <v>1086</v>
      </c>
      <c r="E190">
        <v>30</v>
      </c>
      <c r="F190">
        <v>20</v>
      </c>
      <c r="G190">
        <v>0</v>
      </c>
      <c r="H190">
        <v>60</v>
      </c>
      <c r="I190">
        <v>30</v>
      </c>
      <c r="J190">
        <v>5</v>
      </c>
      <c r="K190" t="s">
        <v>1092</v>
      </c>
      <c r="L190" t="s">
        <v>1092</v>
      </c>
      <c r="M190" t="s">
        <v>1101</v>
      </c>
      <c r="N190">
        <v>34</v>
      </c>
      <c r="O190">
        <v>36</v>
      </c>
      <c r="P190">
        <v>27</v>
      </c>
      <c r="Q190">
        <v>58</v>
      </c>
      <c r="R190">
        <v>43</v>
      </c>
      <c r="S190">
        <v>0</v>
      </c>
    </row>
    <row r="191" spans="1:19" x14ac:dyDescent="0.25">
      <c r="A191">
        <v>21</v>
      </c>
      <c r="D191" t="s">
        <v>1087</v>
      </c>
      <c r="E191">
        <v>30</v>
      </c>
      <c r="F191">
        <v>20</v>
      </c>
      <c r="G191">
        <v>0</v>
      </c>
      <c r="H191">
        <v>50</v>
      </c>
      <c r="I191">
        <v>30</v>
      </c>
      <c r="J191">
        <v>5</v>
      </c>
      <c r="K191" t="s">
        <v>1092</v>
      </c>
      <c r="L191" t="s">
        <v>1092</v>
      </c>
      <c r="M191" t="s">
        <v>1101</v>
      </c>
      <c r="N191">
        <v>33</v>
      </c>
      <c r="O191">
        <v>29</v>
      </c>
      <c r="P191">
        <v>21</v>
      </c>
      <c r="Q191">
        <v>54</v>
      </c>
      <c r="R191">
        <v>43</v>
      </c>
      <c r="S191">
        <v>0</v>
      </c>
    </row>
    <row r="192" spans="1:19" x14ac:dyDescent="0.25">
      <c r="A192">
        <v>22</v>
      </c>
      <c r="D192" t="s">
        <v>1088</v>
      </c>
      <c r="E192">
        <v>0</v>
      </c>
      <c r="F192">
        <v>10</v>
      </c>
      <c r="G192">
        <v>0</v>
      </c>
      <c r="H192">
        <v>20</v>
      </c>
      <c r="I192">
        <v>10</v>
      </c>
      <c r="J192">
        <v>5</v>
      </c>
      <c r="K192" t="s">
        <v>1101</v>
      </c>
      <c r="L192" t="s">
        <v>1092</v>
      </c>
      <c r="M192" t="s">
        <v>1101</v>
      </c>
      <c r="N192">
        <v>23</v>
      </c>
      <c r="O192">
        <v>22</v>
      </c>
      <c r="P192">
        <v>16</v>
      </c>
      <c r="Q192">
        <v>0</v>
      </c>
      <c r="R192">
        <v>8</v>
      </c>
      <c r="S192">
        <v>0</v>
      </c>
    </row>
    <row r="193" spans="1:19" x14ac:dyDescent="0.25">
      <c r="A193">
        <v>23</v>
      </c>
      <c r="D193" t="s">
        <v>1089</v>
      </c>
      <c r="E193">
        <v>0</v>
      </c>
      <c r="F193">
        <v>0</v>
      </c>
      <c r="G193">
        <v>0</v>
      </c>
      <c r="H193">
        <v>5</v>
      </c>
      <c r="I193">
        <v>5</v>
      </c>
      <c r="J193">
        <v>5</v>
      </c>
      <c r="K193" t="s">
        <v>1101</v>
      </c>
      <c r="L193" t="s">
        <v>1101</v>
      </c>
      <c r="M193" t="s">
        <v>1101</v>
      </c>
      <c r="N193">
        <v>13</v>
      </c>
      <c r="O193">
        <v>16</v>
      </c>
      <c r="P193">
        <v>10</v>
      </c>
      <c r="Q193">
        <v>0</v>
      </c>
      <c r="R193">
        <v>0</v>
      </c>
      <c r="S193">
        <v>0</v>
      </c>
    </row>
    <row r="194" spans="1:19" x14ac:dyDescent="0.25">
      <c r="A194">
        <v>24</v>
      </c>
      <c r="D194" t="s">
        <v>1090</v>
      </c>
      <c r="E194">
        <v>0</v>
      </c>
      <c r="F194">
        <v>0</v>
      </c>
      <c r="G194">
        <v>0</v>
      </c>
      <c r="H194">
        <v>5</v>
      </c>
      <c r="I194">
        <v>5</v>
      </c>
      <c r="J194">
        <v>5</v>
      </c>
      <c r="K194" t="s">
        <v>1101</v>
      </c>
      <c r="L194" t="s">
        <v>1101</v>
      </c>
      <c r="M194" t="s">
        <v>1101</v>
      </c>
      <c r="N194">
        <v>8</v>
      </c>
      <c r="O194">
        <v>13</v>
      </c>
      <c r="P194">
        <v>6</v>
      </c>
      <c r="Q194">
        <v>0</v>
      </c>
      <c r="R194">
        <v>0</v>
      </c>
      <c r="S194">
        <v>0</v>
      </c>
    </row>
    <row r="197" spans="1:19" x14ac:dyDescent="0.25">
      <c r="A197" t="s">
        <v>1070</v>
      </c>
      <c r="D197" t="s">
        <v>1048</v>
      </c>
      <c r="E197" t="s">
        <v>498</v>
      </c>
      <c r="H197" t="s">
        <v>500</v>
      </c>
      <c r="K197" t="s">
        <v>1045</v>
      </c>
      <c r="N197" t="s">
        <v>1049</v>
      </c>
      <c r="Q197" t="s">
        <v>1039</v>
      </c>
    </row>
    <row r="198" spans="1:19" x14ac:dyDescent="0.25">
      <c r="E198" t="s">
        <v>1040</v>
      </c>
      <c r="F198" t="s">
        <v>1046</v>
      </c>
      <c r="G198" t="s">
        <v>1053</v>
      </c>
      <c r="H198" t="s">
        <v>1040</v>
      </c>
      <c r="I198" t="s">
        <v>1046</v>
      </c>
      <c r="J198" t="s">
        <v>1053</v>
      </c>
      <c r="K198" t="s">
        <v>1040</v>
      </c>
      <c r="L198" t="s">
        <v>1046</v>
      </c>
      <c r="M198" t="s">
        <v>1053</v>
      </c>
      <c r="N198" t="s">
        <v>1040</v>
      </c>
      <c r="O198" t="s">
        <v>1046</v>
      </c>
      <c r="P198" t="s">
        <v>1053</v>
      </c>
      <c r="Q198" t="s">
        <v>1040</v>
      </c>
      <c r="R198" t="s">
        <v>1046</v>
      </c>
      <c r="S198" t="s">
        <v>1053</v>
      </c>
    </row>
    <row r="199" spans="1:19" x14ac:dyDescent="0.25">
      <c r="A199">
        <v>1</v>
      </c>
      <c r="D199" t="s">
        <v>1056</v>
      </c>
      <c r="E199">
        <v>0</v>
      </c>
      <c r="F199">
        <v>0</v>
      </c>
      <c r="G199">
        <v>0</v>
      </c>
      <c r="H199">
        <v>5</v>
      </c>
      <c r="I199">
        <v>5</v>
      </c>
      <c r="J199">
        <v>5</v>
      </c>
      <c r="K199" t="s">
        <v>1101</v>
      </c>
      <c r="L199" t="s">
        <v>1101</v>
      </c>
      <c r="M199" t="s">
        <v>1101</v>
      </c>
      <c r="N199">
        <v>5</v>
      </c>
      <c r="O199">
        <v>3</v>
      </c>
      <c r="P199">
        <v>3</v>
      </c>
      <c r="Q199">
        <v>0</v>
      </c>
      <c r="R199">
        <v>0</v>
      </c>
      <c r="S199">
        <v>0</v>
      </c>
    </row>
    <row r="200" spans="1:19" x14ac:dyDescent="0.25">
      <c r="A200">
        <v>2</v>
      </c>
      <c r="D200" t="s">
        <v>1057</v>
      </c>
      <c r="E200">
        <v>0</v>
      </c>
      <c r="F200">
        <v>0</v>
      </c>
      <c r="G200">
        <v>0</v>
      </c>
      <c r="H200">
        <v>5</v>
      </c>
      <c r="I200">
        <v>5</v>
      </c>
      <c r="J200">
        <v>5</v>
      </c>
      <c r="K200" t="s">
        <v>1101</v>
      </c>
      <c r="L200" t="s">
        <v>1101</v>
      </c>
      <c r="M200" t="s">
        <v>1101</v>
      </c>
      <c r="N200">
        <v>5</v>
      </c>
      <c r="O200">
        <v>3</v>
      </c>
      <c r="P200">
        <v>3</v>
      </c>
      <c r="Q200">
        <v>0</v>
      </c>
      <c r="R200">
        <v>0</v>
      </c>
      <c r="S200">
        <v>0</v>
      </c>
    </row>
    <row r="201" spans="1:19" x14ac:dyDescent="0.25">
      <c r="A201">
        <v>3</v>
      </c>
      <c r="D201" t="s">
        <v>1059</v>
      </c>
      <c r="E201">
        <v>0</v>
      </c>
      <c r="F201">
        <v>0</v>
      </c>
      <c r="G201">
        <v>0</v>
      </c>
      <c r="H201">
        <v>5</v>
      </c>
      <c r="I201">
        <v>5</v>
      </c>
      <c r="J201">
        <v>5</v>
      </c>
      <c r="K201" t="s">
        <v>1101</v>
      </c>
      <c r="L201" t="s">
        <v>1101</v>
      </c>
      <c r="M201" t="s">
        <v>1101</v>
      </c>
      <c r="N201">
        <v>5</v>
      </c>
      <c r="O201">
        <v>3</v>
      </c>
      <c r="P201">
        <v>3</v>
      </c>
      <c r="Q201">
        <v>0</v>
      </c>
      <c r="R201">
        <v>0</v>
      </c>
      <c r="S201">
        <v>0</v>
      </c>
    </row>
    <row r="202" spans="1:19" x14ac:dyDescent="0.25">
      <c r="A202">
        <v>4</v>
      </c>
      <c r="D202" t="s">
        <v>1061</v>
      </c>
      <c r="E202">
        <v>0</v>
      </c>
      <c r="F202">
        <v>0</v>
      </c>
      <c r="G202">
        <v>0</v>
      </c>
      <c r="H202">
        <v>5</v>
      </c>
      <c r="I202">
        <v>5</v>
      </c>
      <c r="J202">
        <v>5</v>
      </c>
      <c r="K202" t="s">
        <v>1101</v>
      </c>
      <c r="L202" t="s">
        <v>1101</v>
      </c>
      <c r="M202" t="s">
        <v>1101</v>
      </c>
      <c r="N202">
        <v>5</v>
      </c>
      <c r="O202">
        <v>3</v>
      </c>
      <c r="P202">
        <v>3</v>
      </c>
      <c r="Q202">
        <v>0</v>
      </c>
      <c r="R202">
        <v>0</v>
      </c>
      <c r="S202">
        <v>0</v>
      </c>
    </row>
    <row r="203" spans="1:19" x14ac:dyDescent="0.25">
      <c r="A203">
        <v>5</v>
      </c>
      <c r="D203" t="s">
        <v>1063</v>
      </c>
      <c r="E203">
        <v>0</v>
      </c>
      <c r="F203">
        <v>0</v>
      </c>
      <c r="G203">
        <v>0</v>
      </c>
      <c r="H203">
        <v>5</v>
      </c>
      <c r="I203">
        <v>5</v>
      </c>
      <c r="J203">
        <v>5</v>
      </c>
      <c r="K203" t="s">
        <v>1101</v>
      </c>
      <c r="L203" t="s">
        <v>1101</v>
      </c>
      <c r="M203" t="s">
        <v>1101</v>
      </c>
      <c r="N203">
        <v>5</v>
      </c>
      <c r="O203">
        <v>3</v>
      </c>
      <c r="P203">
        <v>3</v>
      </c>
      <c r="Q203">
        <v>0</v>
      </c>
      <c r="R203">
        <v>0</v>
      </c>
      <c r="S203">
        <v>0</v>
      </c>
    </row>
    <row r="204" spans="1:19" x14ac:dyDescent="0.25">
      <c r="A204">
        <v>6</v>
      </c>
      <c r="D204" t="s">
        <v>1065</v>
      </c>
      <c r="E204">
        <v>0</v>
      </c>
      <c r="F204">
        <v>0</v>
      </c>
      <c r="G204">
        <v>0</v>
      </c>
      <c r="H204">
        <v>5</v>
      </c>
      <c r="I204">
        <v>5</v>
      </c>
      <c r="J204">
        <v>5</v>
      </c>
      <c r="K204" t="s">
        <v>1101</v>
      </c>
      <c r="L204" t="s">
        <v>1101</v>
      </c>
      <c r="M204" t="s">
        <v>1101</v>
      </c>
      <c r="N204">
        <v>5</v>
      </c>
      <c r="O204">
        <v>3</v>
      </c>
      <c r="P204">
        <v>3</v>
      </c>
      <c r="Q204">
        <v>0</v>
      </c>
      <c r="R204">
        <v>0</v>
      </c>
      <c r="S204">
        <v>0</v>
      </c>
    </row>
    <row r="205" spans="1:19" x14ac:dyDescent="0.25">
      <c r="A205">
        <v>7</v>
      </c>
      <c r="D205" t="s">
        <v>1067</v>
      </c>
      <c r="E205">
        <v>0</v>
      </c>
      <c r="F205">
        <v>0</v>
      </c>
      <c r="G205">
        <v>0</v>
      </c>
      <c r="H205">
        <v>5</v>
      </c>
      <c r="I205">
        <v>5</v>
      </c>
      <c r="J205">
        <v>5</v>
      </c>
      <c r="K205" t="s">
        <v>1101</v>
      </c>
      <c r="L205" t="s">
        <v>1101</v>
      </c>
      <c r="M205" t="s">
        <v>1101</v>
      </c>
      <c r="N205">
        <v>5</v>
      </c>
      <c r="O205">
        <v>3</v>
      </c>
      <c r="P205">
        <v>3</v>
      </c>
      <c r="Q205">
        <v>0</v>
      </c>
      <c r="R205">
        <v>0</v>
      </c>
      <c r="S205">
        <v>0</v>
      </c>
    </row>
    <row r="206" spans="1:19" x14ac:dyDescent="0.25">
      <c r="A206">
        <v>8</v>
      </c>
      <c r="D206" t="s">
        <v>1069</v>
      </c>
      <c r="E206">
        <v>5</v>
      </c>
      <c r="F206">
        <v>0</v>
      </c>
      <c r="G206">
        <v>0</v>
      </c>
      <c r="H206">
        <v>30</v>
      </c>
      <c r="I206">
        <v>5</v>
      </c>
      <c r="J206">
        <v>5</v>
      </c>
      <c r="K206" t="s">
        <v>1092</v>
      </c>
      <c r="L206" t="s">
        <v>1101</v>
      </c>
      <c r="M206" t="s">
        <v>1101</v>
      </c>
      <c r="N206">
        <v>10</v>
      </c>
      <c r="O206">
        <v>3</v>
      </c>
      <c r="P206">
        <v>3</v>
      </c>
      <c r="Q206">
        <v>0</v>
      </c>
      <c r="R206">
        <v>0</v>
      </c>
      <c r="S206">
        <v>0</v>
      </c>
    </row>
    <row r="207" spans="1:19" x14ac:dyDescent="0.25">
      <c r="A207">
        <v>9</v>
      </c>
      <c r="D207" t="s">
        <v>1071</v>
      </c>
      <c r="E207">
        <v>75</v>
      </c>
      <c r="F207">
        <v>10</v>
      </c>
      <c r="G207">
        <v>0</v>
      </c>
      <c r="H207">
        <v>85</v>
      </c>
      <c r="I207">
        <v>15</v>
      </c>
      <c r="J207">
        <v>5</v>
      </c>
      <c r="K207" t="s">
        <v>1092</v>
      </c>
      <c r="L207" t="s">
        <v>1092</v>
      </c>
      <c r="M207" t="s">
        <v>1101</v>
      </c>
      <c r="N207">
        <v>34</v>
      </c>
      <c r="O207">
        <v>3</v>
      </c>
      <c r="P207">
        <v>5</v>
      </c>
      <c r="Q207">
        <v>30</v>
      </c>
      <c r="R207">
        <v>0</v>
      </c>
      <c r="S207">
        <v>0</v>
      </c>
    </row>
    <row r="208" spans="1:19" x14ac:dyDescent="0.25">
      <c r="A208">
        <v>10</v>
      </c>
      <c r="D208" t="s">
        <v>1073</v>
      </c>
      <c r="E208">
        <v>90</v>
      </c>
      <c r="F208">
        <v>10</v>
      </c>
      <c r="G208">
        <v>0</v>
      </c>
      <c r="H208">
        <v>95</v>
      </c>
      <c r="I208">
        <v>15</v>
      </c>
      <c r="J208">
        <v>5</v>
      </c>
      <c r="K208" t="s">
        <v>1092</v>
      </c>
      <c r="L208" t="s">
        <v>1092</v>
      </c>
      <c r="M208" t="s">
        <v>1101</v>
      </c>
      <c r="N208">
        <v>60</v>
      </c>
      <c r="O208">
        <v>5</v>
      </c>
      <c r="P208">
        <v>5</v>
      </c>
      <c r="Q208">
        <v>30</v>
      </c>
      <c r="R208">
        <v>0</v>
      </c>
      <c r="S208">
        <v>0</v>
      </c>
    </row>
    <row r="209" spans="1:19" x14ac:dyDescent="0.25">
      <c r="A209">
        <v>11</v>
      </c>
      <c r="D209" t="s">
        <v>1075</v>
      </c>
      <c r="E209">
        <v>90</v>
      </c>
      <c r="F209">
        <v>10</v>
      </c>
      <c r="G209">
        <v>0</v>
      </c>
      <c r="H209">
        <v>95</v>
      </c>
      <c r="I209">
        <v>15</v>
      </c>
      <c r="J209">
        <v>5</v>
      </c>
      <c r="K209" t="s">
        <v>1092</v>
      </c>
      <c r="L209" t="s">
        <v>1092</v>
      </c>
      <c r="M209" t="s">
        <v>1101</v>
      </c>
      <c r="N209">
        <v>63</v>
      </c>
      <c r="O209">
        <v>5</v>
      </c>
      <c r="P209">
        <v>5</v>
      </c>
      <c r="Q209">
        <v>30</v>
      </c>
      <c r="R209">
        <v>0</v>
      </c>
      <c r="S209">
        <v>0</v>
      </c>
    </row>
    <row r="210" spans="1:19" x14ac:dyDescent="0.25">
      <c r="A210">
        <v>12</v>
      </c>
      <c r="D210" t="s">
        <v>1076</v>
      </c>
      <c r="E210">
        <v>80</v>
      </c>
      <c r="F210">
        <v>10</v>
      </c>
      <c r="G210">
        <v>0</v>
      </c>
      <c r="H210">
        <v>95</v>
      </c>
      <c r="I210">
        <v>15</v>
      </c>
      <c r="J210">
        <v>5</v>
      </c>
      <c r="K210" t="s">
        <v>1092</v>
      </c>
      <c r="L210" t="s">
        <v>1092</v>
      </c>
      <c r="M210" t="s">
        <v>1101</v>
      </c>
      <c r="N210">
        <v>72</v>
      </c>
      <c r="O210">
        <v>5</v>
      </c>
      <c r="P210">
        <v>5</v>
      </c>
      <c r="Q210">
        <v>30</v>
      </c>
      <c r="R210">
        <v>0</v>
      </c>
      <c r="S210">
        <v>0</v>
      </c>
    </row>
    <row r="211" spans="1:19" x14ac:dyDescent="0.25">
      <c r="A211">
        <v>13</v>
      </c>
      <c r="D211" t="s">
        <v>1077</v>
      </c>
      <c r="E211">
        <v>80</v>
      </c>
      <c r="F211">
        <v>10</v>
      </c>
      <c r="G211">
        <v>0</v>
      </c>
      <c r="H211">
        <v>80</v>
      </c>
      <c r="I211">
        <v>15</v>
      </c>
      <c r="J211">
        <v>5</v>
      </c>
      <c r="K211" t="s">
        <v>1092</v>
      </c>
      <c r="L211" t="s">
        <v>1092</v>
      </c>
      <c r="M211" t="s">
        <v>1101</v>
      </c>
      <c r="N211">
        <v>79</v>
      </c>
      <c r="O211">
        <v>5</v>
      </c>
      <c r="P211">
        <v>5</v>
      </c>
      <c r="Q211">
        <v>30</v>
      </c>
      <c r="R211">
        <v>0</v>
      </c>
      <c r="S211">
        <v>0</v>
      </c>
    </row>
    <row r="212" spans="1:19" x14ac:dyDescent="0.25">
      <c r="A212">
        <v>14</v>
      </c>
      <c r="D212" t="s">
        <v>1078</v>
      </c>
      <c r="E212">
        <v>80</v>
      </c>
      <c r="F212">
        <v>0</v>
      </c>
      <c r="G212">
        <v>0</v>
      </c>
      <c r="H212">
        <v>80</v>
      </c>
      <c r="I212">
        <v>5</v>
      </c>
      <c r="J212">
        <v>5</v>
      </c>
      <c r="K212" t="s">
        <v>1092</v>
      </c>
      <c r="L212" t="s">
        <v>1101</v>
      </c>
      <c r="M212" t="s">
        <v>1101</v>
      </c>
      <c r="N212">
        <v>83</v>
      </c>
      <c r="O212">
        <v>3</v>
      </c>
      <c r="P212">
        <v>5</v>
      </c>
      <c r="Q212">
        <v>30</v>
      </c>
      <c r="R212">
        <v>0</v>
      </c>
      <c r="S212">
        <v>0</v>
      </c>
    </row>
    <row r="213" spans="1:19" x14ac:dyDescent="0.25">
      <c r="A213">
        <v>15</v>
      </c>
      <c r="D213" t="s">
        <v>1080</v>
      </c>
      <c r="E213">
        <v>80</v>
      </c>
      <c r="F213">
        <v>0</v>
      </c>
      <c r="G213">
        <v>0</v>
      </c>
      <c r="H213">
        <v>80</v>
      </c>
      <c r="I213">
        <v>5</v>
      </c>
      <c r="J213">
        <v>5</v>
      </c>
      <c r="K213" t="s">
        <v>1092</v>
      </c>
      <c r="L213" t="s">
        <v>1101</v>
      </c>
      <c r="M213" t="s">
        <v>1101</v>
      </c>
      <c r="N213">
        <v>61</v>
      </c>
      <c r="O213">
        <v>3</v>
      </c>
      <c r="P213">
        <v>3</v>
      </c>
      <c r="Q213">
        <v>30</v>
      </c>
      <c r="R213">
        <v>0</v>
      </c>
      <c r="S213">
        <v>0</v>
      </c>
    </row>
    <row r="214" spans="1:19" x14ac:dyDescent="0.25">
      <c r="A214">
        <v>16</v>
      </c>
      <c r="D214" t="s">
        <v>1082</v>
      </c>
      <c r="E214">
        <v>45</v>
      </c>
      <c r="F214">
        <v>0</v>
      </c>
      <c r="G214">
        <v>0</v>
      </c>
      <c r="H214">
        <v>70</v>
      </c>
      <c r="I214">
        <v>5</v>
      </c>
      <c r="J214">
        <v>5</v>
      </c>
      <c r="K214" t="s">
        <v>1092</v>
      </c>
      <c r="L214" t="s">
        <v>1101</v>
      </c>
      <c r="M214" t="s">
        <v>1101</v>
      </c>
      <c r="N214">
        <v>65</v>
      </c>
      <c r="O214">
        <v>3</v>
      </c>
      <c r="P214">
        <v>3</v>
      </c>
      <c r="Q214">
        <v>15</v>
      </c>
      <c r="R214">
        <v>0</v>
      </c>
      <c r="S214">
        <v>0</v>
      </c>
    </row>
    <row r="215" spans="1:19" x14ac:dyDescent="0.25">
      <c r="A215">
        <v>17</v>
      </c>
      <c r="D215" t="s">
        <v>1083</v>
      </c>
      <c r="E215">
        <v>15</v>
      </c>
      <c r="F215">
        <v>0</v>
      </c>
      <c r="G215">
        <v>0</v>
      </c>
      <c r="H215">
        <v>50</v>
      </c>
      <c r="I215">
        <v>5</v>
      </c>
      <c r="J215">
        <v>5</v>
      </c>
      <c r="K215" t="s">
        <v>1092</v>
      </c>
      <c r="L215" t="s">
        <v>1101</v>
      </c>
      <c r="M215" t="s">
        <v>1101</v>
      </c>
      <c r="N215">
        <v>10</v>
      </c>
      <c r="O215">
        <v>3</v>
      </c>
      <c r="P215">
        <v>3</v>
      </c>
      <c r="Q215">
        <v>0</v>
      </c>
      <c r="R215">
        <v>0</v>
      </c>
      <c r="S215">
        <v>0</v>
      </c>
    </row>
    <row r="216" spans="1:19" x14ac:dyDescent="0.25">
      <c r="A216">
        <v>18</v>
      </c>
      <c r="D216" t="s">
        <v>1084</v>
      </c>
      <c r="E216">
        <v>5</v>
      </c>
      <c r="F216">
        <v>0</v>
      </c>
      <c r="G216">
        <v>0</v>
      </c>
      <c r="H216">
        <v>50</v>
      </c>
      <c r="I216">
        <v>5</v>
      </c>
      <c r="J216">
        <v>5</v>
      </c>
      <c r="K216" t="s">
        <v>1092</v>
      </c>
      <c r="L216" t="s">
        <v>1101</v>
      </c>
      <c r="M216" t="s">
        <v>1101</v>
      </c>
      <c r="N216">
        <v>10</v>
      </c>
      <c r="O216">
        <v>3</v>
      </c>
      <c r="P216">
        <v>3</v>
      </c>
      <c r="Q216">
        <v>0</v>
      </c>
      <c r="R216">
        <v>0</v>
      </c>
      <c r="S216">
        <v>0</v>
      </c>
    </row>
    <row r="217" spans="1:19" x14ac:dyDescent="0.25">
      <c r="A217">
        <v>19</v>
      </c>
      <c r="D217" t="s">
        <v>1085</v>
      </c>
      <c r="E217">
        <v>15</v>
      </c>
      <c r="F217">
        <v>0</v>
      </c>
      <c r="G217">
        <v>0</v>
      </c>
      <c r="H217">
        <v>35</v>
      </c>
      <c r="I217">
        <v>5</v>
      </c>
      <c r="J217">
        <v>5</v>
      </c>
      <c r="K217" t="s">
        <v>1092</v>
      </c>
      <c r="L217" t="s">
        <v>1101</v>
      </c>
      <c r="M217" t="s">
        <v>1101</v>
      </c>
      <c r="N217">
        <v>19</v>
      </c>
      <c r="O217">
        <v>3</v>
      </c>
      <c r="P217">
        <v>3</v>
      </c>
      <c r="Q217">
        <v>0</v>
      </c>
      <c r="R217">
        <v>0</v>
      </c>
      <c r="S217">
        <v>0</v>
      </c>
    </row>
    <row r="218" spans="1:19" x14ac:dyDescent="0.25">
      <c r="A218">
        <v>20</v>
      </c>
      <c r="D218" t="s">
        <v>1086</v>
      </c>
      <c r="E218">
        <v>20</v>
      </c>
      <c r="F218">
        <v>0</v>
      </c>
      <c r="G218">
        <v>0</v>
      </c>
      <c r="H218">
        <v>35</v>
      </c>
      <c r="I218">
        <v>5</v>
      </c>
      <c r="J218">
        <v>5</v>
      </c>
      <c r="K218" t="s">
        <v>1092</v>
      </c>
      <c r="L218" t="s">
        <v>1101</v>
      </c>
      <c r="M218" t="s">
        <v>1101</v>
      </c>
      <c r="N218">
        <v>25</v>
      </c>
      <c r="O218">
        <v>3</v>
      </c>
      <c r="P218">
        <v>3</v>
      </c>
      <c r="Q218">
        <v>0</v>
      </c>
      <c r="R218">
        <v>0</v>
      </c>
      <c r="S218">
        <v>0</v>
      </c>
    </row>
    <row r="219" spans="1:19" x14ac:dyDescent="0.25">
      <c r="A219">
        <v>21</v>
      </c>
      <c r="D219" t="s">
        <v>1087</v>
      </c>
      <c r="E219">
        <v>20</v>
      </c>
      <c r="F219">
        <v>0</v>
      </c>
      <c r="G219">
        <v>0</v>
      </c>
      <c r="H219">
        <v>35</v>
      </c>
      <c r="I219">
        <v>5</v>
      </c>
      <c r="J219">
        <v>5</v>
      </c>
      <c r="K219" t="s">
        <v>1092</v>
      </c>
      <c r="L219" t="s">
        <v>1101</v>
      </c>
      <c r="M219" t="s">
        <v>1101</v>
      </c>
      <c r="N219">
        <v>22</v>
      </c>
      <c r="O219">
        <v>3</v>
      </c>
      <c r="P219">
        <v>3</v>
      </c>
      <c r="Q219">
        <v>0</v>
      </c>
      <c r="R219">
        <v>0</v>
      </c>
      <c r="S219">
        <v>0</v>
      </c>
    </row>
    <row r="220" spans="1:19" x14ac:dyDescent="0.25">
      <c r="A220">
        <v>22</v>
      </c>
      <c r="D220" t="s">
        <v>1088</v>
      </c>
      <c r="E220">
        <v>10</v>
      </c>
      <c r="F220">
        <v>0</v>
      </c>
      <c r="G220">
        <v>0</v>
      </c>
      <c r="H220">
        <v>30</v>
      </c>
      <c r="I220">
        <v>5</v>
      </c>
      <c r="J220">
        <v>5</v>
      </c>
      <c r="K220" t="s">
        <v>1092</v>
      </c>
      <c r="L220" t="s">
        <v>1101</v>
      </c>
      <c r="M220" t="s">
        <v>1101</v>
      </c>
      <c r="N220">
        <v>22</v>
      </c>
      <c r="O220">
        <v>3</v>
      </c>
      <c r="P220">
        <v>3</v>
      </c>
      <c r="Q220">
        <v>0</v>
      </c>
      <c r="R220">
        <v>0</v>
      </c>
      <c r="S220">
        <v>0</v>
      </c>
    </row>
    <row r="221" spans="1:19" x14ac:dyDescent="0.25">
      <c r="A221">
        <v>23</v>
      </c>
      <c r="D221" t="s">
        <v>1089</v>
      </c>
      <c r="E221">
        <v>0</v>
      </c>
      <c r="F221">
        <v>0</v>
      </c>
      <c r="G221">
        <v>0</v>
      </c>
      <c r="H221">
        <v>5</v>
      </c>
      <c r="I221">
        <v>5</v>
      </c>
      <c r="J221">
        <v>5</v>
      </c>
      <c r="K221" t="s">
        <v>1101</v>
      </c>
      <c r="L221" t="s">
        <v>1101</v>
      </c>
      <c r="M221" t="s">
        <v>1101</v>
      </c>
      <c r="N221">
        <v>12</v>
      </c>
      <c r="O221">
        <v>3</v>
      </c>
      <c r="P221">
        <v>3</v>
      </c>
      <c r="Q221">
        <v>0</v>
      </c>
      <c r="R221">
        <v>0</v>
      </c>
      <c r="S221">
        <v>0</v>
      </c>
    </row>
    <row r="222" spans="1:19" x14ac:dyDescent="0.25">
      <c r="A222">
        <v>24</v>
      </c>
      <c r="D222" t="s">
        <v>1090</v>
      </c>
      <c r="E222">
        <v>0</v>
      </c>
      <c r="F222">
        <v>0</v>
      </c>
      <c r="G222">
        <v>0</v>
      </c>
      <c r="H222">
        <v>5</v>
      </c>
      <c r="I222">
        <v>5</v>
      </c>
      <c r="J222">
        <v>5</v>
      </c>
      <c r="K222" t="s">
        <v>1101</v>
      </c>
      <c r="L222" t="s">
        <v>1101</v>
      </c>
      <c r="M222" t="s">
        <v>1101</v>
      </c>
      <c r="N222">
        <v>9</v>
      </c>
      <c r="O222">
        <v>3</v>
      </c>
      <c r="P222">
        <v>3</v>
      </c>
      <c r="Q222">
        <v>0</v>
      </c>
      <c r="R222">
        <v>0</v>
      </c>
      <c r="S222">
        <v>0</v>
      </c>
    </row>
    <row r="224" spans="1:19" x14ac:dyDescent="0.25">
      <c r="A224" t="s">
        <v>1072</v>
      </c>
      <c r="D224" t="s">
        <v>1048</v>
      </c>
      <c r="E224" t="s">
        <v>498</v>
      </c>
      <c r="H224" t="s">
        <v>500</v>
      </c>
      <c r="K224" t="s">
        <v>1045</v>
      </c>
      <c r="N224" t="s">
        <v>1049</v>
      </c>
      <c r="Q224" t="s">
        <v>1039</v>
      </c>
    </row>
    <row r="225" spans="1:19" x14ac:dyDescent="0.25">
      <c r="E225" t="s">
        <v>1040</v>
      </c>
      <c r="F225" t="s">
        <v>1046</v>
      </c>
      <c r="G225" t="s">
        <v>1053</v>
      </c>
      <c r="H225" t="s">
        <v>1040</v>
      </c>
      <c r="I225" t="s">
        <v>1046</v>
      </c>
      <c r="J225" t="s">
        <v>1053</v>
      </c>
      <c r="K225" t="s">
        <v>1040</v>
      </c>
      <c r="L225" t="s">
        <v>1046</v>
      </c>
      <c r="M225" t="s">
        <v>1053</v>
      </c>
      <c r="N225" t="s">
        <v>1040</v>
      </c>
      <c r="O225" t="s">
        <v>1046</v>
      </c>
      <c r="P225" t="s">
        <v>1053</v>
      </c>
      <c r="Q225" t="s">
        <v>1040</v>
      </c>
      <c r="R225" t="s">
        <v>1046</v>
      </c>
      <c r="S225" t="s">
        <v>1053</v>
      </c>
    </row>
    <row r="226" spans="1:19" x14ac:dyDescent="0.25">
      <c r="A226">
        <v>1</v>
      </c>
      <c r="D226" t="s">
        <v>1056</v>
      </c>
      <c r="E226">
        <v>0</v>
      </c>
      <c r="F226">
        <v>0</v>
      </c>
      <c r="G226">
        <v>0</v>
      </c>
      <c r="H226">
        <v>5</v>
      </c>
      <c r="I226">
        <v>5</v>
      </c>
      <c r="J226">
        <v>5</v>
      </c>
      <c r="K226" t="s">
        <v>1101</v>
      </c>
      <c r="L226" t="s">
        <v>1101</v>
      </c>
      <c r="M226" t="s">
        <v>1101</v>
      </c>
      <c r="N226">
        <v>2</v>
      </c>
      <c r="O226">
        <v>2</v>
      </c>
      <c r="P226">
        <v>2</v>
      </c>
      <c r="Q226">
        <v>0</v>
      </c>
      <c r="R226">
        <v>0</v>
      </c>
      <c r="S226">
        <v>0</v>
      </c>
    </row>
    <row r="227" spans="1:19" x14ac:dyDescent="0.25">
      <c r="A227">
        <v>2</v>
      </c>
      <c r="D227" t="s">
        <v>1057</v>
      </c>
      <c r="E227">
        <v>0</v>
      </c>
      <c r="F227">
        <v>0</v>
      </c>
      <c r="G227">
        <v>0</v>
      </c>
      <c r="H227">
        <v>5</v>
      </c>
      <c r="I227">
        <v>5</v>
      </c>
      <c r="J227">
        <v>5</v>
      </c>
      <c r="K227" t="s">
        <v>1101</v>
      </c>
      <c r="L227" t="s">
        <v>1101</v>
      </c>
      <c r="M227" t="s">
        <v>1101</v>
      </c>
      <c r="N227">
        <v>2</v>
      </c>
      <c r="O227">
        <v>2</v>
      </c>
      <c r="P227">
        <v>2</v>
      </c>
      <c r="Q227">
        <v>0</v>
      </c>
      <c r="R227">
        <v>0</v>
      </c>
      <c r="S227">
        <v>0</v>
      </c>
    </row>
    <row r="228" spans="1:19" x14ac:dyDescent="0.25">
      <c r="A228">
        <v>3</v>
      </c>
      <c r="D228" t="s">
        <v>1059</v>
      </c>
      <c r="E228">
        <v>0</v>
      </c>
      <c r="F228">
        <v>0</v>
      </c>
      <c r="G228">
        <v>0</v>
      </c>
      <c r="H228">
        <v>5</v>
      </c>
      <c r="I228">
        <v>5</v>
      </c>
      <c r="J228">
        <v>5</v>
      </c>
      <c r="K228" t="s">
        <v>1101</v>
      </c>
      <c r="L228" t="s">
        <v>1101</v>
      </c>
      <c r="M228" t="s">
        <v>1101</v>
      </c>
      <c r="N228">
        <v>2</v>
      </c>
      <c r="O228">
        <v>2</v>
      </c>
      <c r="P228">
        <v>2</v>
      </c>
      <c r="Q228">
        <v>0</v>
      </c>
      <c r="R228">
        <v>0</v>
      </c>
      <c r="S228">
        <v>0</v>
      </c>
    </row>
    <row r="229" spans="1:19" x14ac:dyDescent="0.25">
      <c r="A229">
        <v>4</v>
      </c>
      <c r="D229" t="s">
        <v>1061</v>
      </c>
      <c r="E229">
        <v>0</v>
      </c>
      <c r="F229">
        <v>0</v>
      </c>
      <c r="G229">
        <v>0</v>
      </c>
      <c r="H229">
        <v>5</v>
      </c>
      <c r="I229">
        <v>5</v>
      </c>
      <c r="J229">
        <v>5</v>
      </c>
      <c r="K229" t="s">
        <v>1101</v>
      </c>
      <c r="L229" t="s">
        <v>1101</v>
      </c>
      <c r="M229" t="s">
        <v>1101</v>
      </c>
      <c r="N229">
        <v>2</v>
      </c>
      <c r="O229">
        <v>2</v>
      </c>
      <c r="P229">
        <v>2</v>
      </c>
      <c r="Q229">
        <v>0</v>
      </c>
      <c r="R229">
        <v>0</v>
      </c>
      <c r="S229">
        <v>0</v>
      </c>
    </row>
    <row r="230" spans="1:19" x14ac:dyDescent="0.25">
      <c r="A230">
        <v>5</v>
      </c>
      <c r="D230" t="s">
        <v>1063</v>
      </c>
      <c r="E230">
        <v>0</v>
      </c>
      <c r="F230">
        <v>0</v>
      </c>
      <c r="G230">
        <v>0</v>
      </c>
      <c r="H230">
        <v>5</v>
      </c>
      <c r="I230">
        <v>5</v>
      </c>
      <c r="J230">
        <v>5</v>
      </c>
      <c r="K230" t="s">
        <v>1101</v>
      </c>
      <c r="L230" t="s">
        <v>1101</v>
      </c>
      <c r="M230" t="s">
        <v>1101</v>
      </c>
      <c r="N230">
        <v>5</v>
      </c>
      <c r="O230">
        <v>2</v>
      </c>
      <c r="P230">
        <v>2</v>
      </c>
      <c r="Q230">
        <v>0</v>
      </c>
      <c r="R230">
        <v>0</v>
      </c>
      <c r="S230">
        <v>0</v>
      </c>
    </row>
    <row r="231" spans="1:19" x14ac:dyDescent="0.25">
      <c r="A231">
        <v>6</v>
      </c>
      <c r="D231" t="s">
        <v>1065</v>
      </c>
      <c r="E231">
        <v>0</v>
      </c>
      <c r="F231">
        <v>0</v>
      </c>
      <c r="G231">
        <v>0</v>
      </c>
      <c r="H231">
        <v>5</v>
      </c>
      <c r="I231">
        <v>5</v>
      </c>
      <c r="J231">
        <v>5</v>
      </c>
      <c r="K231" t="s">
        <v>1101</v>
      </c>
      <c r="L231" t="s">
        <v>1101</v>
      </c>
      <c r="M231" t="s">
        <v>1101</v>
      </c>
      <c r="N231">
        <v>7</v>
      </c>
      <c r="O231">
        <v>2</v>
      </c>
      <c r="P231">
        <v>2</v>
      </c>
      <c r="Q231">
        <v>0</v>
      </c>
      <c r="R231">
        <v>0</v>
      </c>
      <c r="S231">
        <v>0</v>
      </c>
    </row>
    <row r="232" spans="1:19" x14ac:dyDescent="0.25">
      <c r="A232">
        <v>7</v>
      </c>
      <c r="D232" t="s">
        <v>1067</v>
      </c>
      <c r="E232">
        <v>0</v>
      </c>
      <c r="F232">
        <v>0</v>
      </c>
      <c r="G232">
        <v>0</v>
      </c>
      <c r="H232">
        <v>5</v>
      </c>
      <c r="I232">
        <v>5</v>
      </c>
      <c r="J232">
        <v>5</v>
      </c>
      <c r="K232" t="s">
        <v>1101</v>
      </c>
      <c r="L232" t="s">
        <v>1101</v>
      </c>
      <c r="M232" t="s">
        <v>1101</v>
      </c>
      <c r="N232">
        <v>7</v>
      </c>
      <c r="O232">
        <v>2</v>
      </c>
      <c r="P232">
        <v>2</v>
      </c>
      <c r="Q232">
        <v>0</v>
      </c>
      <c r="R232">
        <v>0</v>
      </c>
      <c r="S232">
        <v>0</v>
      </c>
    </row>
    <row r="233" spans="1:19" x14ac:dyDescent="0.25">
      <c r="A233">
        <v>8</v>
      </c>
      <c r="D233" t="s">
        <v>1069</v>
      </c>
      <c r="E233">
        <v>15</v>
      </c>
      <c r="F233">
        <v>0</v>
      </c>
      <c r="G233">
        <v>0</v>
      </c>
      <c r="H233">
        <v>40</v>
      </c>
      <c r="I233">
        <v>5</v>
      </c>
      <c r="J233">
        <v>5</v>
      </c>
      <c r="K233" t="s">
        <v>1092</v>
      </c>
      <c r="L233" t="s">
        <v>1101</v>
      </c>
      <c r="M233" t="s">
        <v>1101</v>
      </c>
      <c r="N233">
        <v>10</v>
      </c>
      <c r="O233">
        <v>2</v>
      </c>
      <c r="P233">
        <v>2</v>
      </c>
      <c r="Q233">
        <v>0</v>
      </c>
      <c r="R233">
        <v>0</v>
      </c>
      <c r="S233">
        <v>0</v>
      </c>
    </row>
    <row r="234" spans="1:19" x14ac:dyDescent="0.25">
      <c r="A234">
        <v>9</v>
      </c>
      <c r="D234" t="s">
        <v>1071</v>
      </c>
      <c r="E234">
        <v>70</v>
      </c>
      <c r="F234">
        <v>20</v>
      </c>
      <c r="G234">
        <v>0</v>
      </c>
      <c r="H234">
        <v>70</v>
      </c>
      <c r="I234">
        <v>8</v>
      </c>
      <c r="J234">
        <v>5</v>
      </c>
      <c r="K234" t="s">
        <v>1092</v>
      </c>
      <c r="L234" t="s">
        <v>1092</v>
      </c>
      <c r="M234" t="s">
        <v>1101</v>
      </c>
      <c r="N234">
        <v>30</v>
      </c>
      <c r="O234">
        <v>6</v>
      </c>
      <c r="P234">
        <v>2</v>
      </c>
      <c r="Q234">
        <v>0</v>
      </c>
      <c r="R234">
        <v>0</v>
      </c>
      <c r="S234">
        <v>0</v>
      </c>
    </row>
    <row r="235" spans="1:19" x14ac:dyDescent="0.25">
      <c r="A235">
        <v>10</v>
      </c>
      <c r="D235" t="s">
        <v>1073</v>
      </c>
      <c r="E235">
        <v>90</v>
      </c>
      <c r="F235">
        <v>20</v>
      </c>
      <c r="G235">
        <v>0</v>
      </c>
      <c r="H235">
        <v>90</v>
      </c>
      <c r="I235">
        <v>24</v>
      </c>
      <c r="J235">
        <v>5</v>
      </c>
      <c r="K235" t="s">
        <v>1092</v>
      </c>
      <c r="L235" t="s">
        <v>1092</v>
      </c>
      <c r="M235" t="s">
        <v>1101</v>
      </c>
      <c r="N235">
        <v>36</v>
      </c>
      <c r="O235">
        <v>12</v>
      </c>
      <c r="P235">
        <v>2</v>
      </c>
      <c r="Q235">
        <v>0</v>
      </c>
      <c r="R235">
        <v>0</v>
      </c>
      <c r="S235">
        <v>0</v>
      </c>
    </row>
    <row r="236" spans="1:19" x14ac:dyDescent="0.25">
      <c r="A236">
        <v>11</v>
      </c>
      <c r="D236" t="s">
        <v>1075</v>
      </c>
      <c r="E236">
        <v>90</v>
      </c>
      <c r="F236">
        <v>20</v>
      </c>
      <c r="G236">
        <v>0</v>
      </c>
      <c r="H236">
        <v>90</v>
      </c>
      <c r="I236">
        <v>24</v>
      </c>
      <c r="J236">
        <v>5</v>
      </c>
      <c r="K236" t="s">
        <v>1092</v>
      </c>
      <c r="L236" t="s">
        <v>1092</v>
      </c>
      <c r="M236" t="s">
        <v>1101</v>
      </c>
      <c r="N236">
        <v>36</v>
      </c>
      <c r="O236">
        <v>12</v>
      </c>
      <c r="P236">
        <v>2</v>
      </c>
      <c r="Q236">
        <v>30</v>
      </c>
      <c r="R236">
        <v>0</v>
      </c>
      <c r="S236">
        <v>0</v>
      </c>
    </row>
    <row r="237" spans="1:19" x14ac:dyDescent="0.25">
      <c r="A237">
        <v>12</v>
      </c>
      <c r="D237" t="s">
        <v>1076</v>
      </c>
      <c r="E237">
        <v>90</v>
      </c>
      <c r="F237">
        <v>20</v>
      </c>
      <c r="G237">
        <v>0</v>
      </c>
      <c r="H237">
        <v>90</v>
      </c>
      <c r="I237">
        <v>24</v>
      </c>
      <c r="J237">
        <v>5</v>
      </c>
      <c r="K237" t="s">
        <v>1092</v>
      </c>
      <c r="L237" t="s">
        <v>1092</v>
      </c>
      <c r="M237" t="s">
        <v>1101</v>
      </c>
      <c r="N237">
        <v>46</v>
      </c>
      <c r="O237">
        <v>17</v>
      </c>
      <c r="P237">
        <v>2</v>
      </c>
      <c r="Q237">
        <v>0</v>
      </c>
      <c r="R237">
        <v>0</v>
      </c>
      <c r="S237">
        <v>0</v>
      </c>
    </row>
    <row r="238" spans="1:19" x14ac:dyDescent="0.25">
      <c r="A238">
        <v>13</v>
      </c>
      <c r="D238" t="s">
        <v>1077</v>
      </c>
      <c r="E238">
        <v>50</v>
      </c>
      <c r="F238">
        <v>10</v>
      </c>
      <c r="G238">
        <v>0</v>
      </c>
      <c r="H238">
        <v>80</v>
      </c>
      <c r="I238">
        <v>5</v>
      </c>
      <c r="J238">
        <v>5</v>
      </c>
      <c r="K238" t="s">
        <v>1092</v>
      </c>
      <c r="L238" t="s">
        <v>1092</v>
      </c>
      <c r="M238" t="s">
        <v>1101</v>
      </c>
      <c r="N238">
        <v>57</v>
      </c>
      <c r="O238">
        <v>4</v>
      </c>
      <c r="P238">
        <v>4</v>
      </c>
      <c r="Q238">
        <v>0</v>
      </c>
      <c r="R238">
        <v>0</v>
      </c>
      <c r="S238">
        <v>0</v>
      </c>
    </row>
    <row r="239" spans="1:19" x14ac:dyDescent="0.25">
      <c r="A239">
        <v>14</v>
      </c>
      <c r="D239" t="s">
        <v>1078</v>
      </c>
      <c r="E239">
        <v>85</v>
      </c>
      <c r="F239">
        <v>10</v>
      </c>
      <c r="G239">
        <v>0</v>
      </c>
      <c r="H239">
        <v>90</v>
      </c>
      <c r="I239">
        <v>5</v>
      </c>
      <c r="J239">
        <v>5</v>
      </c>
      <c r="K239" t="s">
        <v>1092</v>
      </c>
      <c r="L239" t="s">
        <v>1092</v>
      </c>
      <c r="M239" t="s">
        <v>1101</v>
      </c>
      <c r="N239">
        <v>43</v>
      </c>
      <c r="O239">
        <v>4</v>
      </c>
      <c r="P239">
        <v>4</v>
      </c>
      <c r="Q239">
        <v>0</v>
      </c>
      <c r="R239">
        <v>0</v>
      </c>
      <c r="S239">
        <v>0</v>
      </c>
    </row>
    <row r="240" spans="1:19" x14ac:dyDescent="0.25">
      <c r="A240">
        <v>15</v>
      </c>
      <c r="D240" t="s">
        <v>1080</v>
      </c>
      <c r="E240">
        <v>85</v>
      </c>
      <c r="F240">
        <v>10</v>
      </c>
      <c r="G240">
        <v>0</v>
      </c>
      <c r="H240">
        <v>90</v>
      </c>
      <c r="I240">
        <v>5</v>
      </c>
      <c r="J240">
        <v>5</v>
      </c>
      <c r="K240" t="s">
        <v>1092</v>
      </c>
      <c r="L240" t="s">
        <v>1092</v>
      </c>
      <c r="M240" t="s">
        <v>1101</v>
      </c>
      <c r="N240">
        <v>38</v>
      </c>
      <c r="O240">
        <v>2</v>
      </c>
      <c r="P240">
        <v>2</v>
      </c>
      <c r="Q240">
        <v>0</v>
      </c>
      <c r="R240">
        <v>0</v>
      </c>
      <c r="S240">
        <v>0</v>
      </c>
    </row>
    <row r="241" spans="1:19" x14ac:dyDescent="0.25">
      <c r="A241">
        <v>16</v>
      </c>
      <c r="D241" t="s">
        <v>1082</v>
      </c>
      <c r="E241">
        <v>85</v>
      </c>
      <c r="F241">
        <v>10</v>
      </c>
      <c r="G241">
        <v>0</v>
      </c>
      <c r="H241">
        <v>90</v>
      </c>
      <c r="I241">
        <v>5</v>
      </c>
      <c r="J241">
        <v>5</v>
      </c>
      <c r="K241" t="s">
        <v>1092</v>
      </c>
      <c r="L241" t="s">
        <v>1092</v>
      </c>
      <c r="M241" t="s">
        <v>1101</v>
      </c>
      <c r="N241">
        <v>40</v>
      </c>
      <c r="O241">
        <v>2</v>
      </c>
      <c r="P241">
        <v>2</v>
      </c>
      <c r="Q241">
        <v>40</v>
      </c>
      <c r="R241">
        <v>0</v>
      </c>
      <c r="S241">
        <v>0</v>
      </c>
    </row>
    <row r="242" spans="1:19" x14ac:dyDescent="0.25">
      <c r="A242">
        <v>17</v>
      </c>
      <c r="D242" t="s">
        <v>1083</v>
      </c>
      <c r="E242">
        <v>20</v>
      </c>
      <c r="F242">
        <v>0</v>
      </c>
      <c r="G242">
        <v>0</v>
      </c>
      <c r="H242">
        <v>90</v>
      </c>
      <c r="I242">
        <v>5</v>
      </c>
      <c r="J242">
        <v>5</v>
      </c>
      <c r="K242" t="s">
        <v>1092</v>
      </c>
      <c r="L242" t="s">
        <v>1101</v>
      </c>
      <c r="M242" t="s">
        <v>1101</v>
      </c>
      <c r="N242">
        <v>30</v>
      </c>
      <c r="O242">
        <v>2</v>
      </c>
      <c r="P242">
        <v>2</v>
      </c>
      <c r="Q242">
        <v>0</v>
      </c>
      <c r="R242">
        <v>0</v>
      </c>
      <c r="S242">
        <v>0</v>
      </c>
    </row>
    <row r="243" spans="1:19" x14ac:dyDescent="0.25">
      <c r="A243">
        <v>18</v>
      </c>
      <c r="D243" t="s">
        <v>1084</v>
      </c>
      <c r="E243">
        <v>0</v>
      </c>
      <c r="F243">
        <v>0</v>
      </c>
      <c r="G243">
        <v>0</v>
      </c>
      <c r="H243">
        <v>30</v>
      </c>
      <c r="I243">
        <v>5</v>
      </c>
      <c r="J243">
        <v>5</v>
      </c>
      <c r="K243" t="s">
        <v>1101</v>
      </c>
      <c r="L243" t="s">
        <v>1101</v>
      </c>
      <c r="M243" t="s">
        <v>1101</v>
      </c>
      <c r="N243">
        <v>18</v>
      </c>
      <c r="O243">
        <v>2</v>
      </c>
      <c r="P243">
        <v>2</v>
      </c>
      <c r="Q243">
        <v>0</v>
      </c>
      <c r="R243">
        <v>0</v>
      </c>
      <c r="S243">
        <v>0</v>
      </c>
    </row>
    <row r="244" spans="1:19" x14ac:dyDescent="0.25">
      <c r="A244">
        <v>19</v>
      </c>
      <c r="D244" t="s">
        <v>1085</v>
      </c>
      <c r="E244">
        <v>0</v>
      </c>
      <c r="F244">
        <v>0</v>
      </c>
      <c r="G244">
        <v>0</v>
      </c>
      <c r="H244">
        <v>5</v>
      </c>
      <c r="I244">
        <v>5</v>
      </c>
      <c r="J244">
        <v>5</v>
      </c>
      <c r="K244" t="s">
        <v>1101</v>
      </c>
      <c r="L244" t="s">
        <v>1101</v>
      </c>
      <c r="M244" t="s">
        <v>1101</v>
      </c>
      <c r="N244">
        <v>3</v>
      </c>
      <c r="O244">
        <v>2</v>
      </c>
      <c r="P244">
        <v>2</v>
      </c>
      <c r="Q244">
        <v>0</v>
      </c>
      <c r="R244">
        <v>0</v>
      </c>
      <c r="S244">
        <v>0</v>
      </c>
    </row>
    <row r="245" spans="1:19" x14ac:dyDescent="0.25">
      <c r="A245">
        <v>20</v>
      </c>
      <c r="D245" t="s">
        <v>1086</v>
      </c>
      <c r="E245">
        <v>0</v>
      </c>
      <c r="F245">
        <v>0</v>
      </c>
      <c r="G245">
        <v>0</v>
      </c>
      <c r="H245">
        <v>5</v>
      </c>
      <c r="I245">
        <v>5</v>
      </c>
      <c r="J245">
        <v>5</v>
      </c>
      <c r="K245" t="s">
        <v>1101</v>
      </c>
      <c r="L245" t="s">
        <v>1101</v>
      </c>
      <c r="M245" t="s">
        <v>1101</v>
      </c>
      <c r="N245">
        <v>3</v>
      </c>
      <c r="O245">
        <v>2</v>
      </c>
      <c r="P245">
        <v>2</v>
      </c>
      <c r="Q245">
        <v>0</v>
      </c>
      <c r="R245">
        <v>0</v>
      </c>
      <c r="S245">
        <v>0</v>
      </c>
    </row>
    <row r="246" spans="1:19" x14ac:dyDescent="0.25">
      <c r="A246">
        <v>21</v>
      </c>
      <c r="D246" t="s">
        <v>1087</v>
      </c>
      <c r="E246">
        <v>0</v>
      </c>
      <c r="F246">
        <v>0</v>
      </c>
      <c r="G246">
        <v>0</v>
      </c>
      <c r="H246">
        <v>5</v>
      </c>
      <c r="I246">
        <v>5</v>
      </c>
      <c r="J246">
        <v>5</v>
      </c>
      <c r="K246" t="s">
        <v>1101</v>
      </c>
      <c r="L246" t="s">
        <v>1101</v>
      </c>
      <c r="M246" t="s">
        <v>1101</v>
      </c>
      <c r="N246">
        <v>3</v>
      </c>
      <c r="O246">
        <v>2</v>
      </c>
      <c r="P246">
        <v>2</v>
      </c>
      <c r="Q246">
        <v>0</v>
      </c>
      <c r="R246">
        <v>0</v>
      </c>
      <c r="S246">
        <v>0</v>
      </c>
    </row>
    <row r="247" spans="1:19" x14ac:dyDescent="0.25">
      <c r="A247">
        <v>22</v>
      </c>
      <c r="D247" t="s">
        <v>1088</v>
      </c>
      <c r="E247">
        <v>0</v>
      </c>
      <c r="F247">
        <v>0</v>
      </c>
      <c r="G247">
        <v>0</v>
      </c>
      <c r="H247">
        <v>5</v>
      </c>
      <c r="I247">
        <v>5</v>
      </c>
      <c r="J247">
        <v>5</v>
      </c>
      <c r="K247" t="s">
        <v>1101</v>
      </c>
      <c r="L247" t="s">
        <v>1101</v>
      </c>
      <c r="M247" t="s">
        <v>1101</v>
      </c>
      <c r="N247">
        <v>3</v>
      </c>
      <c r="O247">
        <v>2</v>
      </c>
      <c r="P247">
        <v>2</v>
      </c>
      <c r="Q247">
        <v>0</v>
      </c>
      <c r="R247">
        <v>0</v>
      </c>
      <c r="S247">
        <v>0</v>
      </c>
    </row>
    <row r="248" spans="1:19" x14ac:dyDescent="0.25">
      <c r="A248">
        <v>23</v>
      </c>
      <c r="D248" t="s">
        <v>1089</v>
      </c>
      <c r="E248">
        <v>0</v>
      </c>
      <c r="F248">
        <v>0</v>
      </c>
      <c r="G248">
        <v>0</v>
      </c>
      <c r="H248">
        <v>5</v>
      </c>
      <c r="I248">
        <v>5</v>
      </c>
      <c r="J248">
        <v>5</v>
      </c>
      <c r="K248" t="s">
        <v>1101</v>
      </c>
      <c r="L248" t="s">
        <v>1101</v>
      </c>
      <c r="M248" t="s">
        <v>1101</v>
      </c>
      <c r="N248">
        <v>3</v>
      </c>
      <c r="O248">
        <v>2</v>
      </c>
      <c r="P248">
        <v>2</v>
      </c>
      <c r="Q248">
        <v>0</v>
      </c>
      <c r="R248">
        <v>0</v>
      </c>
      <c r="S248">
        <v>0</v>
      </c>
    </row>
    <row r="249" spans="1:19" x14ac:dyDescent="0.25">
      <c r="A249">
        <v>24</v>
      </c>
      <c r="D249" t="s">
        <v>1090</v>
      </c>
      <c r="E249">
        <v>0</v>
      </c>
      <c r="F249">
        <v>0</v>
      </c>
      <c r="G249">
        <v>0</v>
      </c>
      <c r="H249">
        <v>5</v>
      </c>
      <c r="I249">
        <v>5</v>
      </c>
      <c r="J249">
        <v>5</v>
      </c>
      <c r="K249" t="s">
        <v>1101</v>
      </c>
      <c r="L249" t="s">
        <v>1101</v>
      </c>
      <c r="M249" t="s">
        <v>1101</v>
      </c>
      <c r="N249">
        <v>3</v>
      </c>
      <c r="O249">
        <v>2</v>
      </c>
      <c r="P249">
        <v>2</v>
      </c>
      <c r="Q249">
        <v>0</v>
      </c>
      <c r="R249">
        <v>0</v>
      </c>
      <c r="S249">
        <v>0</v>
      </c>
    </row>
    <row r="251" spans="1:19" x14ac:dyDescent="0.25">
      <c r="A251" t="s">
        <v>1044</v>
      </c>
      <c r="D251" t="s">
        <v>1048</v>
      </c>
      <c r="E251" t="s">
        <v>498</v>
      </c>
      <c r="H251" t="s">
        <v>500</v>
      </c>
      <c r="K251" t="s">
        <v>1045</v>
      </c>
      <c r="N251" t="s">
        <v>1049</v>
      </c>
      <c r="Q251" t="s">
        <v>1039</v>
      </c>
    </row>
    <row r="252" spans="1:19" x14ac:dyDescent="0.25">
      <c r="E252" t="s">
        <v>1040</v>
      </c>
      <c r="F252" t="s">
        <v>1046</v>
      </c>
      <c r="G252" t="s">
        <v>1053</v>
      </c>
      <c r="H252" t="s">
        <v>1040</v>
      </c>
      <c r="I252" t="s">
        <v>1046</v>
      </c>
      <c r="J252" t="s">
        <v>1053</v>
      </c>
      <c r="K252" t="s">
        <v>1040</v>
      </c>
      <c r="L252" t="s">
        <v>1046</v>
      </c>
      <c r="M252" t="s">
        <v>1053</v>
      </c>
      <c r="N252" t="s">
        <v>1040</v>
      </c>
      <c r="O252" t="s">
        <v>1046</v>
      </c>
      <c r="P252" t="s">
        <v>1053</v>
      </c>
      <c r="Q252" t="s">
        <v>1040</v>
      </c>
      <c r="R252" t="s">
        <v>1046</v>
      </c>
      <c r="S252" t="s">
        <v>1053</v>
      </c>
    </row>
    <row r="253" spans="1:19" x14ac:dyDescent="0.25">
      <c r="A253">
        <v>1</v>
      </c>
      <c r="D253" t="s">
        <v>1056</v>
      </c>
      <c r="E253">
        <v>0</v>
      </c>
      <c r="F253">
        <v>0</v>
      </c>
      <c r="G253">
        <v>0</v>
      </c>
      <c r="H253">
        <v>5</v>
      </c>
      <c r="I253">
        <v>5</v>
      </c>
      <c r="J253">
        <v>5</v>
      </c>
      <c r="K253" t="s">
        <v>1101</v>
      </c>
      <c r="L253" t="s">
        <v>1101</v>
      </c>
      <c r="M253" t="s">
        <v>1101</v>
      </c>
    </row>
    <row r="254" spans="1:19" x14ac:dyDescent="0.25">
      <c r="A254">
        <v>2</v>
      </c>
      <c r="D254" t="s">
        <v>1057</v>
      </c>
      <c r="E254">
        <v>0</v>
      </c>
      <c r="F254">
        <v>0</v>
      </c>
      <c r="G254">
        <v>0</v>
      </c>
      <c r="H254">
        <v>5</v>
      </c>
      <c r="I254">
        <v>5</v>
      </c>
      <c r="J254">
        <v>5</v>
      </c>
      <c r="K254" t="s">
        <v>1101</v>
      </c>
      <c r="L254" t="s">
        <v>1101</v>
      </c>
      <c r="M254" t="s">
        <v>1101</v>
      </c>
    </row>
    <row r="255" spans="1:19" x14ac:dyDescent="0.25">
      <c r="A255">
        <v>3</v>
      </c>
      <c r="D255" t="s">
        <v>1059</v>
      </c>
      <c r="E255">
        <v>0</v>
      </c>
      <c r="F255">
        <v>0</v>
      </c>
      <c r="G255">
        <v>0</v>
      </c>
      <c r="H255">
        <v>5</v>
      </c>
      <c r="I255">
        <v>5</v>
      </c>
      <c r="J255">
        <v>5</v>
      </c>
      <c r="K255" t="s">
        <v>1101</v>
      </c>
      <c r="L255" t="s">
        <v>1101</v>
      </c>
      <c r="M255" t="s">
        <v>1101</v>
      </c>
    </row>
    <row r="256" spans="1:19" x14ac:dyDescent="0.25">
      <c r="A256">
        <v>4</v>
      </c>
      <c r="D256" t="s">
        <v>1061</v>
      </c>
      <c r="E256">
        <v>0</v>
      </c>
      <c r="F256">
        <v>0</v>
      </c>
      <c r="G256">
        <v>0</v>
      </c>
      <c r="H256">
        <v>5</v>
      </c>
      <c r="I256">
        <v>5</v>
      </c>
      <c r="J256">
        <v>5</v>
      </c>
      <c r="K256" t="s">
        <v>1101</v>
      </c>
      <c r="L256" t="s">
        <v>1101</v>
      </c>
      <c r="M256" t="s">
        <v>1101</v>
      </c>
    </row>
    <row r="257" spans="1:13" x14ac:dyDescent="0.25">
      <c r="A257">
        <v>5</v>
      </c>
      <c r="D257" t="s">
        <v>1063</v>
      </c>
      <c r="E257">
        <v>0</v>
      </c>
      <c r="F257">
        <v>0</v>
      </c>
      <c r="G257">
        <v>0</v>
      </c>
      <c r="H257">
        <v>5</v>
      </c>
      <c r="I257">
        <v>5</v>
      </c>
      <c r="J257">
        <v>5</v>
      </c>
      <c r="K257" t="s">
        <v>1101</v>
      </c>
      <c r="L257" t="s">
        <v>1101</v>
      </c>
      <c r="M257" t="s">
        <v>1101</v>
      </c>
    </row>
    <row r="258" spans="1:13" x14ac:dyDescent="0.25">
      <c r="A258">
        <v>6</v>
      </c>
      <c r="D258" t="s">
        <v>1065</v>
      </c>
      <c r="E258">
        <v>0</v>
      </c>
      <c r="F258">
        <v>0</v>
      </c>
      <c r="G258">
        <v>0</v>
      </c>
      <c r="H258">
        <v>10</v>
      </c>
      <c r="I258">
        <v>5</v>
      </c>
      <c r="J258">
        <v>5</v>
      </c>
      <c r="K258" t="s">
        <v>1101</v>
      </c>
      <c r="L258" t="s">
        <v>1101</v>
      </c>
      <c r="M258" t="s">
        <v>1101</v>
      </c>
    </row>
    <row r="259" spans="1:13" x14ac:dyDescent="0.25">
      <c r="A259">
        <v>7</v>
      </c>
      <c r="D259" t="s">
        <v>1067</v>
      </c>
      <c r="E259">
        <v>0</v>
      </c>
      <c r="F259">
        <v>0</v>
      </c>
      <c r="G259">
        <v>0</v>
      </c>
      <c r="H259">
        <v>10</v>
      </c>
      <c r="I259">
        <v>10</v>
      </c>
      <c r="J259">
        <v>5</v>
      </c>
      <c r="K259" t="s">
        <v>1092</v>
      </c>
      <c r="L259" t="s">
        <v>1092</v>
      </c>
      <c r="M259" t="s">
        <v>1101</v>
      </c>
    </row>
    <row r="260" spans="1:13" x14ac:dyDescent="0.25">
      <c r="A260">
        <v>8</v>
      </c>
      <c r="D260" t="s">
        <v>1069</v>
      </c>
      <c r="E260">
        <v>0</v>
      </c>
      <c r="F260">
        <v>0</v>
      </c>
      <c r="G260">
        <v>0</v>
      </c>
      <c r="H260">
        <v>30</v>
      </c>
      <c r="I260">
        <v>10</v>
      </c>
      <c r="J260">
        <v>5</v>
      </c>
      <c r="K260" t="s">
        <v>1092</v>
      </c>
      <c r="L260" t="s">
        <v>1092</v>
      </c>
      <c r="M260" t="s">
        <v>1101</v>
      </c>
    </row>
    <row r="261" spans="1:13" x14ac:dyDescent="0.25">
      <c r="A261">
        <v>9</v>
      </c>
      <c r="D261" t="s">
        <v>1071</v>
      </c>
      <c r="E261">
        <v>0</v>
      </c>
      <c r="F261">
        <v>0</v>
      </c>
      <c r="G261">
        <v>0</v>
      </c>
      <c r="H261">
        <v>90</v>
      </c>
      <c r="I261">
        <v>30</v>
      </c>
      <c r="J261">
        <v>5</v>
      </c>
      <c r="K261" t="s">
        <v>1092</v>
      </c>
      <c r="L261" t="s">
        <v>1092</v>
      </c>
      <c r="M261" t="s">
        <v>1101</v>
      </c>
    </row>
    <row r="262" spans="1:13" x14ac:dyDescent="0.25">
      <c r="A262">
        <v>10</v>
      </c>
      <c r="D262" t="s">
        <v>1073</v>
      </c>
      <c r="E262">
        <v>10</v>
      </c>
      <c r="F262">
        <v>0</v>
      </c>
      <c r="G262">
        <v>0</v>
      </c>
      <c r="H262">
        <v>90</v>
      </c>
      <c r="I262">
        <v>30</v>
      </c>
      <c r="J262">
        <v>5</v>
      </c>
      <c r="K262" t="s">
        <v>1092</v>
      </c>
      <c r="L262" t="s">
        <v>1092</v>
      </c>
      <c r="M262" t="s">
        <v>1101</v>
      </c>
    </row>
    <row r="263" spans="1:13" x14ac:dyDescent="0.25">
      <c r="A263">
        <v>11</v>
      </c>
      <c r="D263" t="s">
        <v>1075</v>
      </c>
      <c r="E263">
        <v>70</v>
      </c>
      <c r="F263">
        <v>0</v>
      </c>
      <c r="G263">
        <v>0</v>
      </c>
      <c r="H263">
        <v>90</v>
      </c>
      <c r="I263">
        <v>30</v>
      </c>
      <c r="J263">
        <v>5</v>
      </c>
      <c r="K263" t="s">
        <v>1092</v>
      </c>
      <c r="L263" t="s">
        <v>1092</v>
      </c>
      <c r="M263" t="s">
        <v>1101</v>
      </c>
    </row>
    <row r="264" spans="1:13" x14ac:dyDescent="0.25">
      <c r="A264">
        <v>12</v>
      </c>
      <c r="D264" t="s">
        <v>1076</v>
      </c>
      <c r="E264">
        <v>70</v>
      </c>
      <c r="F264">
        <v>0</v>
      </c>
      <c r="G264">
        <v>0</v>
      </c>
      <c r="H264">
        <v>90</v>
      </c>
      <c r="I264">
        <v>30</v>
      </c>
      <c r="J264">
        <v>5</v>
      </c>
      <c r="K264" t="s">
        <v>1092</v>
      </c>
      <c r="L264" t="s">
        <v>1092</v>
      </c>
      <c r="M264" t="s">
        <v>1101</v>
      </c>
    </row>
    <row r="265" spans="1:13" x14ac:dyDescent="0.25">
      <c r="A265">
        <v>13</v>
      </c>
      <c r="D265" t="s">
        <v>1077</v>
      </c>
      <c r="E265">
        <v>10</v>
      </c>
      <c r="F265">
        <v>0</v>
      </c>
      <c r="G265">
        <v>0</v>
      </c>
      <c r="H265">
        <v>80</v>
      </c>
      <c r="I265">
        <v>15</v>
      </c>
      <c r="J265">
        <v>5</v>
      </c>
      <c r="K265" t="s">
        <v>1092</v>
      </c>
      <c r="L265" t="s">
        <v>1092</v>
      </c>
      <c r="M265" t="s">
        <v>1101</v>
      </c>
    </row>
    <row r="266" spans="1:13" x14ac:dyDescent="0.25">
      <c r="A266">
        <v>14</v>
      </c>
      <c r="D266" t="s">
        <v>1078</v>
      </c>
      <c r="E266">
        <v>10</v>
      </c>
      <c r="F266">
        <v>0</v>
      </c>
      <c r="G266">
        <v>0</v>
      </c>
      <c r="H266">
        <v>90</v>
      </c>
      <c r="I266">
        <v>15</v>
      </c>
      <c r="J266">
        <v>5</v>
      </c>
      <c r="K266" t="s">
        <v>1092</v>
      </c>
      <c r="L266" t="s">
        <v>1092</v>
      </c>
      <c r="M266" t="s">
        <v>1101</v>
      </c>
    </row>
    <row r="267" spans="1:13" x14ac:dyDescent="0.25">
      <c r="A267">
        <v>15</v>
      </c>
      <c r="D267" t="s">
        <v>1080</v>
      </c>
      <c r="E267">
        <v>70</v>
      </c>
      <c r="F267">
        <v>0</v>
      </c>
      <c r="G267">
        <v>0</v>
      </c>
      <c r="H267">
        <v>90</v>
      </c>
      <c r="I267">
        <v>15</v>
      </c>
      <c r="J267">
        <v>5</v>
      </c>
      <c r="K267" t="s">
        <v>1092</v>
      </c>
      <c r="L267" t="s">
        <v>1092</v>
      </c>
      <c r="M267" t="s">
        <v>1101</v>
      </c>
    </row>
    <row r="268" spans="1:13" x14ac:dyDescent="0.25">
      <c r="A268">
        <v>16</v>
      </c>
      <c r="D268" t="s">
        <v>1082</v>
      </c>
      <c r="E268">
        <v>70</v>
      </c>
      <c r="F268">
        <v>0</v>
      </c>
      <c r="G268">
        <v>0</v>
      </c>
      <c r="H268">
        <v>90</v>
      </c>
      <c r="I268">
        <v>15</v>
      </c>
      <c r="J268">
        <v>5</v>
      </c>
      <c r="K268" t="s">
        <v>1092</v>
      </c>
      <c r="L268" t="s">
        <v>1092</v>
      </c>
      <c r="M268" t="s">
        <v>1101</v>
      </c>
    </row>
    <row r="269" spans="1:13" x14ac:dyDescent="0.25">
      <c r="A269">
        <v>17</v>
      </c>
      <c r="D269" t="s">
        <v>1083</v>
      </c>
      <c r="E269">
        <v>10</v>
      </c>
      <c r="F269">
        <v>0</v>
      </c>
      <c r="G269">
        <v>0</v>
      </c>
      <c r="H269">
        <v>90</v>
      </c>
      <c r="I269">
        <v>15</v>
      </c>
      <c r="J269">
        <v>5</v>
      </c>
      <c r="K269" t="s">
        <v>1092</v>
      </c>
      <c r="L269" t="s">
        <v>1092</v>
      </c>
      <c r="M269" t="s">
        <v>1101</v>
      </c>
    </row>
    <row r="270" spans="1:13" x14ac:dyDescent="0.25">
      <c r="A270">
        <v>18</v>
      </c>
      <c r="D270" t="s">
        <v>1084</v>
      </c>
      <c r="E270">
        <v>0</v>
      </c>
      <c r="F270">
        <v>0</v>
      </c>
      <c r="G270">
        <v>0</v>
      </c>
      <c r="H270">
        <v>50</v>
      </c>
      <c r="I270">
        <v>5</v>
      </c>
      <c r="J270">
        <v>5</v>
      </c>
      <c r="K270" t="s">
        <v>1092</v>
      </c>
      <c r="L270" t="s">
        <v>1092</v>
      </c>
      <c r="M270" t="s">
        <v>1101</v>
      </c>
    </row>
    <row r="271" spans="1:13" x14ac:dyDescent="0.25">
      <c r="A271">
        <v>19</v>
      </c>
      <c r="D271" t="s">
        <v>1085</v>
      </c>
      <c r="E271">
        <v>0</v>
      </c>
      <c r="F271">
        <v>0</v>
      </c>
      <c r="G271">
        <v>0</v>
      </c>
      <c r="H271">
        <v>30</v>
      </c>
      <c r="I271">
        <v>5</v>
      </c>
      <c r="J271">
        <v>5</v>
      </c>
      <c r="K271" t="s">
        <v>1092</v>
      </c>
      <c r="L271" t="s">
        <v>1101</v>
      </c>
      <c r="M271" t="s">
        <v>1101</v>
      </c>
    </row>
    <row r="272" spans="1:13" x14ac:dyDescent="0.25">
      <c r="A272">
        <v>20</v>
      </c>
      <c r="D272" t="s">
        <v>1086</v>
      </c>
      <c r="E272">
        <v>0</v>
      </c>
      <c r="F272">
        <v>0</v>
      </c>
      <c r="G272">
        <v>0</v>
      </c>
      <c r="H272">
        <v>30</v>
      </c>
      <c r="I272">
        <v>5</v>
      </c>
      <c r="J272">
        <v>5</v>
      </c>
      <c r="K272" t="s">
        <v>1092</v>
      </c>
      <c r="L272" t="s">
        <v>1101</v>
      </c>
      <c r="M272" t="s">
        <v>1101</v>
      </c>
    </row>
    <row r="273" spans="1:19" x14ac:dyDescent="0.25">
      <c r="A273">
        <v>21</v>
      </c>
      <c r="D273" t="s">
        <v>1087</v>
      </c>
      <c r="E273">
        <v>0</v>
      </c>
      <c r="F273">
        <v>0</v>
      </c>
      <c r="G273">
        <v>0</v>
      </c>
      <c r="H273">
        <v>20</v>
      </c>
      <c r="I273">
        <v>5</v>
      </c>
      <c r="J273">
        <v>5</v>
      </c>
      <c r="K273" t="s">
        <v>1092</v>
      </c>
      <c r="L273" t="s">
        <v>1101</v>
      </c>
      <c r="M273" t="s">
        <v>1101</v>
      </c>
    </row>
    <row r="274" spans="1:19" x14ac:dyDescent="0.25">
      <c r="A274">
        <v>22</v>
      </c>
      <c r="D274" t="s">
        <v>1088</v>
      </c>
      <c r="E274">
        <v>0</v>
      </c>
      <c r="F274">
        <v>0</v>
      </c>
      <c r="G274">
        <v>0</v>
      </c>
      <c r="H274">
        <v>20</v>
      </c>
      <c r="I274">
        <v>5</v>
      </c>
      <c r="J274">
        <v>5</v>
      </c>
      <c r="K274" t="s">
        <v>1092</v>
      </c>
      <c r="L274" t="s">
        <v>1101</v>
      </c>
      <c r="M274" t="s">
        <v>1101</v>
      </c>
    </row>
    <row r="275" spans="1:19" x14ac:dyDescent="0.25">
      <c r="A275">
        <v>23</v>
      </c>
      <c r="D275" t="s">
        <v>1089</v>
      </c>
      <c r="E275">
        <v>0</v>
      </c>
      <c r="F275">
        <v>0</v>
      </c>
      <c r="G275">
        <v>0</v>
      </c>
      <c r="H275">
        <v>10</v>
      </c>
      <c r="I275">
        <v>5</v>
      </c>
      <c r="J275">
        <v>5</v>
      </c>
      <c r="K275" t="s">
        <v>1101</v>
      </c>
      <c r="L275" t="s">
        <v>1101</v>
      </c>
      <c r="M275" t="s">
        <v>1101</v>
      </c>
    </row>
    <row r="276" spans="1:19" x14ac:dyDescent="0.25">
      <c r="A276">
        <v>24</v>
      </c>
      <c r="D276" t="s">
        <v>1090</v>
      </c>
      <c r="E276">
        <v>0</v>
      </c>
      <c r="F276">
        <v>0</v>
      </c>
      <c r="G276">
        <v>0</v>
      </c>
      <c r="H276">
        <v>5</v>
      </c>
      <c r="I276">
        <v>5</v>
      </c>
      <c r="J276">
        <v>5</v>
      </c>
      <c r="K276" t="s">
        <v>1101</v>
      </c>
      <c r="L276" t="s">
        <v>1101</v>
      </c>
      <c r="M276" t="s">
        <v>1101</v>
      </c>
    </row>
    <row r="278" spans="1:19" x14ac:dyDescent="0.25">
      <c r="A278" t="s">
        <v>1055</v>
      </c>
      <c r="D278" t="s">
        <v>1048</v>
      </c>
      <c r="E278" t="s">
        <v>498</v>
      </c>
      <c r="H278" t="s">
        <v>500</v>
      </c>
      <c r="K278" t="s">
        <v>1045</v>
      </c>
      <c r="N278" t="s">
        <v>1049</v>
      </c>
      <c r="Q278" t="s">
        <v>1039</v>
      </c>
    </row>
    <row r="279" spans="1:19" x14ac:dyDescent="0.25">
      <c r="E279" t="s">
        <v>1040</v>
      </c>
      <c r="F279" t="s">
        <v>1046</v>
      </c>
      <c r="G279" t="s">
        <v>1053</v>
      </c>
      <c r="H279" t="s">
        <v>1040</v>
      </c>
      <c r="I279" t="s">
        <v>1046</v>
      </c>
      <c r="J279" t="s">
        <v>1053</v>
      </c>
      <c r="K279" t="s">
        <v>1040</v>
      </c>
      <c r="L279" t="s">
        <v>1046</v>
      </c>
      <c r="M279" t="s">
        <v>1053</v>
      </c>
      <c r="N279" t="s">
        <v>1040</v>
      </c>
      <c r="O279" t="s">
        <v>1046</v>
      </c>
      <c r="P279" t="s">
        <v>1053</v>
      </c>
      <c r="Q279" t="s">
        <v>1040</v>
      </c>
      <c r="R279" t="s">
        <v>1046</v>
      </c>
      <c r="S279" t="s">
        <v>1053</v>
      </c>
    </row>
    <row r="280" spans="1:19" x14ac:dyDescent="0.25">
      <c r="A280">
        <v>1</v>
      </c>
      <c r="D280" t="s">
        <v>1056</v>
      </c>
      <c r="E280">
        <v>0</v>
      </c>
      <c r="F280">
        <v>0</v>
      </c>
      <c r="G280">
        <v>0</v>
      </c>
      <c r="H280">
        <v>0</v>
      </c>
      <c r="I280">
        <v>0</v>
      </c>
      <c r="J280">
        <v>0</v>
      </c>
      <c r="K280" t="s">
        <v>1101</v>
      </c>
      <c r="L280" t="s">
        <v>1101</v>
      </c>
      <c r="M280" t="s">
        <v>1101</v>
      </c>
    </row>
    <row r="281" spans="1:19" x14ac:dyDescent="0.25">
      <c r="A281">
        <v>2</v>
      </c>
      <c r="D281" t="s">
        <v>1057</v>
      </c>
      <c r="E281">
        <v>0</v>
      </c>
      <c r="F281">
        <v>0</v>
      </c>
      <c r="G281">
        <v>0</v>
      </c>
      <c r="H281">
        <v>0</v>
      </c>
      <c r="I281">
        <v>0</v>
      </c>
      <c r="J281">
        <v>0</v>
      </c>
      <c r="K281" t="s">
        <v>1101</v>
      </c>
      <c r="L281" t="s">
        <v>1101</v>
      </c>
      <c r="M281" t="s">
        <v>1101</v>
      </c>
    </row>
    <row r="282" spans="1:19" x14ac:dyDescent="0.25">
      <c r="A282">
        <v>3</v>
      </c>
      <c r="D282" t="s">
        <v>1059</v>
      </c>
      <c r="E282">
        <v>0</v>
      </c>
      <c r="F282">
        <v>0</v>
      </c>
      <c r="G282">
        <v>0</v>
      </c>
      <c r="H282">
        <v>0</v>
      </c>
      <c r="I282">
        <v>0</v>
      </c>
      <c r="J282">
        <v>0</v>
      </c>
      <c r="K282" t="s">
        <v>1101</v>
      </c>
      <c r="L282" t="s">
        <v>1101</v>
      </c>
      <c r="M282" t="s">
        <v>1101</v>
      </c>
    </row>
    <row r="283" spans="1:19" x14ac:dyDescent="0.25">
      <c r="A283">
        <v>4</v>
      </c>
      <c r="D283" t="s">
        <v>1061</v>
      </c>
      <c r="E283">
        <v>0</v>
      </c>
      <c r="F283">
        <v>0</v>
      </c>
      <c r="G283">
        <v>0</v>
      </c>
      <c r="H283">
        <v>0</v>
      </c>
      <c r="I283">
        <v>0</v>
      </c>
      <c r="J283">
        <v>0</v>
      </c>
      <c r="K283" t="s">
        <v>1101</v>
      </c>
      <c r="L283" t="s">
        <v>1101</v>
      </c>
      <c r="M283" t="s">
        <v>1101</v>
      </c>
    </row>
    <row r="284" spans="1:19" x14ac:dyDescent="0.25">
      <c r="A284">
        <v>5</v>
      </c>
      <c r="D284" t="s">
        <v>1063</v>
      </c>
      <c r="E284">
        <v>0</v>
      </c>
      <c r="F284">
        <v>0</v>
      </c>
      <c r="G284">
        <v>0</v>
      </c>
      <c r="H284">
        <v>0</v>
      </c>
      <c r="I284">
        <v>0</v>
      </c>
      <c r="J284">
        <v>0</v>
      </c>
      <c r="K284" t="s">
        <v>1101</v>
      </c>
      <c r="L284" t="s">
        <v>1101</v>
      </c>
      <c r="M284" t="s">
        <v>1101</v>
      </c>
    </row>
    <row r="285" spans="1:19" x14ac:dyDescent="0.25">
      <c r="A285">
        <v>6</v>
      </c>
      <c r="D285" t="s">
        <v>1065</v>
      </c>
      <c r="E285">
        <v>0</v>
      </c>
      <c r="F285">
        <v>0</v>
      </c>
      <c r="G285">
        <v>0</v>
      </c>
      <c r="H285">
        <v>0</v>
      </c>
      <c r="I285">
        <v>0</v>
      </c>
      <c r="J285">
        <v>0</v>
      </c>
      <c r="K285" t="s">
        <v>1101</v>
      </c>
      <c r="L285" t="s">
        <v>1101</v>
      </c>
      <c r="M285" t="s">
        <v>1101</v>
      </c>
    </row>
    <row r="286" spans="1:19" x14ac:dyDescent="0.25">
      <c r="A286">
        <v>7</v>
      </c>
      <c r="D286" t="s">
        <v>1067</v>
      </c>
      <c r="E286">
        <v>0</v>
      </c>
      <c r="F286">
        <v>0</v>
      </c>
      <c r="G286">
        <v>0</v>
      </c>
      <c r="H286">
        <v>0</v>
      </c>
      <c r="I286">
        <v>0</v>
      </c>
      <c r="J286">
        <v>0</v>
      </c>
      <c r="K286" t="s">
        <v>1092</v>
      </c>
      <c r="L286" t="s">
        <v>1092</v>
      </c>
      <c r="M286" t="s">
        <v>1101</v>
      </c>
    </row>
    <row r="287" spans="1:19" x14ac:dyDescent="0.25">
      <c r="A287">
        <v>8</v>
      </c>
      <c r="D287" t="s">
        <v>1069</v>
      </c>
      <c r="E287">
        <v>0</v>
      </c>
      <c r="F287">
        <v>0</v>
      </c>
      <c r="G287">
        <v>0</v>
      </c>
      <c r="H287">
        <v>10</v>
      </c>
      <c r="I287">
        <v>0</v>
      </c>
      <c r="J287">
        <v>0</v>
      </c>
      <c r="K287" t="s">
        <v>1092</v>
      </c>
      <c r="L287" t="s">
        <v>1092</v>
      </c>
      <c r="M287" t="s">
        <v>1101</v>
      </c>
    </row>
    <row r="288" spans="1:19" x14ac:dyDescent="0.25">
      <c r="A288">
        <v>9</v>
      </c>
      <c r="D288" t="s">
        <v>1071</v>
      </c>
      <c r="E288">
        <v>0</v>
      </c>
      <c r="F288">
        <v>0</v>
      </c>
      <c r="G288">
        <v>0</v>
      </c>
      <c r="H288">
        <v>10</v>
      </c>
      <c r="I288">
        <v>0</v>
      </c>
      <c r="J288">
        <v>0</v>
      </c>
      <c r="K288" t="s">
        <v>1092</v>
      </c>
      <c r="L288" t="s">
        <v>1092</v>
      </c>
      <c r="M288" t="s">
        <v>1101</v>
      </c>
    </row>
    <row r="289" spans="1:13" x14ac:dyDescent="0.25">
      <c r="A289">
        <v>10</v>
      </c>
      <c r="D289" t="s">
        <v>1073</v>
      </c>
      <c r="E289">
        <v>0</v>
      </c>
      <c r="F289">
        <v>0</v>
      </c>
      <c r="G289">
        <v>0</v>
      </c>
      <c r="H289">
        <v>20</v>
      </c>
      <c r="I289">
        <v>0</v>
      </c>
      <c r="J289">
        <v>0</v>
      </c>
      <c r="K289" t="s">
        <v>1092</v>
      </c>
      <c r="L289" t="s">
        <v>1092</v>
      </c>
      <c r="M289" t="s">
        <v>1101</v>
      </c>
    </row>
    <row r="290" spans="1:13" x14ac:dyDescent="0.25">
      <c r="A290">
        <v>11</v>
      </c>
      <c r="D290" t="s">
        <v>1075</v>
      </c>
      <c r="E290">
        <v>0</v>
      </c>
      <c r="F290">
        <v>0</v>
      </c>
      <c r="G290">
        <v>0</v>
      </c>
      <c r="H290">
        <v>20</v>
      </c>
      <c r="I290">
        <v>0</v>
      </c>
      <c r="J290">
        <v>0</v>
      </c>
      <c r="K290" t="s">
        <v>1092</v>
      </c>
      <c r="L290" t="s">
        <v>1092</v>
      </c>
      <c r="M290" t="s">
        <v>1101</v>
      </c>
    </row>
    <row r="291" spans="1:13" x14ac:dyDescent="0.25">
      <c r="A291">
        <v>12</v>
      </c>
      <c r="D291" t="s">
        <v>1076</v>
      </c>
      <c r="E291">
        <v>0</v>
      </c>
      <c r="F291">
        <v>0</v>
      </c>
      <c r="G291">
        <v>0</v>
      </c>
      <c r="H291">
        <v>20</v>
      </c>
      <c r="I291">
        <v>0</v>
      </c>
      <c r="J291">
        <v>0</v>
      </c>
      <c r="K291" t="s">
        <v>1092</v>
      </c>
      <c r="L291" t="s">
        <v>1092</v>
      </c>
      <c r="M291" t="s">
        <v>1101</v>
      </c>
    </row>
    <row r="292" spans="1:13" x14ac:dyDescent="0.25">
      <c r="A292">
        <v>13</v>
      </c>
      <c r="D292" t="s">
        <v>1077</v>
      </c>
      <c r="E292">
        <v>0</v>
      </c>
      <c r="F292">
        <v>0</v>
      </c>
      <c r="G292">
        <v>0</v>
      </c>
      <c r="H292">
        <v>20</v>
      </c>
      <c r="I292">
        <v>0</v>
      </c>
      <c r="J292">
        <v>0</v>
      </c>
      <c r="K292" t="s">
        <v>1092</v>
      </c>
      <c r="L292" t="s">
        <v>1092</v>
      </c>
      <c r="M292" t="s">
        <v>1101</v>
      </c>
    </row>
    <row r="293" spans="1:13" x14ac:dyDescent="0.25">
      <c r="A293">
        <v>14</v>
      </c>
      <c r="D293" t="s">
        <v>1078</v>
      </c>
      <c r="E293">
        <v>0</v>
      </c>
      <c r="F293">
        <v>0</v>
      </c>
      <c r="G293">
        <v>0</v>
      </c>
      <c r="H293">
        <v>20</v>
      </c>
      <c r="I293">
        <v>0</v>
      </c>
      <c r="J293">
        <v>0</v>
      </c>
      <c r="K293" t="s">
        <v>1092</v>
      </c>
      <c r="L293" t="s">
        <v>1092</v>
      </c>
      <c r="M293" t="s">
        <v>1101</v>
      </c>
    </row>
    <row r="294" spans="1:13" x14ac:dyDescent="0.25">
      <c r="A294">
        <v>15</v>
      </c>
      <c r="D294" t="s">
        <v>1080</v>
      </c>
      <c r="E294">
        <v>0</v>
      </c>
      <c r="F294">
        <v>0</v>
      </c>
      <c r="G294">
        <v>0</v>
      </c>
      <c r="H294">
        <v>20</v>
      </c>
      <c r="I294">
        <v>0</v>
      </c>
      <c r="J294">
        <v>0</v>
      </c>
      <c r="K294" t="s">
        <v>1092</v>
      </c>
      <c r="L294" t="s">
        <v>1092</v>
      </c>
      <c r="M294" t="s">
        <v>1101</v>
      </c>
    </row>
    <row r="295" spans="1:13" x14ac:dyDescent="0.25">
      <c r="A295">
        <v>16</v>
      </c>
      <c r="D295" t="s">
        <v>1082</v>
      </c>
      <c r="E295">
        <v>0</v>
      </c>
      <c r="F295">
        <v>0</v>
      </c>
      <c r="G295">
        <v>0</v>
      </c>
      <c r="H295">
        <v>20</v>
      </c>
      <c r="I295">
        <v>0</v>
      </c>
      <c r="J295">
        <v>0</v>
      </c>
      <c r="K295" t="s">
        <v>1092</v>
      </c>
      <c r="L295" t="s">
        <v>1092</v>
      </c>
      <c r="M295" t="s">
        <v>1101</v>
      </c>
    </row>
    <row r="296" spans="1:13" x14ac:dyDescent="0.25">
      <c r="A296">
        <v>17</v>
      </c>
      <c r="D296" t="s">
        <v>1083</v>
      </c>
      <c r="E296">
        <v>0</v>
      </c>
      <c r="F296">
        <v>0</v>
      </c>
      <c r="G296">
        <v>0</v>
      </c>
      <c r="H296">
        <v>10</v>
      </c>
      <c r="I296">
        <v>0</v>
      </c>
      <c r="J296">
        <v>0</v>
      </c>
      <c r="K296" t="s">
        <v>1092</v>
      </c>
      <c r="L296" t="s">
        <v>1092</v>
      </c>
      <c r="M296" t="s">
        <v>1101</v>
      </c>
    </row>
    <row r="297" spans="1:13" x14ac:dyDescent="0.25">
      <c r="A297">
        <v>18</v>
      </c>
      <c r="D297" t="s">
        <v>1084</v>
      </c>
      <c r="E297">
        <v>0</v>
      </c>
      <c r="F297">
        <v>0</v>
      </c>
      <c r="G297">
        <v>0</v>
      </c>
      <c r="H297">
        <v>10</v>
      </c>
      <c r="I297">
        <v>0</v>
      </c>
      <c r="J297">
        <v>0</v>
      </c>
      <c r="K297" t="s">
        <v>1092</v>
      </c>
      <c r="L297" t="s">
        <v>1092</v>
      </c>
      <c r="M297" t="s">
        <v>1101</v>
      </c>
    </row>
    <row r="298" spans="1:13" x14ac:dyDescent="0.25">
      <c r="A298">
        <v>19</v>
      </c>
      <c r="D298" t="s">
        <v>1085</v>
      </c>
      <c r="E298">
        <v>0</v>
      </c>
      <c r="F298">
        <v>0</v>
      </c>
      <c r="G298">
        <v>0</v>
      </c>
      <c r="H298">
        <v>0</v>
      </c>
      <c r="I298">
        <v>0</v>
      </c>
      <c r="J298">
        <v>0</v>
      </c>
      <c r="K298" t="s">
        <v>1092</v>
      </c>
      <c r="L298" t="s">
        <v>1101</v>
      </c>
      <c r="M298" t="s">
        <v>1101</v>
      </c>
    </row>
    <row r="299" spans="1:13" x14ac:dyDescent="0.25">
      <c r="A299">
        <v>20</v>
      </c>
      <c r="D299" t="s">
        <v>1086</v>
      </c>
      <c r="E299">
        <v>0</v>
      </c>
      <c r="F299">
        <v>0</v>
      </c>
      <c r="G299">
        <v>0</v>
      </c>
      <c r="H299">
        <v>0</v>
      </c>
      <c r="I299">
        <v>0</v>
      </c>
      <c r="J299">
        <v>0</v>
      </c>
      <c r="K299" t="s">
        <v>1092</v>
      </c>
      <c r="L299" t="s">
        <v>1101</v>
      </c>
      <c r="M299" t="s">
        <v>1101</v>
      </c>
    </row>
    <row r="300" spans="1:13" x14ac:dyDescent="0.25">
      <c r="A300">
        <v>21</v>
      </c>
      <c r="D300" t="s">
        <v>1087</v>
      </c>
      <c r="E300">
        <v>0</v>
      </c>
      <c r="F300">
        <v>0</v>
      </c>
      <c r="G300">
        <v>0</v>
      </c>
      <c r="H300">
        <v>0</v>
      </c>
      <c r="I300">
        <v>0</v>
      </c>
      <c r="J300">
        <v>0</v>
      </c>
      <c r="K300" t="s">
        <v>1092</v>
      </c>
      <c r="L300" t="s">
        <v>1101</v>
      </c>
      <c r="M300" t="s">
        <v>1101</v>
      </c>
    </row>
    <row r="301" spans="1:13" x14ac:dyDescent="0.25">
      <c r="A301">
        <v>22</v>
      </c>
      <c r="D301" t="s">
        <v>1088</v>
      </c>
      <c r="E301">
        <v>0</v>
      </c>
      <c r="F301">
        <v>0</v>
      </c>
      <c r="G301">
        <v>0</v>
      </c>
      <c r="H301">
        <v>0</v>
      </c>
      <c r="I301">
        <v>0</v>
      </c>
      <c r="J301">
        <v>0</v>
      </c>
      <c r="K301" t="s">
        <v>1092</v>
      </c>
      <c r="L301" t="s">
        <v>1101</v>
      </c>
      <c r="M301" t="s">
        <v>1101</v>
      </c>
    </row>
    <row r="302" spans="1:13" x14ac:dyDescent="0.25">
      <c r="A302">
        <v>23</v>
      </c>
      <c r="D302" t="s">
        <v>1089</v>
      </c>
      <c r="E302">
        <v>0</v>
      </c>
      <c r="F302">
        <v>0</v>
      </c>
      <c r="G302">
        <v>0</v>
      </c>
      <c r="H302">
        <v>0</v>
      </c>
      <c r="I302">
        <v>0</v>
      </c>
      <c r="J302">
        <v>0</v>
      </c>
      <c r="K302" t="s">
        <v>1101</v>
      </c>
      <c r="L302" t="s">
        <v>1101</v>
      </c>
      <c r="M302" t="s">
        <v>1101</v>
      </c>
    </row>
    <row r="303" spans="1:13" x14ac:dyDescent="0.25">
      <c r="A303">
        <v>24</v>
      </c>
      <c r="D303" t="s">
        <v>1090</v>
      </c>
      <c r="E303">
        <v>0</v>
      </c>
      <c r="F303">
        <v>0</v>
      </c>
      <c r="G303">
        <v>0</v>
      </c>
      <c r="H303">
        <v>0</v>
      </c>
      <c r="I303">
        <v>0</v>
      </c>
      <c r="J303">
        <v>0</v>
      </c>
      <c r="K303" t="s">
        <v>1101</v>
      </c>
      <c r="L303" t="s">
        <v>1101</v>
      </c>
      <c r="M303" t="s">
        <v>1101</v>
      </c>
    </row>
    <row r="305" spans="1:19" x14ac:dyDescent="0.25">
      <c r="A305" t="s">
        <v>1052</v>
      </c>
      <c r="D305" t="s">
        <v>1048</v>
      </c>
      <c r="E305" t="s">
        <v>498</v>
      </c>
      <c r="H305" t="s">
        <v>500</v>
      </c>
      <c r="K305" t="s">
        <v>1045</v>
      </c>
      <c r="N305" t="s">
        <v>1049</v>
      </c>
      <c r="Q305" t="s">
        <v>1039</v>
      </c>
    </row>
    <row r="306" spans="1:19" x14ac:dyDescent="0.25">
      <c r="E306" t="s">
        <v>1040</v>
      </c>
      <c r="F306" t="s">
        <v>1046</v>
      </c>
      <c r="G306" t="s">
        <v>1053</v>
      </c>
      <c r="H306" t="s">
        <v>1040</v>
      </c>
      <c r="I306" t="s">
        <v>1046</v>
      </c>
      <c r="J306" t="s">
        <v>1053</v>
      </c>
      <c r="K306" t="s">
        <v>1040</v>
      </c>
      <c r="L306" t="s">
        <v>1046</v>
      </c>
      <c r="M306" t="s">
        <v>1053</v>
      </c>
      <c r="N306" t="s">
        <v>1040</v>
      </c>
      <c r="O306" t="s">
        <v>1046</v>
      </c>
      <c r="P306" t="s">
        <v>1053</v>
      </c>
      <c r="Q306" t="s">
        <v>1040</v>
      </c>
      <c r="R306" t="s">
        <v>1046</v>
      </c>
      <c r="S306" t="s">
        <v>1053</v>
      </c>
    </row>
    <row r="307" spans="1:19" x14ac:dyDescent="0.25">
      <c r="A307">
        <v>1</v>
      </c>
      <c r="D307" t="s">
        <v>1056</v>
      </c>
      <c r="E307">
        <v>75</v>
      </c>
      <c r="F307">
        <v>75</v>
      </c>
      <c r="G307">
        <v>75</v>
      </c>
      <c r="H307">
        <v>0</v>
      </c>
      <c r="I307">
        <v>0</v>
      </c>
      <c r="J307">
        <v>0</v>
      </c>
      <c r="K307" t="s">
        <v>1092</v>
      </c>
      <c r="L307" t="s">
        <v>1092</v>
      </c>
      <c r="M307" t="s">
        <v>1092</v>
      </c>
    </row>
    <row r="308" spans="1:19" x14ac:dyDescent="0.25">
      <c r="A308">
        <v>2</v>
      </c>
      <c r="D308" t="s">
        <v>1057</v>
      </c>
      <c r="E308">
        <v>75</v>
      </c>
      <c r="F308">
        <v>75</v>
      </c>
      <c r="G308">
        <v>75</v>
      </c>
      <c r="H308">
        <v>0</v>
      </c>
      <c r="I308">
        <v>0</v>
      </c>
      <c r="J308">
        <v>0</v>
      </c>
      <c r="K308" t="s">
        <v>1092</v>
      </c>
      <c r="L308" t="s">
        <v>1092</v>
      </c>
      <c r="M308" t="s">
        <v>1092</v>
      </c>
    </row>
    <row r="309" spans="1:19" x14ac:dyDescent="0.25">
      <c r="A309">
        <v>3</v>
      </c>
      <c r="D309" t="s">
        <v>1059</v>
      </c>
      <c r="E309">
        <v>75</v>
      </c>
      <c r="F309">
        <v>75</v>
      </c>
      <c r="G309">
        <v>75</v>
      </c>
      <c r="H309">
        <v>0</v>
      </c>
      <c r="I309">
        <v>0</v>
      </c>
      <c r="J309">
        <v>0</v>
      </c>
      <c r="K309" t="s">
        <v>1092</v>
      </c>
      <c r="L309" t="s">
        <v>1092</v>
      </c>
      <c r="M309" t="s">
        <v>1092</v>
      </c>
    </row>
    <row r="310" spans="1:19" x14ac:dyDescent="0.25">
      <c r="A310">
        <v>4</v>
      </c>
      <c r="D310" t="s">
        <v>1061</v>
      </c>
      <c r="E310">
        <v>75</v>
      </c>
      <c r="F310">
        <v>75</v>
      </c>
      <c r="G310">
        <v>75</v>
      </c>
      <c r="H310">
        <v>0</v>
      </c>
      <c r="I310">
        <v>0</v>
      </c>
      <c r="J310">
        <v>0</v>
      </c>
      <c r="K310" t="s">
        <v>1092</v>
      </c>
      <c r="L310" t="s">
        <v>1092</v>
      </c>
      <c r="M310" t="s">
        <v>1092</v>
      </c>
    </row>
    <row r="311" spans="1:19" x14ac:dyDescent="0.25">
      <c r="A311">
        <v>5</v>
      </c>
      <c r="D311" t="s">
        <v>1063</v>
      </c>
      <c r="E311">
        <v>75</v>
      </c>
      <c r="F311">
        <v>75</v>
      </c>
      <c r="G311">
        <v>75</v>
      </c>
      <c r="H311">
        <v>0</v>
      </c>
      <c r="I311">
        <v>0</v>
      </c>
      <c r="J311">
        <v>0</v>
      </c>
      <c r="K311" t="s">
        <v>1092</v>
      </c>
      <c r="L311" t="s">
        <v>1092</v>
      </c>
      <c r="M311" t="s">
        <v>1092</v>
      </c>
    </row>
    <row r="312" spans="1:19" x14ac:dyDescent="0.25">
      <c r="A312">
        <v>6</v>
      </c>
      <c r="D312" t="s">
        <v>1065</v>
      </c>
      <c r="E312">
        <v>75</v>
      </c>
      <c r="F312">
        <v>75</v>
      </c>
      <c r="G312">
        <v>75</v>
      </c>
      <c r="H312">
        <v>0</v>
      </c>
      <c r="I312">
        <v>0</v>
      </c>
      <c r="J312">
        <v>0</v>
      </c>
      <c r="K312" t="s">
        <v>1092</v>
      </c>
      <c r="L312" t="s">
        <v>1092</v>
      </c>
      <c r="M312" t="s">
        <v>1092</v>
      </c>
    </row>
    <row r="313" spans="1:19" x14ac:dyDescent="0.25">
      <c r="A313">
        <v>7</v>
      </c>
      <c r="D313" t="s">
        <v>1067</v>
      </c>
      <c r="E313">
        <v>75</v>
      </c>
      <c r="F313">
        <v>75</v>
      </c>
      <c r="G313">
        <v>75</v>
      </c>
      <c r="H313">
        <v>0</v>
      </c>
      <c r="I313">
        <v>0</v>
      </c>
      <c r="J313">
        <v>0</v>
      </c>
      <c r="K313" t="s">
        <v>1092</v>
      </c>
      <c r="L313" t="s">
        <v>1092</v>
      </c>
      <c r="M313" t="s">
        <v>1092</v>
      </c>
    </row>
    <row r="314" spans="1:19" x14ac:dyDescent="0.25">
      <c r="A314">
        <v>8</v>
      </c>
      <c r="D314" t="s">
        <v>1069</v>
      </c>
      <c r="E314">
        <v>75</v>
      </c>
      <c r="F314">
        <v>75</v>
      </c>
      <c r="G314">
        <v>75</v>
      </c>
      <c r="H314">
        <v>10</v>
      </c>
      <c r="I314">
        <v>0</v>
      </c>
      <c r="J314">
        <v>0</v>
      </c>
      <c r="K314" t="s">
        <v>1092</v>
      </c>
      <c r="L314" t="s">
        <v>1092</v>
      </c>
      <c r="M314" t="s">
        <v>1092</v>
      </c>
    </row>
    <row r="315" spans="1:19" x14ac:dyDescent="0.25">
      <c r="A315">
        <v>9</v>
      </c>
      <c r="D315" t="s">
        <v>1071</v>
      </c>
      <c r="E315">
        <v>75</v>
      </c>
      <c r="F315">
        <v>75</v>
      </c>
      <c r="G315">
        <v>75</v>
      </c>
      <c r="H315">
        <v>10</v>
      </c>
      <c r="I315">
        <v>0</v>
      </c>
      <c r="J315">
        <v>0</v>
      </c>
      <c r="K315" t="s">
        <v>1092</v>
      </c>
      <c r="L315" t="s">
        <v>1092</v>
      </c>
      <c r="M315" t="s">
        <v>1092</v>
      </c>
    </row>
    <row r="316" spans="1:19" x14ac:dyDescent="0.25">
      <c r="A316">
        <v>10</v>
      </c>
      <c r="D316" t="s">
        <v>1073</v>
      </c>
      <c r="E316">
        <v>75</v>
      </c>
      <c r="F316">
        <v>75</v>
      </c>
      <c r="G316">
        <v>75</v>
      </c>
      <c r="H316">
        <v>20</v>
      </c>
      <c r="I316">
        <v>0</v>
      </c>
      <c r="J316">
        <v>0</v>
      </c>
      <c r="K316" t="s">
        <v>1092</v>
      </c>
      <c r="L316" t="s">
        <v>1092</v>
      </c>
      <c r="M316" t="s">
        <v>1092</v>
      </c>
    </row>
    <row r="317" spans="1:19" x14ac:dyDescent="0.25">
      <c r="A317">
        <v>11</v>
      </c>
      <c r="D317" t="s">
        <v>1075</v>
      </c>
      <c r="E317">
        <v>75</v>
      </c>
      <c r="F317">
        <v>75</v>
      </c>
      <c r="G317">
        <v>75</v>
      </c>
      <c r="H317">
        <v>20</v>
      </c>
      <c r="I317">
        <v>0</v>
      </c>
      <c r="J317">
        <v>0</v>
      </c>
      <c r="K317" t="s">
        <v>1092</v>
      </c>
      <c r="L317" t="s">
        <v>1092</v>
      </c>
      <c r="M317" t="s">
        <v>1092</v>
      </c>
    </row>
    <row r="318" spans="1:19" x14ac:dyDescent="0.25">
      <c r="A318">
        <v>12</v>
      </c>
      <c r="D318" t="s">
        <v>1076</v>
      </c>
      <c r="E318">
        <v>75</v>
      </c>
      <c r="F318">
        <v>75</v>
      </c>
      <c r="G318">
        <v>75</v>
      </c>
      <c r="H318">
        <v>20</v>
      </c>
      <c r="I318">
        <v>0</v>
      </c>
      <c r="J318">
        <v>0</v>
      </c>
      <c r="K318" t="s">
        <v>1092</v>
      </c>
      <c r="L318" t="s">
        <v>1092</v>
      </c>
      <c r="M318" t="s">
        <v>1092</v>
      </c>
    </row>
    <row r="319" spans="1:19" x14ac:dyDescent="0.25">
      <c r="A319">
        <v>13</v>
      </c>
      <c r="D319" t="s">
        <v>1077</v>
      </c>
      <c r="E319">
        <v>75</v>
      </c>
      <c r="F319">
        <v>75</v>
      </c>
      <c r="G319">
        <v>75</v>
      </c>
      <c r="H319">
        <v>20</v>
      </c>
      <c r="I319">
        <v>0</v>
      </c>
      <c r="J319">
        <v>0</v>
      </c>
      <c r="K319" t="s">
        <v>1092</v>
      </c>
      <c r="L319" t="s">
        <v>1092</v>
      </c>
      <c r="M319" t="s">
        <v>1092</v>
      </c>
    </row>
    <row r="320" spans="1:19" x14ac:dyDescent="0.25">
      <c r="A320">
        <v>14</v>
      </c>
      <c r="D320" t="s">
        <v>1078</v>
      </c>
      <c r="E320">
        <v>75</v>
      </c>
      <c r="F320">
        <v>75</v>
      </c>
      <c r="G320">
        <v>75</v>
      </c>
      <c r="H320">
        <v>20</v>
      </c>
      <c r="I320">
        <v>0</v>
      </c>
      <c r="J320">
        <v>0</v>
      </c>
      <c r="K320" t="s">
        <v>1092</v>
      </c>
      <c r="L320" t="s">
        <v>1092</v>
      </c>
      <c r="M320" t="s">
        <v>1092</v>
      </c>
    </row>
    <row r="321" spans="1:19" x14ac:dyDescent="0.25">
      <c r="A321">
        <v>15</v>
      </c>
      <c r="D321" t="s">
        <v>1080</v>
      </c>
      <c r="E321">
        <v>75</v>
      </c>
      <c r="F321">
        <v>75</v>
      </c>
      <c r="G321">
        <v>75</v>
      </c>
      <c r="H321">
        <v>20</v>
      </c>
      <c r="I321">
        <v>0</v>
      </c>
      <c r="J321">
        <v>0</v>
      </c>
      <c r="K321" t="s">
        <v>1092</v>
      </c>
      <c r="L321" t="s">
        <v>1092</v>
      </c>
      <c r="M321" t="s">
        <v>1092</v>
      </c>
    </row>
    <row r="322" spans="1:19" x14ac:dyDescent="0.25">
      <c r="A322">
        <v>16</v>
      </c>
      <c r="D322" t="s">
        <v>1082</v>
      </c>
      <c r="E322">
        <v>75</v>
      </c>
      <c r="F322">
        <v>75</v>
      </c>
      <c r="G322">
        <v>75</v>
      </c>
      <c r="H322">
        <v>20</v>
      </c>
      <c r="I322">
        <v>0</v>
      </c>
      <c r="J322">
        <v>0</v>
      </c>
      <c r="K322" t="s">
        <v>1092</v>
      </c>
      <c r="L322" t="s">
        <v>1092</v>
      </c>
      <c r="M322" t="s">
        <v>1092</v>
      </c>
    </row>
    <row r="323" spans="1:19" x14ac:dyDescent="0.25">
      <c r="A323">
        <v>17</v>
      </c>
      <c r="D323" t="s">
        <v>1083</v>
      </c>
      <c r="E323">
        <v>75</v>
      </c>
      <c r="F323">
        <v>75</v>
      </c>
      <c r="G323">
        <v>75</v>
      </c>
      <c r="H323">
        <v>10</v>
      </c>
      <c r="I323">
        <v>0</v>
      </c>
      <c r="J323">
        <v>0</v>
      </c>
      <c r="K323" t="s">
        <v>1092</v>
      </c>
      <c r="L323" t="s">
        <v>1092</v>
      </c>
      <c r="M323" t="s">
        <v>1092</v>
      </c>
    </row>
    <row r="324" spans="1:19" x14ac:dyDescent="0.25">
      <c r="A324">
        <v>18</v>
      </c>
      <c r="D324" t="s">
        <v>1084</v>
      </c>
      <c r="E324">
        <v>75</v>
      </c>
      <c r="F324">
        <v>75</v>
      </c>
      <c r="G324">
        <v>75</v>
      </c>
      <c r="H324">
        <v>10</v>
      </c>
      <c r="I324">
        <v>0</v>
      </c>
      <c r="J324">
        <v>0</v>
      </c>
      <c r="K324" t="s">
        <v>1092</v>
      </c>
      <c r="L324" t="s">
        <v>1092</v>
      </c>
      <c r="M324" t="s">
        <v>1092</v>
      </c>
    </row>
    <row r="325" spans="1:19" x14ac:dyDescent="0.25">
      <c r="A325">
        <v>19</v>
      </c>
      <c r="D325" t="s">
        <v>1085</v>
      </c>
      <c r="E325">
        <v>75</v>
      </c>
      <c r="F325">
        <v>75</v>
      </c>
      <c r="G325">
        <v>75</v>
      </c>
      <c r="H325">
        <v>0</v>
      </c>
      <c r="I325">
        <v>0</v>
      </c>
      <c r="J325">
        <v>0</v>
      </c>
      <c r="K325" t="s">
        <v>1092</v>
      </c>
      <c r="L325" t="s">
        <v>1092</v>
      </c>
      <c r="M325" t="s">
        <v>1092</v>
      </c>
    </row>
    <row r="326" spans="1:19" x14ac:dyDescent="0.25">
      <c r="A326">
        <v>20</v>
      </c>
      <c r="D326" t="s">
        <v>1086</v>
      </c>
      <c r="E326">
        <v>75</v>
      </c>
      <c r="F326">
        <v>75</v>
      </c>
      <c r="G326">
        <v>75</v>
      </c>
      <c r="H326">
        <v>0</v>
      </c>
      <c r="I326">
        <v>0</v>
      </c>
      <c r="J326">
        <v>0</v>
      </c>
      <c r="K326" t="s">
        <v>1092</v>
      </c>
      <c r="L326" t="s">
        <v>1092</v>
      </c>
      <c r="M326" t="s">
        <v>1092</v>
      </c>
    </row>
    <row r="327" spans="1:19" x14ac:dyDescent="0.25">
      <c r="A327">
        <v>21</v>
      </c>
      <c r="D327" t="s">
        <v>1087</v>
      </c>
      <c r="E327">
        <v>75</v>
      </c>
      <c r="F327">
        <v>75</v>
      </c>
      <c r="G327">
        <v>75</v>
      </c>
      <c r="H327">
        <v>0</v>
      </c>
      <c r="I327">
        <v>0</v>
      </c>
      <c r="J327">
        <v>0</v>
      </c>
      <c r="K327" t="s">
        <v>1092</v>
      </c>
      <c r="L327" t="s">
        <v>1092</v>
      </c>
      <c r="M327" t="s">
        <v>1092</v>
      </c>
    </row>
    <row r="328" spans="1:19" x14ac:dyDescent="0.25">
      <c r="A328">
        <v>22</v>
      </c>
      <c r="D328" t="s">
        <v>1088</v>
      </c>
      <c r="E328">
        <v>75</v>
      </c>
      <c r="F328">
        <v>75</v>
      </c>
      <c r="G328">
        <v>75</v>
      </c>
      <c r="H328">
        <v>0</v>
      </c>
      <c r="I328">
        <v>0</v>
      </c>
      <c r="J328">
        <v>0</v>
      </c>
      <c r="K328" t="s">
        <v>1092</v>
      </c>
      <c r="L328" t="s">
        <v>1092</v>
      </c>
      <c r="M328" t="s">
        <v>1092</v>
      </c>
    </row>
    <row r="329" spans="1:19" x14ac:dyDescent="0.25">
      <c r="A329">
        <v>23</v>
      </c>
      <c r="D329" t="s">
        <v>1089</v>
      </c>
      <c r="E329">
        <v>75</v>
      </c>
      <c r="F329">
        <v>75</v>
      </c>
      <c r="G329">
        <v>75</v>
      </c>
      <c r="H329">
        <v>0</v>
      </c>
      <c r="I329">
        <v>0</v>
      </c>
      <c r="J329">
        <v>0</v>
      </c>
      <c r="K329" t="s">
        <v>1092</v>
      </c>
      <c r="L329" t="s">
        <v>1092</v>
      </c>
      <c r="M329" t="s">
        <v>1092</v>
      </c>
    </row>
    <row r="330" spans="1:19" x14ac:dyDescent="0.25">
      <c r="A330">
        <v>24</v>
      </c>
      <c r="D330" t="s">
        <v>1090</v>
      </c>
      <c r="E330">
        <v>75</v>
      </c>
      <c r="F330">
        <v>75</v>
      </c>
      <c r="G330">
        <v>75</v>
      </c>
      <c r="H330">
        <v>0</v>
      </c>
      <c r="I330">
        <v>0</v>
      </c>
      <c r="J330">
        <v>0</v>
      </c>
      <c r="K330" t="s">
        <v>1092</v>
      </c>
      <c r="L330" t="s">
        <v>1092</v>
      </c>
      <c r="M330" t="s">
        <v>1092</v>
      </c>
    </row>
    <row r="332" spans="1:19" x14ac:dyDescent="0.25">
      <c r="A332" t="s">
        <v>1038</v>
      </c>
      <c r="D332" t="s">
        <v>1048</v>
      </c>
      <c r="E332" t="s">
        <v>498</v>
      </c>
      <c r="H332" t="s">
        <v>500</v>
      </c>
      <c r="K332" t="s">
        <v>1045</v>
      </c>
      <c r="N332" t="s">
        <v>1049</v>
      </c>
      <c r="Q332" t="s">
        <v>1039</v>
      </c>
    </row>
    <row r="333" spans="1:19" x14ac:dyDescent="0.25">
      <c r="E333" t="s">
        <v>1040</v>
      </c>
      <c r="F333" t="s">
        <v>1046</v>
      </c>
      <c r="G333" t="s">
        <v>1053</v>
      </c>
      <c r="H333" t="s">
        <v>1040</v>
      </c>
      <c r="I333" t="s">
        <v>1046</v>
      </c>
      <c r="J333" t="s">
        <v>1053</v>
      </c>
      <c r="K333" t="s">
        <v>1040</v>
      </c>
      <c r="L333" t="s">
        <v>1046</v>
      </c>
      <c r="M333" t="s">
        <v>1053</v>
      </c>
      <c r="N333" t="s">
        <v>1040</v>
      </c>
      <c r="O333" t="s">
        <v>1046</v>
      </c>
      <c r="P333" t="s">
        <v>1053</v>
      </c>
      <c r="Q333" t="s">
        <v>1040</v>
      </c>
      <c r="R333" t="s">
        <v>1046</v>
      </c>
      <c r="S333" t="s">
        <v>1053</v>
      </c>
    </row>
    <row r="334" spans="1:19" x14ac:dyDescent="0.25">
      <c r="A334">
        <v>1</v>
      </c>
      <c r="D334" t="s">
        <v>1056</v>
      </c>
      <c r="E334">
        <v>0</v>
      </c>
      <c r="F334">
        <v>0</v>
      </c>
      <c r="G334">
        <v>0</v>
      </c>
      <c r="H334">
        <v>5</v>
      </c>
      <c r="I334">
        <v>5</v>
      </c>
      <c r="J334">
        <v>5</v>
      </c>
      <c r="K334" t="s">
        <v>1101</v>
      </c>
      <c r="L334" t="s">
        <v>1101</v>
      </c>
      <c r="M334" t="s">
        <v>1101</v>
      </c>
      <c r="N334">
        <v>0</v>
      </c>
      <c r="O334">
        <v>0</v>
      </c>
      <c r="P334">
        <v>0</v>
      </c>
      <c r="Q334">
        <v>0</v>
      </c>
      <c r="R334">
        <v>0</v>
      </c>
      <c r="S334">
        <v>0</v>
      </c>
    </row>
    <row r="335" spans="1:19" x14ac:dyDescent="0.25">
      <c r="A335">
        <v>2</v>
      </c>
      <c r="D335" t="s">
        <v>1057</v>
      </c>
      <c r="E335">
        <v>0</v>
      </c>
      <c r="F335">
        <v>0</v>
      </c>
      <c r="G335">
        <v>0</v>
      </c>
      <c r="H335">
        <v>5</v>
      </c>
      <c r="I335">
        <v>5</v>
      </c>
      <c r="J335">
        <v>5</v>
      </c>
      <c r="K335" t="s">
        <v>1101</v>
      </c>
      <c r="L335" t="s">
        <v>1101</v>
      </c>
      <c r="M335" t="s">
        <v>1101</v>
      </c>
      <c r="N335">
        <v>0</v>
      </c>
      <c r="O335">
        <v>0</v>
      </c>
      <c r="P335">
        <v>0</v>
      </c>
      <c r="Q335">
        <v>0</v>
      </c>
      <c r="R335">
        <v>0</v>
      </c>
      <c r="S335">
        <v>0</v>
      </c>
    </row>
    <row r="336" spans="1:19" x14ac:dyDescent="0.25">
      <c r="A336">
        <v>3</v>
      </c>
      <c r="D336" t="s">
        <v>1059</v>
      </c>
      <c r="E336">
        <v>0</v>
      </c>
      <c r="F336">
        <v>0</v>
      </c>
      <c r="G336">
        <v>0</v>
      </c>
      <c r="H336">
        <v>5</v>
      </c>
      <c r="I336">
        <v>5</v>
      </c>
      <c r="J336">
        <v>5</v>
      </c>
      <c r="K336" t="s">
        <v>1101</v>
      </c>
      <c r="L336" t="s">
        <v>1101</v>
      </c>
      <c r="M336" t="s">
        <v>1101</v>
      </c>
      <c r="N336">
        <v>0</v>
      </c>
      <c r="O336">
        <v>0</v>
      </c>
      <c r="P336">
        <v>0</v>
      </c>
      <c r="Q336">
        <v>0</v>
      </c>
      <c r="R336">
        <v>0</v>
      </c>
      <c r="S336">
        <v>0</v>
      </c>
    </row>
    <row r="337" spans="1:19" x14ac:dyDescent="0.25">
      <c r="A337">
        <v>4</v>
      </c>
      <c r="D337" t="s">
        <v>1061</v>
      </c>
      <c r="E337">
        <v>0</v>
      </c>
      <c r="F337">
        <v>0</v>
      </c>
      <c r="G337">
        <v>0</v>
      </c>
      <c r="H337">
        <v>5</v>
      </c>
      <c r="I337">
        <v>5</v>
      </c>
      <c r="J337">
        <v>5</v>
      </c>
      <c r="K337" t="s">
        <v>1101</v>
      </c>
      <c r="L337" t="s">
        <v>1101</v>
      </c>
      <c r="M337" t="s">
        <v>1101</v>
      </c>
      <c r="N337">
        <v>0</v>
      </c>
      <c r="O337">
        <v>0</v>
      </c>
      <c r="P337">
        <v>0</v>
      </c>
      <c r="Q337">
        <v>0</v>
      </c>
      <c r="R337">
        <v>0</v>
      </c>
      <c r="S337">
        <v>0</v>
      </c>
    </row>
    <row r="338" spans="1:19" x14ac:dyDescent="0.25">
      <c r="A338">
        <v>5</v>
      </c>
      <c r="D338" t="s">
        <v>1063</v>
      </c>
      <c r="E338">
        <v>0</v>
      </c>
      <c r="F338">
        <v>0</v>
      </c>
      <c r="G338">
        <v>0</v>
      </c>
      <c r="H338">
        <v>5</v>
      </c>
      <c r="I338">
        <v>5</v>
      </c>
      <c r="J338">
        <v>5</v>
      </c>
      <c r="K338" t="s">
        <v>1101</v>
      </c>
      <c r="L338" t="s">
        <v>1101</v>
      </c>
      <c r="M338" t="s">
        <v>1101</v>
      </c>
      <c r="N338">
        <v>0</v>
      </c>
      <c r="O338">
        <v>0</v>
      </c>
      <c r="P338">
        <v>0</v>
      </c>
      <c r="Q338">
        <v>0</v>
      </c>
      <c r="R338">
        <v>0</v>
      </c>
      <c r="S338">
        <v>0</v>
      </c>
    </row>
    <row r="339" spans="1:19" x14ac:dyDescent="0.25">
      <c r="A339">
        <v>6</v>
      </c>
      <c r="D339" t="s">
        <v>1065</v>
      </c>
      <c r="E339">
        <v>0</v>
      </c>
      <c r="F339">
        <v>0</v>
      </c>
      <c r="G339">
        <v>0</v>
      </c>
      <c r="H339">
        <v>5</v>
      </c>
      <c r="I339">
        <v>5</v>
      </c>
      <c r="J339">
        <v>5</v>
      </c>
      <c r="K339" t="s">
        <v>1101</v>
      </c>
      <c r="L339" t="s">
        <v>1101</v>
      </c>
      <c r="M339" t="s">
        <v>1101</v>
      </c>
      <c r="N339">
        <v>0</v>
      </c>
      <c r="O339">
        <v>0</v>
      </c>
      <c r="P339">
        <v>0</v>
      </c>
      <c r="Q339">
        <v>0</v>
      </c>
      <c r="R339">
        <v>0</v>
      </c>
      <c r="S339">
        <v>0</v>
      </c>
    </row>
    <row r="340" spans="1:19" x14ac:dyDescent="0.25">
      <c r="A340">
        <v>7</v>
      </c>
      <c r="D340" t="s">
        <v>1067</v>
      </c>
      <c r="E340">
        <v>0</v>
      </c>
      <c r="F340">
        <v>0</v>
      </c>
      <c r="G340">
        <v>0</v>
      </c>
      <c r="H340">
        <v>5</v>
      </c>
      <c r="I340">
        <v>5</v>
      </c>
      <c r="J340">
        <v>5</v>
      </c>
      <c r="K340" t="s">
        <v>1101</v>
      </c>
      <c r="L340" t="s">
        <v>1101</v>
      </c>
      <c r="M340" t="s">
        <v>1101</v>
      </c>
      <c r="N340">
        <v>0</v>
      </c>
      <c r="O340">
        <v>0</v>
      </c>
      <c r="P340">
        <v>0</v>
      </c>
      <c r="Q340">
        <v>0</v>
      </c>
      <c r="R340">
        <v>0</v>
      </c>
      <c r="S340">
        <v>0</v>
      </c>
    </row>
    <row r="341" spans="1:19" x14ac:dyDescent="0.25">
      <c r="A341">
        <v>8</v>
      </c>
      <c r="D341" t="s">
        <v>1069</v>
      </c>
      <c r="E341">
        <v>5</v>
      </c>
      <c r="F341">
        <v>0</v>
      </c>
      <c r="G341">
        <v>0</v>
      </c>
      <c r="H341">
        <v>40</v>
      </c>
      <c r="I341">
        <v>5</v>
      </c>
      <c r="J341">
        <v>5</v>
      </c>
      <c r="K341" t="s">
        <v>1092</v>
      </c>
      <c r="L341" t="s">
        <v>1101</v>
      </c>
      <c r="M341" t="s">
        <v>1101</v>
      </c>
      <c r="N341">
        <v>60</v>
      </c>
      <c r="O341">
        <v>0</v>
      </c>
      <c r="P341">
        <v>0</v>
      </c>
      <c r="Q341">
        <v>0</v>
      </c>
      <c r="R341">
        <v>0</v>
      </c>
      <c r="S341">
        <v>0</v>
      </c>
    </row>
    <row r="342" spans="1:19" x14ac:dyDescent="0.25">
      <c r="A342">
        <v>9</v>
      </c>
      <c r="D342" t="s">
        <v>1071</v>
      </c>
      <c r="E342">
        <v>5</v>
      </c>
      <c r="F342">
        <v>0</v>
      </c>
      <c r="G342">
        <v>0</v>
      </c>
      <c r="H342">
        <v>60</v>
      </c>
      <c r="I342">
        <v>5</v>
      </c>
      <c r="J342">
        <v>5</v>
      </c>
      <c r="K342" t="s">
        <v>1092</v>
      </c>
      <c r="L342" t="s">
        <v>1101</v>
      </c>
      <c r="M342" t="s">
        <v>1101</v>
      </c>
      <c r="N342">
        <v>55</v>
      </c>
      <c r="O342">
        <v>0</v>
      </c>
      <c r="P342">
        <v>0</v>
      </c>
      <c r="Q342">
        <v>0</v>
      </c>
      <c r="R342">
        <v>0</v>
      </c>
      <c r="S342">
        <v>0</v>
      </c>
    </row>
    <row r="343" spans="1:19" x14ac:dyDescent="0.25">
      <c r="A343">
        <v>10</v>
      </c>
      <c r="D343" t="s">
        <v>1073</v>
      </c>
      <c r="E343">
        <v>5</v>
      </c>
      <c r="F343">
        <v>0</v>
      </c>
      <c r="G343">
        <v>0</v>
      </c>
      <c r="H343">
        <v>60</v>
      </c>
      <c r="I343">
        <v>5</v>
      </c>
      <c r="J343">
        <v>5</v>
      </c>
      <c r="K343" t="s">
        <v>1092</v>
      </c>
      <c r="L343" t="s">
        <v>1101</v>
      </c>
      <c r="M343" t="s">
        <v>1101</v>
      </c>
      <c r="N343">
        <v>45</v>
      </c>
      <c r="O343">
        <v>0</v>
      </c>
      <c r="P343">
        <v>0</v>
      </c>
      <c r="Q343">
        <v>0</v>
      </c>
      <c r="R343">
        <v>0</v>
      </c>
      <c r="S343">
        <v>0</v>
      </c>
    </row>
    <row r="344" spans="1:19" x14ac:dyDescent="0.25">
      <c r="A344">
        <v>11</v>
      </c>
      <c r="D344" t="s">
        <v>1075</v>
      </c>
      <c r="E344">
        <v>20</v>
      </c>
      <c r="F344">
        <v>0</v>
      </c>
      <c r="G344">
        <v>0</v>
      </c>
      <c r="H344">
        <v>90</v>
      </c>
      <c r="I344">
        <v>5</v>
      </c>
      <c r="J344">
        <v>5</v>
      </c>
      <c r="K344" t="s">
        <v>1092</v>
      </c>
      <c r="L344" t="s">
        <v>1101</v>
      </c>
      <c r="M344" t="s">
        <v>1101</v>
      </c>
      <c r="N344">
        <v>40</v>
      </c>
      <c r="O344">
        <v>0</v>
      </c>
      <c r="P344">
        <v>0</v>
      </c>
      <c r="Q344">
        <v>0</v>
      </c>
      <c r="R344">
        <v>0</v>
      </c>
      <c r="S344">
        <v>0</v>
      </c>
    </row>
    <row r="345" spans="1:19" x14ac:dyDescent="0.25">
      <c r="A345">
        <v>12</v>
      </c>
      <c r="D345" t="s">
        <v>1076</v>
      </c>
      <c r="E345">
        <v>50</v>
      </c>
      <c r="F345">
        <v>0</v>
      </c>
      <c r="G345">
        <v>0</v>
      </c>
      <c r="H345">
        <v>90</v>
      </c>
      <c r="I345">
        <v>5</v>
      </c>
      <c r="J345">
        <v>5</v>
      </c>
      <c r="K345" t="s">
        <v>1092</v>
      </c>
      <c r="L345" t="s">
        <v>1101</v>
      </c>
      <c r="M345" t="s">
        <v>1101</v>
      </c>
      <c r="N345">
        <v>45</v>
      </c>
      <c r="O345">
        <v>0</v>
      </c>
      <c r="P345">
        <v>0</v>
      </c>
      <c r="Q345">
        <v>0</v>
      </c>
      <c r="R345">
        <v>0</v>
      </c>
      <c r="S345">
        <v>0</v>
      </c>
    </row>
    <row r="346" spans="1:19" x14ac:dyDescent="0.25">
      <c r="A346">
        <v>13</v>
      </c>
      <c r="D346" t="s">
        <v>1077</v>
      </c>
      <c r="E346">
        <v>80</v>
      </c>
      <c r="F346">
        <v>0</v>
      </c>
      <c r="G346">
        <v>0</v>
      </c>
      <c r="H346">
        <v>90</v>
      </c>
      <c r="I346">
        <v>5</v>
      </c>
      <c r="J346">
        <v>5</v>
      </c>
      <c r="K346" t="s">
        <v>1092</v>
      </c>
      <c r="L346" t="s">
        <v>1101</v>
      </c>
      <c r="M346" t="s">
        <v>1101</v>
      </c>
      <c r="N346">
        <v>40</v>
      </c>
      <c r="O346">
        <v>0</v>
      </c>
      <c r="P346">
        <v>0</v>
      </c>
      <c r="Q346">
        <v>0</v>
      </c>
      <c r="R346">
        <v>0</v>
      </c>
      <c r="S346">
        <v>0</v>
      </c>
    </row>
    <row r="347" spans="1:19" x14ac:dyDescent="0.25">
      <c r="A347">
        <v>14</v>
      </c>
      <c r="D347" t="s">
        <v>1078</v>
      </c>
      <c r="E347">
        <v>70</v>
      </c>
      <c r="F347">
        <v>0</v>
      </c>
      <c r="G347">
        <v>0</v>
      </c>
      <c r="H347">
        <v>90</v>
      </c>
      <c r="I347">
        <v>5</v>
      </c>
      <c r="J347">
        <v>5</v>
      </c>
      <c r="K347" t="s">
        <v>1092</v>
      </c>
      <c r="L347" t="s">
        <v>1101</v>
      </c>
      <c r="M347" t="s">
        <v>1101</v>
      </c>
      <c r="N347">
        <v>35</v>
      </c>
      <c r="O347">
        <v>0</v>
      </c>
      <c r="P347">
        <v>0</v>
      </c>
      <c r="Q347">
        <v>0</v>
      </c>
      <c r="R347">
        <v>0</v>
      </c>
      <c r="S347">
        <v>0</v>
      </c>
    </row>
    <row r="348" spans="1:19" x14ac:dyDescent="0.25">
      <c r="A348">
        <v>15</v>
      </c>
      <c r="D348" t="s">
        <v>1080</v>
      </c>
      <c r="E348">
        <v>40</v>
      </c>
      <c r="F348">
        <v>0</v>
      </c>
      <c r="G348">
        <v>0</v>
      </c>
      <c r="H348">
        <v>90</v>
      </c>
      <c r="I348">
        <v>5</v>
      </c>
      <c r="J348">
        <v>5</v>
      </c>
      <c r="K348" t="s">
        <v>1092</v>
      </c>
      <c r="L348" t="s">
        <v>1101</v>
      </c>
      <c r="M348" t="s">
        <v>1101</v>
      </c>
      <c r="N348">
        <v>30</v>
      </c>
      <c r="O348">
        <v>0</v>
      </c>
      <c r="P348">
        <v>0</v>
      </c>
      <c r="Q348">
        <v>0</v>
      </c>
      <c r="R348">
        <v>0</v>
      </c>
      <c r="S348">
        <v>0</v>
      </c>
    </row>
    <row r="349" spans="1:19" x14ac:dyDescent="0.25">
      <c r="A349">
        <v>16</v>
      </c>
      <c r="D349" t="s">
        <v>1082</v>
      </c>
      <c r="E349">
        <v>20</v>
      </c>
      <c r="F349">
        <v>0</v>
      </c>
      <c r="G349">
        <v>0</v>
      </c>
      <c r="H349">
        <v>60</v>
      </c>
      <c r="I349">
        <v>5</v>
      </c>
      <c r="J349">
        <v>5</v>
      </c>
      <c r="K349" t="s">
        <v>1092</v>
      </c>
      <c r="L349" t="s">
        <v>1101</v>
      </c>
      <c r="M349" t="s">
        <v>1101</v>
      </c>
      <c r="N349">
        <v>30</v>
      </c>
      <c r="O349">
        <v>0</v>
      </c>
      <c r="P349">
        <v>0</v>
      </c>
      <c r="Q349">
        <v>0</v>
      </c>
      <c r="R349">
        <v>0</v>
      </c>
      <c r="S349">
        <v>0</v>
      </c>
    </row>
    <row r="350" spans="1:19" x14ac:dyDescent="0.25">
      <c r="A350">
        <v>17</v>
      </c>
      <c r="D350" t="s">
        <v>1083</v>
      </c>
      <c r="E350">
        <v>10</v>
      </c>
      <c r="F350">
        <v>0</v>
      </c>
      <c r="G350">
        <v>0</v>
      </c>
      <c r="H350">
        <v>40</v>
      </c>
      <c r="I350">
        <v>5</v>
      </c>
      <c r="J350">
        <v>5</v>
      </c>
      <c r="K350" t="s">
        <v>1092</v>
      </c>
      <c r="L350" t="s">
        <v>1101</v>
      </c>
      <c r="M350" t="s">
        <v>1101</v>
      </c>
      <c r="N350">
        <v>30</v>
      </c>
      <c r="O350">
        <v>0</v>
      </c>
      <c r="P350">
        <v>0</v>
      </c>
      <c r="Q350">
        <v>0</v>
      </c>
      <c r="R350">
        <v>0</v>
      </c>
      <c r="S350">
        <v>0</v>
      </c>
    </row>
    <row r="351" spans="1:19" x14ac:dyDescent="0.25">
      <c r="A351">
        <v>18</v>
      </c>
      <c r="D351" t="s">
        <v>1084</v>
      </c>
      <c r="E351">
        <v>5</v>
      </c>
      <c r="F351">
        <v>0</v>
      </c>
      <c r="G351">
        <v>0</v>
      </c>
      <c r="H351">
        <v>5</v>
      </c>
      <c r="I351">
        <v>5</v>
      </c>
      <c r="J351">
        <v>5</v>
      </c>
      <c r="K351" t="s">
        <v>1092</v>
      </c>
      <c r="L351" t="s">
        <v>1101</v>
      </c>
      <c r="M351" t="s">
        <v>1101</v>
      </c>
      <c r="N351">
        <v>40</v>
      </c>
      <c r="O351">
        <v>0</v>
      </c>
      <c r="P351">
        <v>0</v>
      </c>
      <c r="Q351">
        <v>0</v>
      </c>
      <c r="R351">
        <v>0</v>
      </c>
      <c r="S351">
        <v>0</v>
      </c>
    </row>
    <row r="352" spans="1:19" x14ac:dyDescent="0.25">
      <c r="A352">
        <v>19</v>
      </c>
      <c r="D352" t="s">
        <v>1085</v>
      </c>
      <c r="E352">
        <v>0</v>
      </c>
      <c r="F352">
        <v>0</v>
      </c>
      <c r="G352">
        <v>0</v>
      </c>
      <c r="H352">
        <v>5</v>
      </c>
      <c r="I352">
        <v>5</v>
      </c>
      <c r="J352">
        <v>5</v>
      </c>
      <c r="K352" t="s">
        <v>1101</v>
      </c>
      <c r="L352" t="s">
        <v>1101</v>
      </c>
      <c r="M352" t="s">
        <v>1101</v>
      </c>
      <c r="N352">
        <v>55</v>
      </c>
      <c r="O352">
        <v>0</v>
      </c>
      <c r="P352">
        <v>0</v>
      </c>
      <c r="Q352">
        <v>0</v>
      </c>
      <c r="R352">
        <v>0</v>
      </c>
      <c r="S352">
        <v>0</v>
      </c>
    </row>
    <row r="353" spans="1:19" x14ac:dyDescent="0.25">
      <c r="A353">
        <v>20</v>
      </c>
      <c r="D353" t="s">
        <v>1086</v>
      </c>
      <c r="E353">
        <v>0</v>
      </c>
      <c r="F353">
        <v>0</v>
      </c>
      <c r="G353">
        <v>0</v>
      </c>
      <c r="H353">
        <v>5</v>
      </c>
      <c r="I353">
        <v>5</v>
      </c>
      <c r="J353">
        <v>5</v>
      </c>
      <c r="K353" t="s">
        <v>1101</v>
      </c>
      <c r="L353" t="s">
        <v>1101</v>
      </c>
      <c r="M353" t="s">
        <v>1101</v>
      </c>
      <c r="N353">
        <v>0</v>
      </c>
      <c r="O353">
        <v>0</v>
      </c>
      <c r="P353">
        <v>0</v>
      </c>
      <c r="Q353">
        <v>0</v>
      </c>
      <c r="R353">
        <v>0</v>
      </c>
      <c r="S353">
        <v>0</v>
      </c>
    </row>
    <row r="354" spans="1:19" x14ac:dyDescent="0.25">
      <c r="A354">
        <v>21</v>
      </c>
      <c r="D354" t="s">
        <v>1087</v>
      </c>
      <c r="E354">
        <v>0</v>
      </c>
      <c r="F354">
        <v>0</v>
      </c>
      <c r="G354">
        <v>0</v>
      </c>
      <c r="H354">
        <v>5</v>
      </c>
      <c r="I354">
        <v>5</v>
      </c>
      <c r="J354">
        <v>5</v>
      </c>
      <c r="K354" t="s">
        <v>1101</v>
      </c>
      <c r="L354" t="s">
        <v>1101</v>
      </c>
      <c r="M354" t="s">
        <v>1101</v>
      </c>
      <c r="N354">
        <v>0</v>
      </c>
      <c r="O354">
        <v>0</v>
      </c>
      <c r="P354">
        <v>0</v>
      </c>
      <c r="Q354">
        <v>0</v>
      </c>
      <c r="R354">
        <v>0</v>
      </c>
      <c r="S354">
        <v>0</v>
      </c>
    </row>
    <row r="355" spans="1:19" x14ac:dyDescent="0.25">
      <c r="A355">
        <v>22</v>
      </c>
      <c r="D355" t="s">
        <v>1088</v>
      </c>
      <c r="E355">
        <v>75</v>
      </c>
      <c r="F355">
        <v>75</v>
      </c>
      <c r="G355">
        <v>75</v>
      </c>
      <c r="H355">
        <v>0</v>
      </c>
      <c r="I355">
        <v>0</v>
      </c>
      <c r="J355">
        <v>0</v>
      </c>
      <c r="K355" t="s">
        <v>1092</v>
      </c>
      <c r="L355" t="s">
        <v>1092</v>
      </c>
      <c r="M355" t="s">
        <v>1092</v>
      </c>
      <c r="N355">
        <v>0</v>
      </c>
      <c r="O355">
        <v>0</v>
      </c>
      <c r="P355">
        <v>0</v>
      </c>
      <c r="Q355">
        <v>0</v>
      </c>
      <c r="R355">
        <v>0</v>
      </c>
      <c r="S355">
        <v>0</v>
      </c>
    </row>
    <row r="356" spans="1:19" x14ac:dyDescent="0.25">
      <c r="A356">
        <v>23</v>
      </c>
      <c r="D356" t="s">
        <v>1089</v>
      </c>
      <c r="E356">
        <v>75</v>
      </c>
      <c r="F356">
        <v>75</v>
      </c>
      <c r="G356">
        <v>75</v>
      </c>
      <c r="H356">
        <v>0</v>
      </c>
      <c r="I356">
        <v>0</v>
      </c>
      <c r="J356">
        <v>0</v>
      </c>
      <c r="K356" t="s">
        <v>1092</v>
      </c>
      <c r="L356" t="s">
        <v>1092</v>
      </c>
      <c r="M356" t="s">
        <v>1092</v>
      </c>
      <c r="N356">
        <v>0</v>
      </c>
      <c r="O356">
        <v>0</v>
      </c>
      <c r="P356">
        <v>0</v>
      </c>
      <c r="Q356">
        <v>0</v>
      </c>
      <c r="R356">
        <v>0</v>
      </c>
      <c r="S356">
        <v>0</v>
      </c>
    </row>
    <row r="357" spans="1:19" x14ac:dyDescent="0.25">
      <c r="A357">
        <v>24</v>
      </c>
      <c r="D357" t="s">
        <v>1090</v>
      </c>
    </row>
    <row r="359" spans="1:19" x14ac:dyDescent="0.25">
      <c r="A359" t="s">
        <v>1074</v>
      </c>
      <c r="D359" t="s">
        <v>1048</v>
      </c>
      <c r="E359" t="s">
        <v>498</v>
      </c>
      <c r="H359" t="s">
        <v>500</v>
      </c>
      <c r="K359" t="s">
        <v>1045</v>
      </c>
      <c r="N359" t="s">
        <v>1049</v>
      </c>
      <c r="Q359" t="s">
        <v>1039</v>
      </c>
    </row>
    <row r="360" spans="1:19" x14ac:dyDescent="0.25">
      <c r="E360" t="s">
        <v>1040</v>
      </c>
      <c r="F360" t="s">
        <v>1046</v>
      </c>
      <c r="G360" t="s">
        <v>1053</v>
      </c>
      <c r="H360" t="s">
        <v>1040</v>
      </c>
      <c r="I360" t="s">
        <v>1046</v>
      </c>
      <c r="J360" t="s">
        <v>1053</v>
      </c>
      <c r="K360" t="s">
        <v>1040</v>
      </c>
      <c r="L360" t="s">
        <v>1046</v>
      </c>
      <c r="M360" t="s">
        <v>1053</v>
      </c>
      <c r="N360" t="s">
        <v>1040</v>
      </c>
      <c r="O360" t="s">
        <v>1046</v>
      </c>
      <c r="P360" t="s">
        <v>1053</v>
      </c>
      <c r="Q360" t="s">
        <v>1040</v>
      </c>
      <c r="R360" t="s">
        <v>1046</v>
      </c>
      <c r="S360" t="s">
        <v>1053</v>
      </c>
    </row>
    <row r="361" spans="1:19" x14ac:dyDescent="0.25">
      <c r="A361">
        <v>1</v>
      </c>
      <c r="D361" t="s">
        <v>1056</v>
      </c>
      <c r="E361">
        <v>0</v>
      </c>
      <c r="F361">
        <v>0</v>
      </c>
      <c r="G361">
        <v>0</v>
      </c>
      <c r="H361">
        <v>10</v>
      </c>
      <c r="I361">
        <v>10</v>
      </c>
      <c r="J361">
        <v>5</v>
      </c>
      <c r="K361" t="str">
        <f>IF(E361=0,"OFF","ON")</f>
        <v>OFF</v>
      </c>
      <c r="L361" t="str">
        <f t="shared" ref="L361:M361" si="4">IF(F361=0,"OFF","ON")</f>
        <v>OFF</v>
      </c>
      <c r="M361" t="str">
        <f t="shared" si="4"/>
        <v>OFF</v>
      </c>
    </row>
    <row r="362" spans="1:19" x14ac:dyDescent="0.25">
      <c r="A362">
        <v>2</v>
      </c>
      <c r="D362" t="s">
        <v>1057</v>
      </c>
      <c r="E362">
        <v>0</v>
      </c>
      <c r="F362">
        <v>0</v>
      </c>
      <c r="G362">
        <v>0</v>
      </c>
      <c r="H362">
        <v>10</v>
      </c>
      <c r="I362">
        <v>10</v>
      </c>
      <c r="J362">
        <v>5</v>
      </c>
      <c r="K362" t="str">
        <f t="shared" ref="K362:K384" si="5">IF(E362=0,"OFF","ON")</f>
        <v>OFF</v>
      </c>
      <c r="L362" t="str">
        <f t="shared" ref="L362:L384" si="6">IF(F362=0,"OFF","ON")</f>
        <v>OFF</v>
      </c>
      <c r="M362" t="str">
        <f t="shared" ref="M362:M384" si="7">IF(G362=0,"OFF","ON")</f>
        <v>OFF</v>
      </c>
    </row>
    <row r="363" spans="1:19" x14ac:dyDescent="0.25">
      <c r="A363">
        <v>3</v>
      </c>
      <c r="D363" s="201" t="s">
        <v>1059</v>
      </c>
      <c r="E363">
        <v>0</v>
      </c>
      <c r="F363">
        <v>0</v>
      </c>
      <c r="G363">
        <v>0</v>
      </c>
      <c r="H363">
        <v>10</v>
      </c>
      <c r="I363">
        <v>10</v>
      </c>
      <c r="J363">
        <v>5</v>
      </c>
      <c r="K363" t="str">
        <f t="shared" si="5"/>
        <v>OFF</v>
      </c>
      <c r="L363" t="str">
        <f t="shared" si="6"/>
        <v>OFF</v>
      </c>
      <c r="M363" t="str">
        <f t="shared" si="7"/>
        <v>OFF</v>
      </c>
    </row>
    <row r="364" spans="1:19" x14ac:dyDescent="0.25">
      <c r="A364">
        <v>4</v>
      </c>
      <c r="D364" t="s">
        <v>1061</v>
      </c>
      <c r="E364">
        <v>0</v>
      </c>
      <c r="F364">
        <v>0</v>
      </c>
      <c r="G364">
        <v>0</v>
      </c>
      <c r="H364">
        <v>10</v>
      </c>
      <c r="I364">
        <v>10</v>
      </c>
      <c r="J364">
        <v>5</v>
      </c>
      <c r="K364" t="str">
        <f t="shared" si="5"/>
        <v>OFF</v>
      </c>
      <c r="L364" t="str">
        <f t="shared" si="6"/>
        <v>OFF</v>
      </c>
      <c r="M364" t="str">
        <f t="shared" si="7"/>
        <v>OFF</v>
      </c>
    </row>
    <row r="365" spans="1:19" x14ac:dyDescent="0.25">
      <c r="A365">
        <v>5</v>
      </c>
      <c r="D365" t="s">
        <v>1063</v>
      </c>
      <c r="E365">
        <v>0</v>
      </c>
      <c r="F365">
        <v>0</v>
      </c>
      <c r="G365">
        <v>0</v>
      </c>
      <c r="H365">
        <v>10</v>
      </c>
      <c r="I365">
        <v>10</v>
      </c>
      <c r="J365">
        <v>5</v>
      </c>
      <c r="K365" t="str">
        <f t="shared" si="5"/>
        <v>OFF</v>
      </c>
      <c r="L365" t="str">
        <f t="shared" si="6"/>
        <v>OFF</v>
      </c>
      <c r="M365" t="str">
        <f t="shared" si="7"/>
        <v>OFF</v>
      </c>
    </row>
    <row r="366" spans="1:19" x14ac:dyDescent="0.25">
      <c r="A366">
        <v>6</v>
      </c>
      <c r="D366" t="s">
        <v>1065</v>
      </c>
      <c r="E366">
        <v>0</v>
      </c>
      <c r="F366">
        <v>0</v>
      </c>
      <c r="G366">
        <v>0</v>
      </c>
      <c r="H366">
        <v>10</v>
      </c>
      <c r="I366">
        <v>10</v>
      </c>
      <c r="J366">
        <v>5</v>
      </c>
      <c r="K366" t="str">
        <f t="shared" si="5"/>
        <v>OFF</v>
      </c>
      <c r="L366" t="str">
        <f t="shared" si="6"/>
        <v>OFF</v>
      </c>
      <c r="M366" t="str">
        <f t="shared" si="7"/>
        <v>OFF</v>
      </c>
    </row>
    <row r="367" spans="1:19" x14ac:dyDescent="0.25">
      <c r="A367">
        <v>7</v>
      </c>
      <c r="D367" t="s">
        <v>1067</v>
      </c>
      <c r="E367">
        <v>0</v>
      </c>
      <c r="F367">
        <v>0</v>
      </c>
      <c r="G367">
        <v>0</v>
      </c>
      <c r="H367">
        <v>10</v>
      </c>
      <c r="I367">
        <v>10</v>
      </c>
      <c r="J367">
        <v>5</v>
      </c>
      <c r="K367" t="str">
        <f t="shared" si="5"/>
        <v>OFF</v>
      </c>
      <c r="L367" t="str">
        <f t="shared" si="6"/>
        <v>OFF</v>
      </c>
      <c r="M367" t="str">
        <f t="shared" si="7"/>
        <v>OFF</v>
      </c>
    </row>
    <row r="368" spans="1:19" x14ac:dyDescent="0.25">
      <c r="A368">
        <v>8</v>
      </c>
      <c r="D368" t="s">
        <v>1069</v>
      </c>
      <c r="E368">
        <v>10</v>
      </c>
      <c r="F368">
        <v>10</v>
      </c>
      <c r="G368">
        <v>0</v>
      </c>
      <c r="H368">
        <v>50</v>
      </c>
      <c r="I368">
        <v>20</v>
      </c>
      <c r="J368">
        <v>5</v>
      </c>
      <c r="K368" t="str">
        <f t="shared" si="5"/>
        <v>ON</v>
      </c>
      <c r="L368" t="str">
        <f t="shared" si="6"/>
        <v>ON</v>
      </c>
      <c r="M368" t="str">
        <f t="shared" si="7"/>
        <v>OFF</v>
      </c>
    </row>
    <row r="369" spans="1:13" x14ac:dyDescent="0.25">
      <c r="A369">
        <v>9</v>
      </c>
      <c r="D369" t="s">
        <v>1071</v>
      </c>
      <c r="E369">
        <v>50</v>
      </c>
      <c r="F369">
        <v>30</v>
      </c>
      <c r="G369">
        <v>5</v>
      </c>
      <c r="H369">
        <v>90</v>
      </c>
      <c r="I369">
        <v>40</v>
      </c>
      <c r="J369">
        <v>10</v>
      </c>
      <c r="K369" t="str">
        <f t="shared" si="5"/>
        <v>ON</v>
      </c>
      <c r="L369" t="str">
        <f t="shared" si="6"/>
        <v>ON</v>
      </c>
      <c r="M369" t="str">
        <f t="shared" si="7"/>
        <v>ON</v>
      </c>
    </row>
    <row r="370" spans="1:13" x14ac:dyDescent="0.25">
      <c r="A370">
        <v>10</v>
      </c>
      <c r="D370" t="s">
        <v>1073</v>
      </c>
      <c r="E370">
        <v>80</v>
      </c>
      <c r="F370">
        <v>40</v>
      </c>
      <c r="G370">
        <v>5</v>
      </c>
      <c r="H370">
        <v>90</v>
      </c>
      <c r="I370">
        <v>40</v>
      </c>
      <c r="J370">
        <v>10</v>
      </c>
      <c r="K370" t="str">
        <f t="shared" si="5"/>
        <v>ON</v>
      </c>
      <c r="L370" t="str">
        <f t="shared" si="6"/>
        <v>ON</v>
      </c>
      <c r="M370" t="str">
        <f t="shared" si="7"/>
        <v>ON</v>
      </c>
    </row>
    <row r="371" spans="1:13" x14ac:dyDescent="0.25">
      <c r="A371">
        <v>11</v>
      </c>
      <c r="D371" t="s">
        <v>1075</v>
      </c>
      <c r="E371">
        <v>80</v>
      </c>
      <c r="F371">
        <v>40</v>
      </c>
      <c r="G371">
        <v>5</v>
      </c>
      <c r="H371">
        <v>90</v>
      </c>
      <c r="I371">
        <v>40</v>
      </c>
      <c r="J371">
        <v>10</v>
      </c>
      <c r="K371" t="str">
        <f t="shared" si="5"/>
        <v>ON</v>
      </c>
      <c r="L371" t="str">
        <f t="shared" si="6"/>
        <v>ON</v>
      </c>
      <c r="M371" t="str">
        <f t="shared" si="7"/>
        <v>ON</v>
      </c>
    </row>
    <row r="372" spans="1:13" x14ac:dyDescent="0.25">
      <c r="A372">
        <v>12</v>
      </c>
      <c r="D372" t="s">
        <v>1076</v>
      </c>
      <c r="E372">
        <v>80</v>
      </c>
      <c r="F372">
        <v>40</v>
      </c>
      <c r="G372">
        <v>5</v>
      </c>
      <c r="H372">
        <v>90</v>
      </c>
      <c r="I372">
        <v>40</v>
      </c>
      <c r="J372">
        <v>10</v>
      </c>
      <c r="K372" t="str">
        <f t="shared" si="5"/>
        <v>ON</v>
      </c>
      <c r="L372" t="str">
        <f t="shared" si="6"/>
        <v>ON</v>
      </c>
      <c r="M372" t="str">
        <f t="shared" si="7"/>
        <v>ON</v>
      </c>
    </row>
    <row r="373" spans="1:13" x14ac:dyDescent="0.25">
      <c r="A373">
        <v>13</v>
      </c>
      <c r="D373" t="s">
        <v>1077</v>
      </c>
      <c r="E373">
        <v>80</v>
      </c>
      <c r="F373">
        <v>40</v>
      </c>
      <c r="G373">
        <v>5</v>
      </c>
      <c r="H373">
        <v>90</v>
      </c>
      <c r="I373">
        <v>40</v>
      </c>
      <c r="J373">
        <v>10</v>
      </c>
      <c r="K373" t="str">
        <f t="shared" si="5"/>
        <v>ON</v>
      </c>
      <c r="L373" t="str">
        <f t="shared" si="6"/>
        <v>ON</v>
      </c>
      <c r="M373" t="str">
        <f t="shared" si="7"/>
        <v>ON</v>
      </c>
    </row>
    <row r="374" spans="1:13" x14ac:dyDescent="0.25">
      <c r="A374">
        <v>14</v>
      </c>
      <c r="D374" t="s">
        <v>1078</v>
      </c>
      <c r="E374">
        <v>80</v>
      </c>
      <c r="F374">
        <v>40</v>
      </c>
      <c r="G374">
        <v>5</v>
      </c>
      <c r="H374">
        <v>90</v>
      </c>
      <c r="I374">
        <v>40</v>
      </c>
      <c r="J374">
        <v>10</v>
      </c>
      <c r="K374" t="str">
        <f t="shared" si="5"/>
        <v>ON</v>
      </c>
      <c r="L374" t="str">
        <f t="shared" si="6"/>
        <v>ON</v>
      </c>
      <c r="M374" t="str">
        <f t="shared" si="7"/>
        <v>ON</v>
      </c>
    </row>
    <row r="375" spans="1:13" x14ac:dyDescent="0.25">
      <c r="A375">
        <v>15</v>
      </c>
      <c r="D375" t="s">
        <v>1080</v>
      </c>
      <c r="E375">
        <v>80</v>
      </c>
      <c r="F375">
        <v>40</v>
      </c>
      <c r="G375">
        <v>5</v>
      </c>
      <c r="H375">
        <v>90</v>
      </c>
      <c r="I375">
        <v>40</v>
      </c>
      <c r="J375">
        <v>10</v>
      </c>
      <c r="K375" t="str">
        <f t="shared" si="5"/>
        <v>ON</v>
      </c>
      <c r="L375" t="str">
        <f t="shared" si="6"/>
        <v>ON</v>
      </c>
      <c r="M375" t="str">
        <f t="shared" si="7"/>
        <v>ON</v>
      </c>
    </row>
    <row r="376" spans="1:13" x14ac:dyDescent="0.25">
      <c r="A376">
        <v>16</v>
      </c>
      <c r="D376" t="s">
        <v>1082</v>
      </c>
      <c r="E376">
        <v>80</v>
      </c>
      <c r="F376">
        <v>40</v>
      </c>
      <c r="G376">
        <v>5</v>
      </c>
      <c r="H376">
        <v>90</v>
      </c>
      <c r="I376">
        <v>40</v>
      </c>
      <c r="J376">
        <v>10</v>
      </c>
      <c r="K376" t="str">
        <f t="shared" si="5"/>
        <v>ON</v>
      </c>
      <c r="L376" t="str">
        <f t="shared" si="6"/>
        <v>ON</v>
      </c>
      <c r="M376" t="str">
        <f t="shared" si="7"/>
        <v>ON</v>
      </c>
    </row>
    <row r="377" spans="1:13" x14ac:dyDescent="0.25">
      <c r="A377">
        <v>17</v>
      </c>
      <c r="D377" t="s">
        <v>1083</v>
      </c>
      <c r="E377">
        <v>50</v>
      </c>
      <c r="F377">
        <v>10</v>
      </c>
      <c r="G377">
        <v>0</v>
      </c>
      <c r="H377">
        <v>30</v>
      </c>
      <c r="I377">
        <v>40</v>
      </c>
      <c r="J377">
        <v>5</v>
      </c>
      <c r="K377" t="str">
        <f t="shared" si="5"/>
        <v>ON</v>
      </c>
      <c r="L377" t="str">
        <f t="shared" si="6"/>
        <v>ON</v>
      </c>
      <c r="M377" t="str">
        <f t="shared" si="7"/>
        <v>OFF</v>
      </c>
    </row>
    <row r="378" spans="1:13" x14ac:dyDescent="0.25">
      <c r="A378">
        <v>18</v>
      </c>
      <c r="D378" t="s">
        <v>1084</v>
      </c>
      <c r="E378">
        <v>30</v>
      </c>
      <c r="F378">
        <v>10</v>
      </c>
      <c r="G378">
        <v>0</v>
      </c>
      <c r="H378">
        <v>30</v>
      </c>
      <c r="I378">
        <v>10</v>
      </c>
      <c r="J378">
        <v>5</v>
      </c>
      <c r="K378" t="str">
        <f t="shared" si="5"/>
        <v>ON</v>
      </c>
      <c r="L378" t="str">
        <f t="shared" si="6"/>
        <v>ON</v>
      </c>
      <c r="M378" t="str">
        <f t="shared" si="7"/>
        <v>OFF</v>
      </c>
    </row>
    <row r="379" spans="1:13" x14ac:dyDescent="0.25">
      <c r="A379">
        <v>19</v>
      </c>
      <c r="D379" t="s">
        <v>1085</v>
      </c>
      <c r="E379">
        <v>30</v>
      </c>
      <c r="F379">
        <v>0</v>
      </c>
      <c r="G379">
        <v>0</v>
      </c>
      <c r="H379">
        <v>30</v>
      </c>
      <c r="I379">
        <v>10</v>
      </c>
      <c r="J379">
        <v>5</v>
      </c>
      <c r="K379" t="str">
        <f t="shared" si="5"/>
        <v>ON</v>
      </c>
      <c r="L379" t="str">
        <f t="shared" si="6"/>
        <v>OFF</v>
      </c>
      <c r="M379" t="str">
        <f t="shared" si="7"/>
        <v>OFF</v>
      </c>
    </row>
    <row r="380" spans="1:13" x14ac:dyDescent="0.25">
      <c r="A380">
        <v>20</v>
      </c>
      <c r="D380" t="s">
        <v>1086</v>
      </c>
      <c r="E380">
        <v>20</v>
      </c>
      <c r="F380">
        <v>0</v>
      </c>
      <c r="G380">
        <v>0</v>
      </c>
      <c r="H380">
        <v>30</v>
      </c>
      <c r="I380">
        <v>10</v>
      </c>
      <c r="J380">
        <v>5</v>
      </c>
      <c r="K380" t="str">
        <f t="shared" si="5"/>
        <v>ON</v>
      </c>
      <c r="L380" t="str">
        <f t="shared" si="6"/>
        <v>OFF</v>
      </c>
      <c r="M380" t="str">
        <f t="shared" si="7"/>
        <v>OFF</v>
      </c>
    </row>
    <row r="381" spans="1:13" x14ac:dyDescent="0.25">
      <c r="A381">
        <v>21</v>
      </c>
      <c r="D381" t="s">
        <v>1087</v>
      </c>
      <c r="E381">
        <v>20</v>
      </c>
      <c r="F381">
        <v>0</v>
      </c>
      <c r="G381">
        <v>0</v>
      </c>
      <c r="H381">
        <v>30</v>
      </c>
      <c r="I381">
        <v>10</v>
      </c>
      <c r="J381">
        <v>5</v>
      </c>
      <c r="K381" t="str">
        <f t="shared" si="5"/>
        <v>ON</v>
      </c>
      <c r="L381" t="str">
        <f t="shared" si="6"/>
        <v>OFF</v>
      </c>
      <c r="M381" t="str">
        <f t="shared" si="7"/>
        <v>OFF</v>
      </c>
    </row>
    <row r="382" spans="1:13" x14ac:dyDescent="0.25">
      <c r="A382">
        <v>22</v>
      </c>
      <c r="D382" t="s">
        <v>1088</v>
      </c>
      <c r="E382">
        <v>0</v>
      </c>
      <c r="F382">
        <v>0</v>
      </c>
      <c r="G382">
        <v>0</v>
      </c>
      <c r="H382">
        <v>30</v>
      </c>
      <c r="I382">
        <v>10</v>
      </c>
      <c r="J382">
        <v>5</v>
      </c>
      <c r="K382" t="str">
        <f t="shared" si="5"/>
        <v>OFF</v>
      </c>
      <c r="L382" t="str">
        <f t="shared" si="6"/>
        <v>OFF</v>
      </c>
      <c r="M382" t="str">
        <f t="shared" si="7"/>
        <v>OFF</v>
      </c>
    </row>
    <row r="383" spans="1:13" x14ac:dyDescent="0.25">
      <c r="A383">
        <v>23</v>
      </c>
      <c r="D383" t="s">
        <v>1089</v>
      </c>
      <c r="E383">
        <v>0</v>
      </c>
      <c r="F383">
        <v>0</v>
      </c>
      <c r="G383">
        <v>0</v>
      </c>
      <c r="H383">
        <v>30</v>
      </c>
      <c r="I383">
        <v>10</v>
      </c>
      <c r="J383">
        <v>5</v>
      </c>
      <c r="K383" t="str">
        <f t="shared" si="5"/>
        <v>OFF</v>
      </c>
      <c r="L383" t="str">
        <f t="shared" si="6"/>
        <v>OFF</v>
      </c>
      <c r="M383" t="str">
        <f t="shared" si="7"/>
        <v>OFF</v>
      </c>
    </row>
    <row r="384" spans="1:13" x14ac:dyDescent="0.25">
      <c r="A384">
        <v>24</v>
      </c>
      <c r="D384" t="s">
        <v>1090</v>
      </c>
      <c r="E384">
        <v>0</v>
      </c>
      <c r="F384">
        <v>0</v>
      </c>
      <c r="G384">
        <v>0</v>
      </c>
      <c r="H384">
        <v>10</v>
      </c>
      <c r="I384">
        <v>10</v>
      </c>
      <c r="J384">
        <v>5</v>
      </c>
      <c r="K384" t="str">
        <f t="shared" si="5"/>
        <v>OFF</v>
      </c>
      <c r="L384" t="str">
        <f t="shared" si="6"/>
        <v>OFF</v>
      </c>
      <c r="M384" t="str">
        <f t="shared" si="7"/>
        <v>OFF</v>
      </c>
    </row>
    <row r="386" spans="1:19" x14ac:dyDescent="0.25">
      <c r="A386" t="s">
        <v>1028</v>
      </c>
      <c r="D386" t="s">
        <v>1048</v>
      </c>
      <c r="E386" t="s">
        <v>498</v>
      </c>
      <c r="H386" t="s">
        <v>500</v>
      </c>
      <c r="K386" t="s">
        <v>1045</v>
      </c>
      <c r="N386" t="s">
        <v>1049</v>
      </c>
      <c r="Q386" t="s">
        <v>1039</v>
      </c>
    </row>
    <row r="387" spans="1:19" x14ac:dyDescent="0.25">
      <c r="E387" t="s">
        <v>1040</v>
      </c>
      <c r="F387" t="s">
        <v>1046</v>
      </c>
      <c r="G387" t="s">
        <v>1053</v>
      </c>
      <c r="H387" t="s">
        <v>1040</v>
      </c>
      <c r="I387" t="s">
        <v>1046</v>
      </c>
      <c r="J387" t="s">
        <v>1053</v>
      </c>
      <c r="K387" t="s">
        <v>1040</v>
      </c>
      <c r="L387" t="s">
        <v>1046</v>
      </c>
      <c r="M387" t="s">
        <v>1053</v>
      </c>
      <c r="N387" t="s">
        <v>1040</v>
      </c>
      <c r="O387" t="s">
        <v>1046</v>
      </c>
      <c r="P387" t="s">
        <v>1053</v>
      </c>
      <c r="Q387" t="s">
        <v>1040</v>
      </c>
      <c r="R387" t="s">
        <v>1046</v>
      </c>
      <c r="S387" t="s">
        <v>1053</v>
      </c>
    </row>
    <row r="388" spans="1:19" x14ac:dyDescent="0.25">
      <c r="A388">
        <v>1</v>
      </c>
      <c r="D388" t="s">
        <v>1056</v>
      </c>
      <c r="E388">
        <v>0</v>
      </c>
      <c r="F388">
        <v>0</v>
      </c>
      <c r="G388">
        <v>0</v>
      </c>
      <c r="H388">
        <v>5</v>
      </c>
      <c r="I388">
        <v>5</v>
      </c>
      <c r="J388">
        <v>5</v>
      </c>
      <c r="K388" t="str">
        <f>IF(E388=0,"OFF","ON")</f>
        <v>OFF</v>
      </c>
      <c r="L388" t="str">
        <f t="shared" ref="L388:L411" si="8">IF(F388=0,"OFF","ON")</f>
        <v>OFF</v>
      </c>
      <c r="M388" t="str">
        <f t="shared" ref="M388:M411" si="9">IF(G388=0,"OFF","ON")</f>
        <v>OFF</v>
      </c>
    </row>
    <row r="389" spans="1:19" x14ac:dyDescent="0.25">
      <c r="A389">
        <v>2</v>
      </c>
      <c r="D389" t="s">
        <v>1057</v>
      </c>
      <c r="E389">
        <v>0</v>
      </c>
      <c r="F389">
        <v>0</v>
      </c>
      <c r="G389">
        <v>0</v>
      </c>
      <c r="H389">
        <v>5</v>
      </c>
      <c r="I389">
        <v>5</v>
      </c>
      <c r="J389">
        <v>5</v>
      </c>
      <c r="K389" t="str">
        <f t="shared" ref="K389:K411" si="10">IF(E389=0,"OFF","ON")</f>
        <v>OFF</v>
      </c>
      <c r="L389" t="str">
        <f t="shared" si="8"/>
        <v>OFF</v>
      </c>
      <c r="M389" t="str">
        <f t="shared" si="9"/>
        <v>OFF</v>
      </c>
    </row>
    <row r="390" spans="1:19" x14ac:dyDescent="0.25">
      <c r="A390">
        <v>3</v>
      </c>
      <c r="D390" s="201" t="s">
        <v>1059</v>
      </c>
      <c r="E390">
        <v>0</v>
      </c>
      <c r="F390">
        <v>0</v>
      </c>
      <c r="G390">
        <v>0</v>
      </c>
      <c r="H390">
        <v>5</v>
      </c>
      <c r="I390">
        <v>5</v>
      </c>
      <c r="J390">
        <v>5</v>
      </c>
      <c r="K390" t="str">
        <f t="shared" si="10"/>
        <v>OFF</v>
      </c>
      <c r="L390" t="str">
        <f t="shared" si="8"/>
        <v>OFF</v>
      </c>
      <c r="M390" t="str">
        <f t="shared" si="9"/>
        <v>OFF</v>
      </c>
    </row>
    <row r="391" spans="1:19" x14ac:dyDescent="0.25">
      <c r="A391">
        <v>4</v>
      </c>
      <c r="D391" t="s">
        <v>1061</v>
      </c>
      <c r="E391">
        <v>0</v>
      </c>
      <c r="F391">
        <v>0</v>
      </c>
      <c r="G391">
        <v>0</v>
      </c>
      <c r="H391">
        <v>5</v>
      </c>
      <c r="I391">
        <v>5</v>
      </c>
      <c r="J391">
        <v>5</v>
      </c>
      <c r="K391" t="str">
        <f t="shared" si="10"/>
        <v>OFF</v>
      </c>
      <c r="L391" t="str">
        <f t="shared" si="8"/>
        <v>OFF</v>
      </c>
      <c r="M391" t="str">
        <f t="shared" si="9"/>
        <v>OFF</v>
      </c>
    </row>
    <row r="392" spans="1:19" x14ac:dyDescent="0.25">
      <c r="A392">
        <v>5</v>
      </c>
      <c r="D392" t="s">
        <v>1063</v>
      </c>
      <c r="E392">
        <v>0</v>
      </c>
      <c r="F392">
        <v>0</v>
      </c>
      <c r="G392">
        <v>0</v>
      </c>
      <c r="H392">
        <v>5</v>
      </c>
      <c r="I392">
        <v>5</v>
      </c>
      <c r="J392">
        <v>5</v>
      </c>
      <c r="K392" t="str">
        <f t="shared" si="10"/>
        <v>OFF</v>
      </c>
      <c r="L392" t="str">
        <f t="shared" si="8"/>
        <v>OFF</v>
      </c>
      <c r="M392" t="str">
        <f t="shared" si="9"/>
        <v>OFF</v>
      </c>
    </row>
    <row r="393" spans="1:19" x14ac:dyDescent="0.25">
      <c r="A393">
        <v>6</v>
      </c>
      <c r="D393" t="s">
        <v>1065</v>
      </c>
      <c r="E393">
        <v>0</v>
      </c>
      <c r="F393">
        <v>0</v>
      </c>
      <c r="G393">
        <v>0</v>
      </c>
      <c r="H393">
        <v>10</v>
      </c>
      <c r="I393">
        <v>5</v>
      </c>
      <c r="J393">
        <v>5</v>
      </c>
      <c r="K393" t="str">
        <f t="shared" si="10"/>
        <v>OFF</v>
      </c>
      <c r="L393" t="str">
        <f t="shared" si="8"/>
        <v>OFF</v>
      </c>
      <c r="M393" t="str">
        <f t="shared" si="9"/>
        <v>OFF</v>
      </c>
    </row>
    <row r="394" spans="1:19" x14ac:dyDescent="0.25">
      <c r="A394">
        <v>7</v>
      </c>
      <c r="D394" t="s">
        <v>1067</v>
      </c>
      <c r="E394">
        <v>10</v>
      </c>
      <c r="F394">
        <v>10</v>
      </c>
      <c r="G394">
        <v>5</v>
      </c>
      <c r="H394">
        <v>10</v>
      </c>
      <c r="I394">
        <v>10</v>
      </c>
      <c r="J394">
        <v>5</v>
      </c>
      <c r="K394" t="str">
        <f t="shared" si="10"/>
        <v>ON</v>
      </c>
      <c r="L394" t="str">
        <f t="shared" si="8"/>
        <v>ON</v>
      </c>
      <c r="M394" t="str">
        <f t="shared" si="9"/>
        <v>ON</v>
      </c>
    </row>
    <row r="395" spans="1:19" x14ac:dyDescent="0.25">
      <c r="A395">
        <v>8</v>
      </c>
      <c r="D395" t="s">
        <v>1069</v>
      </c>
      <c r="E395">
        <v>20</v>
      </c>
      <c r="F395">
        <v>10</v>
      </c>
      <c r="G395">
        <v>5</v>
      </c>
      <c r="H395">
        <v>30</v>
      </c>
      <c r="I395">
        <v>10</v>
      </c>
      <c r="J395">
        <v>5</v>
      </c>
      <c r="K395" t="str">
        <f t="shared" si="10"/>
        <v>ON</v>
      </c>
      <c r="L395" t="str">
        <f t="shared" si="8"/>
        <v>ON</v>
      </c>
      <c r="M395" t="str">
        <f t="shared" si="9"/>
        <v>ON</v>
      </c>
    </row>
    <row r="396" spans="1:19" x14ac:dyDescent="0.25">
      <c r="A396">
        <v>9</v>
      </c>
      <c r="D396" t="s">
        <v>1071</v>
      </c>
      <c r="E396">
        <v>95</v>
      </c>
      <c r="F396">
        <v>30</v>
      </c>
      <c r="G396">
        <v>5</v>
      </c>
      <c r="H396">
        <v>90</v>
      </c>
      <c r="I396">
        <v>30</v>
      </c>
      <c r="J396">
        <v>5</v>
      </c>
      <c r="K396" t="str">
        <f t="shared" si="10"/>
        <v>ON</v>
      </c>
      <c r="L396" t="str">
        <f t="shared" si="8"/>
        <v>ON</v>
      </c>
      <c r="M396" t="str">
        <f t="shared" si="9"/>
        <v>ON</v>
      </c>
    </row>
    <row r="397" spans="1:19" x14ac:dyDescent="0.25">
      <c r="A397">
        <v>10</v>
      </c>
      <c r="D397" t="s">
        <v>1073</v>
      </c>
      <c r="E397">
        <v>95</v>
      </c>
      <c r="F397">
        <v>30</v>
      </c>
      <c r="G397">
        <v>5</v>
      </c>
      <c r="H397">
        <v>90</v>
      </c>
      <c r="I397">
        <v>30</v>
      </c>
      <c r="J397">
        <v>5</v>
      </c>
      <c r="K397" t="str">
        <f t="shared" si="10"/>
        <v>ON</v>
      </c>
      <c r="L397" t="str">
        <f t="shared" si="8"/>
        <v>ON</v>
      </c>
      <c r="M397" t="str">
        <f t="shared" si="9"/>
        <v>ON</v>
      </c>
    </row>
    <row r="398" spans="1:19" x14ac:dyDescent="0.25">
      <c r="A398">
        <v>11</v>
      </c>
      <c r="D398" t="s">
        <v>1075</v>
      </c>
      <c r="E398">
        <v>95</v>
      </c>
      <c r="F398">
        <v>30</v>
      </c>
      <c r="G398">
        <v>5</v>
      </c>
      <c r="H398">
        <v>90</v>
      </c>
      <c r="I398">
        <v>30</v>
      </c>
      <c r="J398">
        <v>5</v>
      </c>
      <c r="K398" t="str">
        <f t="shared" si="10"/>
        <v>ON</v>
      </c>
      <c r="L398" t="str">
        <f t="shared" si="8"/>
        <v>ON</v>
      </c>
      <c r="M398" t="str">
        <f t="shared" si="9"/>
        <v>ON</v>
      </c>
    </row>
    <row r="399" spans="1:19" x14ac:dyDescent="0.25">
      <c r="A399">
        <v>12</v>
      </c>
      <c r="D399" t="s">
        <v>1076</v>
      </c>
      <c r="E399">
        <v>95</v>
      </c>
      <c r="F399">
        <v>30</v>
      </c>
      <c r="G399">
        <v>5</v>
      </c>
      <c r="H399">
        <v>90</v>
      </c>
      <c r="I399">
        <v>30</v>
      </c>
      <c r="J399">
        <v>5</v>
      </c>
      <c r="K399" t="str">
        <f t="shared" si="10"/>
        <v>ON</v>
      </c>
      <c r="L399" t="str">
        <f t="shared" si="8"/>
        <v>ON</v>
      </c>
      <c r="M399" t="str">
        <f t="shared" si="9"/>
        <v>ON</v>
      </c>
    </row>
    <row r="400" spans="1:19" x14ac:dyDescent="0.25">
      <c r="A400">
        <v>13</v>
      </c>
      <c r="D400" t="s">
        <v>1077</v>
      </c>
      <c r="E400">
        <v>50</v>
      </c>
      <c r="F400">
        <v>10</v>
      </c>
      <c r="G400">
        <v>5</v>
      </c>
      <c r="H400">
        <v>80</v>
      </c>
      <c r="I400">
        <v>15</v>
      </c>
      <c r="J400">
        <v>5</v>
      </c>
      <c r="K400" t="str">
        <f t="shared" si="10"/>
        <v>ON</v>
      </c>
      <c r="L400" t="str">
        <f t="shared" si="8"/>
        <v>ON</v>
      </c>
      <c r="M400" t="str">
        <f t="shared" si="9"/>
        <v>ON</v>
      </c>
    </row>
    <row r="401" spans="1:19" x14ac:dyDescent="0.25">
      <c r="A401">
        <v>14</v>
      </c>
      <c r="D401" t="s">
        <v>1078</v>
      </c>
      <c r="E401">
        <v>95</v>
      </c>
      <c r="F401">
        <v>10</v>
      </c>
      <c r="G401">
        <v>5</v>
      </c>
      <c r="H401">
        <v>90</v>
      </c>
      <c r="I401">
        <v>15</v>
      </c>
      <c r="J401">
        <v>5</v>
      </c>
      <c r="K401" t="str">
        <f t="shared" si="10"/>
        <v>ON</v>
      </c>
      <c r="L401" t="str">
        <f t="shared" si="8"/>
        <v>ON</v>
      </c>
      <c r="M401" t="str">
        <f t="shared" si="9"/>
        <v>ON</v>
      </c>
    </row>
    <row r="402" spans="1:19" x14ac:dyDescent="0.25">
      <c r="A402">
        <v>15</v>
      </c>
      <c r="D402" t="s">
        <v>1080</v>
      </c>
      <c r="E402">
        <v>95</v>
      </c>
      <c r="F402">
        <v>10</v>
      </c>
      <c r="G402">
        <v>5</v>
      </c>
      <c r="H402">
        <v>90</v>
      </c>
      <c r="I402">
        <v>15</v>
      </c>
      <c r="J402">
        <v>5</v>
      </c>
      <c r="K402" t="str">
        <f t="shared" si="10"/>
        <v>ON</v>
      </c>
      <c r="L402" t="str">
        <f t="shared" si="8"/>
        <v>ON</v>
      </c>
      <c r="M402" t="str">
        <f t="shared" si="9"/>
        <v>ON</v>
      </c>
    </row>
    <row r="403" spans="1:19" x14ac:dyDescent="0.25">
      <c r="A403">
        <v>16</v>
      </c>
      <c r="D403" t="s">
        <v>1082</v>
      </c>
      <c r="E403">
        <v>95</v>
      </c>
      <c r="F403">
        <v>10</v>
      </c>
      <c r="G403">
        <v>5</v>
      </c>
      <c r="H403">
        <v>90</v>
      </c>
      <c r="I403">
        <v>15</v>
      </c>
      <c r="J403">
        <v>5</v>
      </c>
      <c r="K403" t="str">
        <f t="shared" si="10"/>
        <v>ON</v>
      </c>
      <c r="L403" t="str">
        <f t="shared" si="8"/>
        <v>ON</v>
      </c>
      <c r="M403" t="str">
        <f t="shared" si="9"/>
        <v>ON</v>
      </c>
    </row>
    <row r="404" spans="1:19" x14ac:dyDescent="0.25">
      <c r="A404">
        <v>17</v>
      </c>
      <c r="D404" t="s">
        <v>1083</v>
      </c>
      <c r="E404">
        <v>95</v>
      </c>
      <c r="F404">
        <v>10</v>
      </c>
      <c r="G404">
        <v>5</v>
      </c>
      <c r="H404">
        <v>90</v>
      </c>
      <c r="I404">
        <v>15</v>
      </c>
      <c r="J404">
        <v>5</v>
      </c>
      <c r="K404" t="str">
        <f t="shared" si="10"/>
        <v>ON</v>
      </c>
      <c r="L404" t="str">
        <f t="shared" si="8"/>
        <v>ON</v>
      </c>
      <c r="M404" t="str">
        <f t="shared" si="9"/>
        <v>ON</v>
      </c>
    </row>
    <row r="405" spans="1:19" x14ac:dyDescent="0.25">
      <c r="A405">
        <v>18</v>
      </c>
      <c r="D405" t="s">
        <v>1084</v>
      </c>
      <c r="E405">
        <v>30</v>
      </c>
      <c r="F405">
        <v>5</v>
      </c>
      <c r="G405">
        <v>5</v>
      </c>
      <c r="H405">
        <v>40</v>
      </c>
      <c r="I405">
        <v>5</v>
      </c>
      <c r="J405">
        <v>5</v>
      </c>
      <c r="K405" t="str">
        <f t="shared" si="10"/>
        <v>ON</v>
      </c>
      <c r="L405" t="str">
        <f t="shared" si="8"/>
        <v>ON</v>
      </c>
      <c r="M405" t="str">
        <f t="shared" si="9"/>
        <v>ON</v>
      </c>
    </row>
    <row r="406" spans="1:19" x14ac:dyDescent="0.25">
      <c r="A406">
        <v>19</v>
      </c>
      <c r="D406" t="s">
        <v>1085</v>
      </c>
      <c r="E406">
        <v>10</v>
      </c>
      <c r="F406">
        <v>5</v>
      </c>
      <c r="G406">
        <v>0</v>
      </c>
      <c r="H406">
        <v>30</v>
      </c>
      <c r="I406">
        <v>5</v>
      </c>
      <c r="J406">
        <v>5</v>
      </c>
      <c r="K406" t="str">
        <f t="shared" si="10"/>
        <v>ON</v>
      </c>
      <c r="L406" t="str">
        <f t="shared" si="8"/>
        <v>ON</v>
      </c>
      <c r="M406" t="str">
        <f t="shared" si="9"/>
        <v>OFF</v>
      </c>
    </row>
    <row r="407" spans="1:19" x14ac:dyDescent="0.25">
      <c r="A407">
        <v>20</v>
      </c>
      <c r="D407" t="s">
        <v>1086</v>
      </c>
      <c r="E407">
        <v>10</v>
      </c>
      <c r="F407">
        <v>0</v>
      </c>
      <c r="G407">
        <v>0</v>
      </c>
      <c r="H407">
        <v>30</v>
      </c>
      <c r="I407">
        <v>5</v>
      </c>
      <c r="J407">
        <v>5</v>
      </c>
      <c r="K407" t="str">
        <f t="shared" si="10"/>
        <v>ON</v>
      </c>
      <c r="L407" t="str">
        <f t="shared" si="8"/>
        <v>OFF</v>
      </c>
      <c r="M407" t="str">
        <f t="shared" si="9"/>
        <v>OFF</v>
      </c>
    </row>
    <row r="408" spans="1:19" x14ac:dyDescent="0.25">
      <c r="A408">
        <v>21</v>
      </c>
      <c r="D408" t="s">
        <v>1087</v>
      </c>
      <c r="E408">
        <v>10</v>
      </c>
      <c r="F408">
        <v>0</v>
      </c>
      <c r="G408">
        <v>0</v>
      </c>
      <c r="H408">
        <v>20</v>
      </c>
      <c r="I408">
        <v>5</v>
      </c>
      <c r="J408">
        <v>5</v>
      </c>
      <c r="K408" t="str">
        <f t="shared" si="10"/>
        <v>ON</v>
      </c>
      <c r="L408" t="str">
        <f t="shared" si="8"/>
        <v>OFF</v>
      </c>
      <c r="M408" t="str">
        <f t="shared" si="9"/>
        <v>OFF</v>
      </c>
    </row>
    <row r="409" spans="1:19" x14ac:dyDescent="0.25">
      <c r="A409">
        <v>22</v>
      </c>
      <c r="D409" t="s">
        <v>1088</v>
      </c>
      <c r="E409">
        <v>10</v>
      </c>
      <c r="F409">
        <v>0</v>
      </c>
      <c r="G409">
        <v>0</v>
      </c>
      <c r="H409">
        <v>20</v>
      </c>
      <c r="I409">
        <v>5</v>
      </c>
      <c r="J409">
        <v>5</v>
      </c>
      <c r="K409" t="str">
        <f t="shared" si="10"/>
        <v>ON</v>
      </c>
      <c r="L409" t="str">
        <f t="shared" si="8"/>
        <v>OFF</v>
      </c>
      <c r="M409" t="str">
        <f t="shared" si="9"/>
        <v>OFF</v>
      </c>
    </row>
    <row r="410" spans="1:19" x14ac:dyDescent="0.25">
      <c r="A410">
        <v>23</v>
      </c>
      <c r="D410" t="s">
        <v>1089</v>
      </c>
      <c r="E410">
        <v>5</v>
      </c>
      <c r="F410">
        <v>0</v>
      </c>
      <c r="G410">
        <v>0</v>
      </c>
      <c r="H410">
        <v>10</v>
      </c>
      <c r="I410">
        <v>5</v>
      </c>
      <c r="J410">
        <v>5</v>
      </c>
      <c r="K410" t="str">
        <f t="shared" si="10"/>
        <v>ON</v>
      </c>
      <c r="L410" t="str">
        <f t="shared" si="8"/>
        <v>OFF</v>
      </c>
      <c r="M410" t="str">
        <f t="shared" si="9"/>
        <v>OFF</v>
      </c>
    </row>
    <row r="411" spans="1:19" x14ac:dyDescent="0.25">
      <c r="A411">
        <v>24</v>
      </c>
      <c r="D411" t="s">
        <v>1090</v>
      </c>
      <c r="E411">
        <v>5</v>
      </c>
      <c r="F411">
        <v>0</v>
      </c>
      <c r="G411">
        <v>0</v>
      </c>
      <c r="H411">
        <v>5</v>
      </c>
      <c r="I411">
        <v>5</v>
      </c>
      <c r="J411">
        <v>5</v>
      </c>
      <c r="K411" t="str">
        <f t="shared" si="10"/>
        <v>ON</v>
      </c>
      <c r="L411" t="str">
        <f t="shared" si="8"/>
        <v>OFF</v>
      </c>
      <c r="M411" t="str">
        <f t="shared" si="9"/>
        <v>OFF</v>
      </c>
    </row>
    <row r="413" spans="1:19" x14ac:dyDescent="0.25">
      <c r="A413" t="s">
        <v>1029</v>
      </c>
      <c r="D413" t="s">
        <v>1048</v>
      </c>
      <c r="E413" t="s">
        <v>498</v>
      </c>
      <c r="H413" t="s">
        <v>500</v>
      </c>
      <c r="K413" t="s">
        <v>1045</v>
      </c>
      <c r="N413" t="s">
        <v>1049</v>
      </c>
      <c r="Q413" t="s">
        <v>1039</v>
      </c>
    </row>
    <row r="414" spans="1:19" x14ac:dyDescent="0.25">
      <c r="E414" t="s">
        <v>1040</v>
      </c>
      <c r="F414" t="s">
        <v>1046</v>
      </c>
      <c r="G414" t="s">
        <v>1053</v>
      </c>
      <c r="H414" t="s">
        <v>1040</v>
      </c>
      <c r="I414" t="s">
        <v>1046</v>
      </c>
      <c r="J414" t="s">
        <v>1053</v>
      </c>
      <c r="K414" t="s">
        <v>1040</v>
      </c>
      <c r="L414" t="s">
        <v>1046</v>
      </c>
      <c r="M414" t="s">
        <v>1053</v>
      </c>
      <c r="N414" t="s">
        <v>1040</v>
      </c>
      <c r="O414" t="s">
        <v>1046</v>
      </c>
      <c r="P414" t="s">
        <v>1053</v>
      </c>
      <c r="Q414" t="s">
        <v>1040</v>
      </c>
      <c r="R414" t="s">
        <v>1046</v>
      </c>
      <c r="S414" t="s">
        <v>1053</v>
      </c>
    </row>
    <row r="415" spans="1:19" x14ac:dyDescent="0.25">
      <c r="A415">
        <v>1</v>
      </c>
      <c r="D415" t="s">
        <v>1056</v>
      </c>
      <c r="E415">
        <v>5</v>
      </c>
      <c r="F415">
        <v>5</v>
      </c>
      <c r="G415">
        <v>5</v>
      </c>
      <c r="H415">
        <v>20</v>
      </c>
      <c r="I415">
        <v>20</v>
      </c>
      <c r="J415">
        <v>20</v>
      </c>
      <c r="K415" t="str">
        <f>IF(E415=0,"OFF","ON")</f>
        <v>ON</v>
      </c>
      <c r="L415" t="str">
        <f t="shared" ref="L415:L437" si="11">IF(F415=0,"OFF","ON")</f>
        <v>ON</v>
      </c>
      <c r="M415" t="str">
        <f t="shared" ref="M415:M437" si="12">IF(G415=0,"OFF","ON")</f>
        <v>ON</v>
      </c>
    </row>
    <row r="416" spans="1:19" x14ac:dyDescent="0.25">
      <c r="A416">
        <v>2</v>
      </c>
      <c r="D416" t="s">
        <v>1057</v>
      </c>
      <c r="E416">
        <v>5</v>
      </c>
      <c r="F416">
        <v>5</v>
      </c>
      <c r="G416">
        <v>5</v>
      </c>
      <c r="H416">
        <v>20</v>
      </c>
      <c r="I416">
        <v>20</v>
      </c>
      <c r="J416">
        <v>20</v>
      </c>
      <c r="K416" t="str">
        <f t="shared" ref="K416:K437" si="13">IF(E416=0,"OFF","ON")</f>
        <v>ON</v>
      </c>
      <c r="L416" t="str">
        <f t="shared" si="11"/>
        <v>ON</v>
      </c>
      <c r="M416" t="str">
        <f t="shared" si="12"/>
        <v>ON</v>
      </c>
    </row>
    <row r="417" spans="1:13" x14ac:dyDescent="0.25">
      <c r="A417">
        <v>3</v>
      </c>
      <c r="D417" s="201" t="s">
        <v>1059</v>
      </c>
      <c r="E417">
        <v>5</v>
      </c>
      <c r="F417">
        <v>5</v>
      </c>
      <c r="G417">
        <v>5</v>
      </c>
      <c r="H417">
        <v>20</v>
      </c>
      <c r="I417">
        <v>20</v>
      </c>
      <c r="J417">
        <v>20</v>
      </c>
      <c r="K417" t="str">
        <f t="shared" si="13"/>
        <v>ON</v>
      </c>
      <c r="L417" t="str">
        <f t="shared" si="11"/>
        <v>ON</v>
      </c>
      <c r="M417" t="str">
        <f t="shared" si="12"/>
        <v>ON</v>
      </c>
    </row>
    <row r="418" spans="1:13" x14ac:dyDescent="0.25">
      <c r="A418">
        <v>4</v>
      </c>
      <c r="D418" t="s">
        <v>1061</v>
      </c>
      <c r="E418">
        <v>5</v>
      </c>
      <c r="F418">
        <v>5</v>
      </c>
      <c r="G418">
        <v>5</v>
      </c>
      <c r="H418">
        <v>20</v>
      </c>
      <c r="I418">
        <v>20</v>
      </c>
      <c r="J418">
        <v>20</v>
      </c>
      <c r="K418" t="str">
        <f t="shared" si="13"/>
        <v>ON</v>
      </c>
      <c r="L418" t="str">
        <f t="shared" si="11"/>
        <v>ON</v>
      </c>
      <c r="M418" t="str">
        <f t="shared" si="12"/>
        <v>ON</v>
      </c>
    </row>
    <row r="419" spans="1:13" x14ac:dyDescent="0.25">
      <c r="A419">
        <v>5</v>
      </c>
      <c r="D419" t="s">
        <v>1063</v>
      </c>
      <c r="E419">
        <v>5</v>
      </c>
      <c r="F419">
        <v>5</v>
      </c>
      <c r="G419">
        <v>5</v>
      </c>
      <c r="H419">
        <v>20</v>
      </c>
      <c r="I419">
        <v>20</v>
      </c>
      <c r="J419">
        <v>20</v>
      </c>
      <c r="K419" t="str">
        <f t="shared" si="13"/>
        <v>ON</v>
      </c>
      <c r="L419" t="str">
        <f t="shared" si="11"/>
        <v>ON</v>
      </c>
      <c r="M419" t="str">
        <f t="shared" si="12"/>
        <v>ON</v>
      </c>
    </row>
    <row r="420" spans="1:13" x14ac:dyDescent="0.25">
      <c r="A420">
        <v>6</v>
      </c>
      <c r="D420" t="s">
        <v>1065</v>
      </c>
      <c r="E420">
        <v>5</v>
      </c>
      <c r="F420">
        <v>5</v>
      </c>
      <c r="G420">
        <v>5</v>
      </c>
      <c r="H420">
        <v>20</v>
      </c>
      <c r="I420">
        <v>20</v>
      </c>
      <c r="J420">
        <v>20</v>
      </c>
      <c r="K420" t="str">
        <f t="shared" si="13"/>
        <v>ON</v>
      </c>
      <c r="L420" t="str">
        <f t="shared" si="11"/>
        <v>ON</v>
      </c>
      <c r="M420" t="str">
        <f t="shared" si="12"/>
        <v>ON</v>
      </c>
    </row>
    <row r="421" spans="1:13" x14ac:dyDescent="0.25">
      <c r="A421">
        <v>7</v>
      </c>
      <c r="D421" t="s">
        <v>1067</v>
      </c>
      <c r="E421">
        <v>5</v>
      </c>
      <c r="F421">
        <v>5</v>
      </c>
      <c r="G421">
        <v>5</v>
      </c>
      <c r="H421">
        <v>20</v>
      </c>
      <c r="I421">
        <v>30</v>
      </c>
      <c r="J421">
        <v>30</v>
      </c>
      <c r="K421" t="str">
        <f t="shared" si="13"/>
        <v>ON</v>
      </c>
      <c r="L421" t="str">
        <f t="shared" si="11"/>
        <v>ON</v>
      </c>
      <c r="M421" t="str">
        <f t="shared" si="12"/>
        <v>ON</v>
      </c>
    </row>
    <row r="422" spans="1:13" x14ac:dyDescent="0.25">
      <c r="A422">
        <v>8</v>
      </c>
      <c r="D422" t="s">
        <v>1069</v>
      </c>
      <c r="E422">
        <v>10</v>
      </c>
      <c r="F422">
        <v>10</v>
      </c>
      <c r="G422">
        <v>10</v>
      </c>
      <c r="H422">
        <v>30</v>
      </c>
      <c r="I422">
        <v>30</v>
      </c>
      <c r="J422">
        <v>30</v>
      </c>
      <c r="K422" t="str">
        <f t="shared" si="13"/>
        <v>ON</v>
      </c>
      <c r="L422" t="str">
        <f t="shared" si="11"/>
        <v>ON</v>
      </c>
      <c r="M422" t="str">
        <f t="shared" si="12"/>
        <v>ON</v>
      </c>
    </row>
    <row r="423" spans="1:13" x14ac:dyDescent="0.25">
      <c r="A423">
        <v>9</v>
      </c>
      <c r="D423" t="s">
        <v>1071</v>
      </c>
      <c r="E423">
        <v>20</v>
      </c>
      <c r="F423">
        <v>10</v>
      </c>
      <c r="G423">
        <v>10</v>
      </c>
      <c r="H423">
        <v>40</v>
      </c>
      <c r="I423">
        <v>40</v>
      </c>
      <c r="J423">
        <v>40</v>
      </c>
      <c r="K423" t="str">
        <f t="shared" si="13"/>
        <v>ON</v>
      </c>
      <c r="L423" t="str">
        <f t="shared" si="11"/>
        <v>ON</v>
      </c>
      <c r="M423" t="str">
        <f t="shared" si="12"/>
        <v>ON</v>
      </c>
    </row>
    <row r="424" spans="1:13" x14ac:dyDescent="0.25">
      <c r="A424">
        <v>10</v>
      </c>
      <c r="D424" t="s">
        <v>1073</v>
      </c>
      <c r="E424">
        <v>90</v>
      </c>
      <c r="F424">
        <v>30</v>
      </c>
      <c r="G424">
        <v>30</v>
      </c>
      <c r="H424">
        <v>50</v>
      </c>
      <c r="I424">
        <v>40</v>
      </c>
      <c r="J424">
        <v>40</v>
      </c>
      <c r="K424" t="str">
        <f t="shared" si="13"/>
        <v>ON</v>
      </c>
      <c r="L424" t="str">
        <f t="shared" si="11"/>
        <v>ON</v>
      </c>
      <c r="M424" t="str">
        <f t="shared" si="12"/>
        <v>ON</v>
      </c>
    </row>
    <row r="425" spans="1:13" x14ac:dyDescent="0.25">
      <c r="A425">
        <v>11</v>
      </c>
      <c r="D425" t="s">
        <v>1075</v>
      </c>
      <c r="E425">
        <v>90</v>
      </c>
      <c r="F425">
        <v>30</v>
      </c>
      <c r="G425">
        <v>30</v>
      </c>
      <c r="H425">
        <v>50</v>
      </c>
      <c r="I425">
        <v>40</v>
      </c>
      <c r="J425">
        <v>40</v>
      </c>
      <c r="K425" t="str">
        <f t="shared" si="13"/>
        <v>ON</v>
      </c>
      <c r="L425" t="str">
        <f t="shared" si="11"/>
        <v>ON</v>
      </c>
      <c r="M425" t="str">
        <f t="shared" si="12"/>
        <v>ON</v>
      </c>
    </row>
    <row r="426" spans="1:13" x14ac:dyDescent="0.25">
      <c r="A426">
        <v>12</v>
      </c>
      <c r="D426" t="s">
        <v>1076</v>
      </c>
      <c r="E426">
        <v>45</v>
      </c>
      <c r="F426">
        <v>30</v>
      </c>
      <c r="G426">
        <v>30</v>
      </c>
      <c r="H426">
        <v>50</v>
      </c>
      <c r="I426">
        <v>40</v>
      </c>
      <c r="J426">
        <v>40</v>
      </c>
      <c r="K426" t="str">
        <f t="shared" si="13"/>
        <v>ON</v>
      </c>
      <c r="L426" t="str">
        <f t="shared" si="11"/>
        <v>ON</v>
      </c>
      <c r="M426" t="str">
        <f t="shared" si="12"/>
        <v>ON</v>
      </c>
    </row>
    <row r="427" spans="1:13" x14ac:dyDescent="0.25">
      <c r="A427">
        <v>13</v>
      </c>
      <c r="D427" t="s">
        <v>1077</v>
      </c>
      <c r="E427">
        <v>45</v>
      </c>
      <c r="F427">
        <v>30</v>
      </c>
      <c r="G427">
        <v>30</v>
      </c>
      <c r="H427">
        <v>40</v>
      </c>
      <c r="I427">
        <v>30</v>
      </c>
      <c r="J427">
        <v>30</v>
      </c>
      <c r="K427" t="str">
        <f t="shared" si="13"/>
        <v>ON</v>
      </c>
      <c r="L427" t="str">
        <f t="shared" si="11"/>
        <v>ON</v>
      </c>
      <c r="M427" t="str">
        <f t="shared" si="12"/>
        <v>ON</v>
      </c>
    </row>
    <row r="428" spans="1:13" x14ac:dyDescent="0.25">
      <c r="A428">
        <v>14</v>
      </c>
      <c r="D428" t="s">
        <v>1078</v>
      </c>
      <c r="E428">
        <v>90</v>
      </c>
      <c r="F428">
        <v>10</v>
      </c>
      <c r="G428">
        <v>10</v>
      </c>
      <c r="H428">
        <v>50</v>
      </c>
      <c r="I428">
        <v>30</v>
      </c>
      <c r="J428">
        <v>30</v>
      </c>
      <c r="K428" t="str">
        <f t="shared" si="13"/>
        <v>ON</v>
      </c>
      <c r="L428" t="str">
        <f t="shared" si="11"/>
        <v>ON</v>
      </c>
      <c r="M428" t="str">
        <f t="shared" si="12"/>
        <v>ON</v>
      </c>
    </row>
    <row r="429" spans="1:13" x14ac:dyDescent="0.25">
      <c r="A429">
        <v>15</v>
      </c>
      <c r="D429" t="s">
        <v>1080</v>
      </c>
      <c r="E429">
        <v>90</v>
      </c>
      <c r="F429">
        <v>10</v>
      </c>
      <c r="G429">
        <v>10</v>
      </c>
      <c r="H429">
        <v>50</v>
      </c>
      <c r="I429">
        <v>30</v>
      </c>
      <c r="J429">
        <v>30</v>
      </c>
      <c r="K429" t="str">
        <f t="shared" si="13"/>
        <v>ON</v>
      </c>
      <c r="L429" t="str">
        <f t="shared" si="11"/>
        <v>ON</v>
      </c>
      <c r="M429" t="str">
        <f t="shared" si="12"/>
        <v>ON</v>
      </c>
    </row>
    <row r="430" spans="1:13" x14ac:dyDescent="0.25">
      <c r="A430">
        <v>16</v>
      </c>
      <c r="D430" t="s">
        <v>1082</v>
      </c>
      <c r="E430">
        <v>90</v>
      </c>
      <c r="F430">
        <v>10</v>
      </c>
      <c r="G430">
        <v>10</v>
      </c>
      <c r="H430">
        <v>50</v>
      </c>
      <c r="I430">
        <v>30</v>
      </c>
      <c r="J430">
        <v>30</v>
      </c>
      <c r="K430" t="str">
        <f t="shared" si="13"/>
        <v>ON</v>
      </c>
      <c r="L430" t="str">
        <f t="shared" si="11"/>
        <v>ON</v>
      </c>
      <c r="M430" t="str">
        <f t="shared" si="12"/>
        <v>ON</v>
      </c>
    </row>
    <row r="431" spans="1:13" x14ac:dyDescent="0.25">
      <c r="A431">
        <v>17</v>
      </c>
      <c r="D431" t="s">
        <v>1083</v>
      </c>
      <c r="E431">
        <v>90</v>
      </c>
      <c r="F431">
        <v>10</v>
      </c>
      <c r="G431">
        <v>10</v>
      </c>
      <c r="H431">
        <v>50</v>
      </c>
      <c r="I431">
        <v>30</v>
      </c>
      <c r="J431">
        <v>30</v>
      </c>
      <c r="K431" t="str">
        <f t="shared" si="13"/>
        <v>ON</v>
      </c>
      <c r="L431" t="str">
        <f t="shared" si="11"/>
        <v>ON</v>
      </c>
      <c r="M431" t="str">
        <f t="shared" si="12"/>
        <v>ON</v>
      </c>
    </row>
    <row r="432" spans="1:13" x14ac:dyDescent="0.25">
      <c r="A432">
        <v>18</v>
      </c>
      <c r="D432" t="s">
        <v>1084</v>
      </c>
      <c r="E432">
        <v>90</v>
      </c>
      <c r="F432">
        <v>10</v>
      </c>
      <c r="G432">
        <v>10</v>
      </c>
      <c r="H432">
        <v>40</v>
      </c>
      <c r="I432">
        <v>20</v>
      </c>
      <c r="J432">
        <v>20</v>
      </c>
      <c r="K432" t="str">
        <f t="shared" si="13"/>
        <v>ON</v>
      </c>
      <c r="L432" t="str">
        <f t="shared" si="11"/>
        <v>ON</v>
      </c>
      <c r="M432" t="str">
        <f t="shared" si="12"/>
        <v>ON</v>
      </c>
    </row>
    <row r="433" spans="1:19" x14ac:dyDescent="0.25">
      <c r="A433">
        <v>19</v>
      </c>
      <c r="D433" t="s">
        <v>1085</v>
      </c>
      <c r="E433">
        <v>30</v>
      </c>
      <c r="F433">
        <v>5</v>
      </c>
      <c r="G433">
        <v>5</v>
      </c>
      <c r="H433">
        <v>30</v>
      </c>
      <c r="I433">
        <v>20</v>
      </c>
      <c r="J433">
        <v>20</v>
      </c>
      <c r="K433" t="str">
        <f t="shared" si="13"/>
        <v>ON</v>
      </c>
      <c r="L433" t="str">
        <f t="shared" si="11"/>
        <v>ON</v>
      </c>
      <c r="M433" t="str">
        <f t="shared" si="12"/>
        <v>ON</v>
      </c>
    </row>
    <row r="434" spans="1:19" x14ac:dyDescent="0.25">
      <c r="A434">
        <v>20</v>
      </c>
      <c r="D434" t="s">
        <v>1086</v>
      </c>
      <c r="E434">
        <v>10</v>
      </c>
      <c r="F434">
        <v>5</v>
      </c>
      <c r="G434">
        <v>5</v>
      </c>
      <c r="H434">
        <v>30</v>
      </c>
      <c r="I434">
        <v>20</v>
      </c>
      <c r="J434">
        <v>20</v>
      </c>
      <c r="K434" t="str">
        <f t="shared" si="13"/>
        <v>ON</v>
      </c>
      <c r="L434" t="str">
        <f t="shared" si="11"/>
        <v>ON</v>
      </c>
      <c r="M434" t="str">
        <f t="shared" si="12"/>
        <v>ON</v>
      </c>
    </row>
    <row r="435" spans="1:19" x14ac:dyDescent="0.25">
      <c r="A435">
        <v>21</v>
      </c>
      <c r="D435" t="s">
        <v>1087</v>
      </c>
      <c r="E435">
        <v>10</v>
      </c>
      <c r="F435">
        <v>5</v>
      </c>
      <c r="G435">
        <v>5</v>
      </c>
      <c r="H435">
        <v>20</v>
      </c>
      <c r="I435">
        <v>20</v>
      </c>
      <c r="J435">
        <v>20</v>
      </c>
      <c r="K435" t="str">
        <f t="shared" si="13"/>
        <v>ON</v>
      </c>
      <c r="L435" t="str">
        <f t="shared" si="11"/>
        <v>ON</v>
      </c>
      <c r="M435" t="str">
        <f t="shared" si="12"/>
        <v>ON</v>
      </c>
    </row>
    <row r="436" spans="1:19" x14ac:dyDescent="0.25">
      <c r="A436">
        <v>22</v>
      </c>
      <c r="D436" t="s">
        <v>1088</v>
      </c>
      <c r="E436">
        <v>10</v>
      </c>
      <c r="F436">
        <v>5</v>
      </c>
      <c r="G436">
        <v>5</v>
      </c>
      <c r="H436">
        <v>20</v>
      </c>
      <c r="I436">
        <v>20</v>
      </c>
      <c r="J436">
        <v>20</v>
      </c>
      <c r="K436" t="str">
        <f t="shared" si="13"/>
        <v>ON</v>
      </c>
      <c r="L436" t="str">
        <f t="shared" si="11"/>
        <v>ON</v>
      </c>
      <c r="M436" t="str">
        <f t="shared" si="12"/>
        <v>ON</v>
      </c>
    </row>
    <row r="437" spans="1:19" x14ac:dyDescent="0.25">
      <c r="A437">
        <v>23</v>
      </c>
      <c r="D437" t="s">
        <v>1089</v>
      </c>
      <c r="E437">
        <v>5</v>
      </c>
      <c r="F437">
        <v>5</v>
      </c>
      <c r="G437">
        <v>5</v>
      </c>
      <c r="H437">
        <v>20</v>
      </c>
      <c r="I437">
        <v>20</v>
      </c>
      <c r="J437">
        <v>20</v>
      </c>
      <c r="K437" t="str">
        <f t="shared" si="13"/>
        <v>ON</v>
      </c>
      <c r="L437" t="str">
        <f t="shared" si="11"/>
        <v>ON</v>
      </c>
      <c r="M437" t="str">
        <f t="shared" si="12"/>
        <v>ON</v>
      </c>
    </row>
    <row r="438" spans="1:19" x14ac:dyDescent="0.25">
      <c r="A438">
        <v>24</v>
      </c>
      <c r="D438" t="s">
        <v>1090</v>
      </c>
      <c r="E438">
        <v>5</v>
      </c>
      <c r="F438">
        <v>5</v>
      </c>
      <c r="G438">
        <v>5</v>
      </c>
      <c r="H438">
        <v>20</v>
      </c>
      <c r="I438">
        <v>20</v>
      </c>
      <c r="J438">
        <v>20</v>
      </c>
      <c r="K438" t="str">
        <f t="shared" ref="K438" si="14">IF(E438=0,"OFF","ON")</f>
        <v>ON</v>
      </c>
      <c r="L438" t="str">
        <f t="shared" ref="L438" si="15">IF(F438=0,"OFF","ON")</f>
        <v>ON</v>
      </c>
      <c r="M438" t="str">
        <f t="shared" ref="M438" si="16">IF(G438=0,"OFF","ON")</f>
        <v>ON</v>
      </c>
    </row>
    <row r="440" spans="1:19" x14ac:dyDescent="0.25">
      <c r="A440" t="s">
        <v>1024</v>
      </c>
      <c r="D440" t="s">
        <v>1048</v>
      </c>
      <c r="E440" t="s">
        <v>498</v>
      </c>
      <c r="H440" t="s">
        <v>500</v>
      </c>
      <c r="K440" t="s">
        <v>1045</v>
      </c>
      <c r="N440" t="s">
        <v>1049</v>
      </c>
      <c r="Q440" t="s">
        <v>1039</v>
      </c>
    </row>
    <row r="441" spans="1:19" x14ac:dyDescent="0.25">
      <c r="E441" t="s">
        <v>1040</v>
      </c>
      <c r="F441" t="s">
        <v>1046</v>
      </c>
      <c r="G441" t="s">
        <v>1053</v>
      </c>
      <c r="H441" t="s">
        <v>1040</v>
      </c>
      <c r="I441" t="s">
        <v>1046</v>
      </c>
      <c r="J441" t="s">
        <v>1053</v>
      </c>
      <c r="K441" t="s">
        <v>1040</v>
      </c>
      <c r="L441" t="s">
        <v>1046</v>
      </c>
      <c r="M441" t="s">
        <v>1053</v>
      </c>
      <c r="N441" t="s">
        <v>1040</v>
      </c>
      <c r="O441" t="s">
        <v>1046</v>
      </c>
      <c r="P441" t="s">
        <v>1053</v>
      </c>
      <c r="Q441" t="s">
        <v>1040</v>
      </c>
      <c r="R441" t="s">
        <v>1046</v>
      </c>
      <c r="S441" t="s">
        <v>1053</v>
      </c>
    </row>
    <row r="442" spans="1:19" x14ac:dyDescent="0.25">
      <c r="A442">
        <v>1</v>
      </c>
      <c r="D442" t="s">
        <v>1056</v>
      </c>
      <c r="E442">
        <v>0</v>
      </c>
      <c r="F442">
        <v>0</v>
      </c>
      <c r="G442">
        <v>0</v>
      </c>
      <c r="H442">
        <v>5</v>
      </c>
      <c r="I442">
        <v>5</v>
      </c>
      <c r="J442">
        <v>5</v>
      </c>
      <c r="K442" t="str">
        <f>IF(E442=0,"OFF","ON")</f>
        <v>OFF</v>
      </c>
      <c r="L442" t="str">
        <f t="shared" ref="L442:L465" si="17">IF(F442=0,"OFF","ON")</f>
        <v>OFF</v>
      </c>
      <c r="M442" t="str">
        <f t="shared" ref="M442:M465" si="18">IF(G442=0,"OFF","ON")</f>
        <v>OFF</v>
      </c>
    </row>
    <row r="443" spans="1:19" x14ac:dyDescent="0.25">
      <c r="A443">
        <v>2</v>
      </c>
      <c r="D443" t="s">
        <v>1057</v>
      </c>
      <c r="E443">
        <v>0</v>
      </c>
      <c r="F443">
        <v>0</v>
      </c>
      <c r="G443">
        <v>0</v>
      </c>
      <c r="H443">
        <v>5</v>
      </c>
      <c r="I443">
        <v>5</v>
      </c>
      <c r="J443">
        <v>5</v>
      </c>
      <c r="K443" t="str">
        <f t="shared" ref="K443:K465" si="19">IF(E443=0,"OFF","ON")</f>
        <v>OFF</v>
      </c>
      <c r="L443" t="str">
        <f t="shared" si="17"/>
        <v>OFF</v>
      </c>
      <c r="M443" t="str">
        <f t="shared" si="18"/>
        <v>OFF</v>
      </c>
    </row>
    <row r="444" spans="1:19" x14ac:dyDescent="0.25">
      <c r="A444">
        <v>3</v>
      </c>
      <c r="D444" s="201" t="s">
        <v>1059</v>
      </c>
      <c r="E444">
        <v>0</v>
      </c>
      <c r="F444">
        <v>0</v>
      </c>
      <c r="G444">
        <v>0</v>
      </c>
      <c r="H444">
        <v>5</v>
      </c>
      <c r="I444">
        <v>5</v>
      </c>
      <c r="J444">
        <v>5</v>
      </c>
      <c r="K444" t="str">
        <f t="shared" si="19"/>
        <v>OFF</v>
      </c>
      <c r="L444" t="str">
        <f t="shared" si="17"/>
        <v>OFF</v>
      </c>
      <c r="M444" t="str">
        <f t="shared" si="18"/>
        <v>OFF</v>
      </c>
    </row>
    <row r="445" spans="1:19" x14ac:dyDescent="0.25">
      <c r="A445">
        <v>4</v>
      </c>
      <c r="D445" t="s">
        <v>1061</v>
      </c>
      <c r="E445">
        <v>0</v>
      </c>
      <c r="F445">
        <v>0</v>
      </c>
      <c r="G445">
        <v>0</v>
      </c>
      <c r="H445">
        <v>5</v>
      </c>
      <c r="I445">
        <v>5</v>
      </c>
      <c r="J445">
        <v>5</v>
      </c>
      <c r="K445" t="str">
        <f t="shared" si="19"/>
        <v>OFF</v>
      </c>
      <c r="L445" t="str">
        <f t="shared" si="17"/>
        <v>OFF</v>
      </c>
      <c r="M445" t="str">
        <f t="shared" si="18"/>
        <v>OFF</v>
      </c>
    </row>
    <row r="446" spans="1:19" x14ac:dyDescent="0.25">
      <c r="A446">
        <v>5</v>
      </c>
      <c r="D446" t="s">
        <v>1063</v>
      </c>
      <c r="E446">
        <v>0</v>
      </c>
      <c r="F446">
        <v>0</v>
      </c>
      <c r="G446">
        <v>0</v>
      </c>
      <c r="H446">
        <v>5</v>
      </c>
      <c r="I446">
        <v>5</v>
      </c>
      <c r="J446">
        <v>5</v>
      </c>
      <c r="K446" t="str">
        <f t="shared" si="19"/>
        <v>OFF</v>
      </c>
      <c r="L446" t="str">
        <f t="shared" si="17"/>
        <v>OFF</v>
      </c>
      <c r="M446" t="str">
        <f t="shared" si="18"/>
        <v>OFF</v>
      </c>
    </row>
    <row r="447" spans="1:19" x14ac:dyDescent="0.25">
      <c r="A447">
        <v>6</v>
      </c>
      <c r="D447" t="s">
        <v>1065</v>
      </c>
      <c r="E447">
        <v>0</v>
      </c>
      <c r="F447">
        <v>0</v>
      </c>
      <c r="G447">
        <v>0</v>
      </c>
      <c r="H447">
        <v>10</v>
      </c>
      <c r="I447">
        <v>5</v>
      </c>
      <c r="J447">
        <v>5</v>
      </c>
      <c r="K447" t="str">
        <f t="shared" si="19"/>
        <v>OFF</v>
      </c>
      <c r="L447" t="str">
        <f t="shared" si="17"/>
        <v>OFF</v>
      </c>
      <c r="M447" t="str">
        <f t="shared" si="18"/>
        <v>OFF</v>
      </c>
    </row>
    <row r="448" spans="1:19" x14ac:dyDescent="0.25">
      <c r="A448">
        <v>7</v>
      </c>
      <c r="D448" t="s">
        <v>1067</v>
      </c>
      <c r="E448">
        <v>10</v>
      </c>
      <c r="F448">
        <v>10</v>
      </c>
      <c r="G448">
        <v>5</v>
      </c>
      <c r="H448">
        <v>10</v>
      </c>
      <c r="I448">
        <v>10</v>
      </c>
      <c r="J448">
        <v>5</v>
      </c>
      <c r="K448" t="str">
        <f t="shared" si="19"/>
        <v>ON</v>
      </c>
      <c r="L448" t="str">
        <f t="shared" si="17"/>
        <v>ON</v>
      </c>
      <c r="M448" t="str">
        <f t="shared" si="18"/>
        <v>ON</v>
      </c>
    </row>
    <row r="449" spans="1:13" x14ac:dyDescent="0.25">
      <c r="A449">
        <v>8</v>
      </c>
      <c r="D449" t="s">
        <v>1069</v>
      </c>
      <c r="E449">
        <v>20</v>
      </c>
      <c r="F449">
        <v>10</v>
      </c>
      <c r="G449">
        <v>5</v>
      </c>
      <c r="H449">
        <v>30</v>
      </c>
      <c r="I449">
        <v>10</v>
      </c>
      <c r="J449">
        <v>5</v>
      </c>
      <c r="K449" t="str">
        <f t="shared" si="19"/>
        <v>ON</v>
      </c>
      <c r="L449" t="str">
        <f t="shared" si="17"/>
        <v>ON</v>
      </c>
      <c r="M449" t="str">
        <f t="shared" si="18"/>
        <v>ON</v>
      </c>
    </row>
    <row r="450" spans="1:13" x14ac:dyDescent="0.25">
      <c r="A450">
        <v>9</v>
      </c>
      <c r="D450" t="s">
        <v>1071</v>
      </c>
      <c r="E450">
        <v>95</v>
      </c>
      <c r="F450">
        <v>30</v>
      </c>
      <c r="G450">
        <v>5</v>
      </c>
      <c r="H450">
        <v>90</v>
      </c>
      <c r="I450">
        <v>30</v>
      </c>
      <c r="J450">
        <v>5</v>
      </c>
      <c r="K450" t="str">
        <f t="shared" si="19"/>
        <v>ON</v>
      </c>
      <c r="L450" t="str">
        <f t="shared" si="17"/>
        <v>ON</v>
      </c>
      <c r="M450" t="str">
        <f t="shared" si="18"/>
        <v>ON</v>
      </c>
    </row>
    <row r="451" spans="1:13" x14ac:dyDescent="0.25">
      <c r="A451">
        <v>10</v>
      </c>
      <c r="D451" t="s">
        <v>1073</v>
      </c>
      <c r="E451">
        <v>95</v>
      </c>
      <c r="F451">
        <v>30</v>
      </c>
      <c r="G451">
        <v>5</v>
      </c>
      <c r="H451">
        <v>90</v>
      </c>
      <c r="I451">
        <v>30</v>
      </c>
      <c r="J451">
        <v>5</v>
      </c>
      <c r="K451" t="str">
        <f t="shared" si="19"/>
        <v>ON</v>
      </c>
      <c r="L451" t="str">
        <f t="shared" si="17"/>
        <v>ON</v>
      </c>
      <c r="M451" t="str">
        <f t="shared" si="18"/>
        <v>ON</v>
      </c>
    </row>
    <row r="452" spans="1:13" x14ac:dyDescent="0.25">
      <c r="A452">
        <v>11</v>
      </c>
      <c r="D452" t="s">
        <v>1075</v>
      </c>
      <c r="E452">
        <v>95</v>
      </c>
      <c r="F452">
        <v>30</v>
      </c>
      <c r="G452">
        <v>5</v>
      </c>
      <c r="H452">
        <v>90</v>
      </c>
      <c r="I452">
        <v>30</v>
      </c>
      <c r="J452">
        <v>5</v>
      </c>
      <c r="K452" t="str">
        <f t="shared" si="19"/>
        <v>ON</v>
      </c>
      <c r="L452" t="str">
        <f t="shared" si="17"/>
        <v>ON</v>
      </c>
      <c r="M452" t="str">
        <f t="shared" si="18"/>
        <v>ON</v>
      </c>
    </row>
    <row r="453" spans="1:13" x14ac:dyDescent="0.25">
      <c r="A453">
        <v>12</v>
      </c>
      <c r="D453" t="s">
        <v>1076</v>
      </c>
      <c r="E453">
        <v>95</v>
      </c>
      <c r="F453">
        <v>30</v>
      </c>
      <c r="G453">
        <v>5</v>
      </c>
      <c r="H453">
        <v>90</v>
      </c>
      <c r="I453">
        <v>30</v>
      </c>
      <c r="J453">
        <v>5</v>
      </c>
      <c r="K453" t="str">
        <f t="shared" si="19"/>
        <v>ON</v>
      </c>
      <c r="L453" t="str">
        <f t="shared" si="17"/>
        <v>ON</v>
      </c>
      <c r="M453" t="str">
        <f t="shared" si="18"/>
        <v>ON</v>
      </c>
    </row>
    <row r="454" spans="1:13" x14ac:dyDescent="0.25">
      <c r="A454">
        <v>13</v>
      </c>
      <c r="D454" t="s">
        <v>1077</v>
      </c>
      <c r="E454">
        <v>50</v>
      </c>
      <c r="F454">
        <v>30</v>
      </c>
      <c r="G454">
        <v>5</v>
      </c>
      <c r="H454">
        <v>80</v>
      </c>
      <c r="I454">
        <v>15</v>
      </c>
      <c r="J454">
        <v>5</v>
      </c>
      <c r="K454" t="str">
        <f t="shared" si="19"/>
        <v>ON</v>
      </c>
      <c r="L454" t="str">
        <f t="shared" si="17"/>
        <v>ON</v>
      </c>
      <c r="M454" t="str">
        <f t="shared" si="18"/>
        <v>ON</v>
      </c>
    </row>
    <row r="455" spans="1:13" x14ac:dyDescent="0.25">
      <c r="A455">
        <v>14</v>
      </c>
      <c r="D455" t="s">
        <v>1078</v>
      </c>
      <c r="E455">
        <v>95</v>
      </c>
      <c r="F455">
        <v>10</v>
      </c>
      <c r="G455">
        <v>5</v>
      </c>
      <c r="H455">
        <v>90</v>
      </c>
      <c r="I455">
        <v>15</v>
      </c>
      <c r="J455">
        <v>5</v>
      </c>
      <c r="K455" t="str">
        <f t="shared" si="19"/>
        <v>ON</v>
      </c>
      <c r="L455" t="str">
        <f t="shared" si="17"/>
        <v>ON</v>
      </c>
      <c r="M455" t="str">
        <f t="shared" si="18"/>
        <v>ON</v>
      </c>
    </row>
    <row r="456" spans="1:13" x14ac:dyDescent="0.25">
      <c r="A456">
        <v>15</v>
      </c>
      <c r="D456" t="s">
        <v>1080</v>
      </c>
      <c r="E456">
        <v>95</v>
      </c>
      <c r="F456">
        <v>10</v>
      </c>
      <c r="G456">
        <v>5</v>
      </c>
      <c r="H456">
        <v>90</v>
      </c>
      <c r="I456">
        <v>15</v>
      </c>
      <c r="J456">
        <v>5</v>
      </c>
      <c r="K456" t="str">
        <f t="shared" si="19"/>
        <v>ON</v>
      </c>
      <c r="L456" t="str">
        <f t="shared" si="17"/>
        <v>ON</v>
      </c>
      <c r="M456" t="str">
        <f t="shared" si="18"/>
        <v>ON</v>
      </c>
    </row>
    <row r="457" spans="1:13" x14ac:dyDescent="0.25">
      <c r="A457">
        <v>16</v>
      </c>
      <c r="D457" t="s">
        <v>1082</v>
      </c>
      <c r="E457">
        <v>95</v>
      </c>
      <c r="F457">
        <v>10</v>
      </c>
      <c r="G457">
        <v>5</v>
      </c>
      <c r="H457">
        <v>90</v>
      </c>
      <c r="I457">
        <v>15</v>
      </c>
      <c r="J457">
        <v>5</v>
      </c>
      <c r="K457" t="str">
        <f t="shared" si="19"/>
        <v>ON</v>
      </c>
      <c r="L457" t="str">
        <f t="shared" si="17"/>
        <v>ON</v>
      </c>
      <c r="M457" t="str">
        <f t="shared" si="18"/>
        <v>ON</v>
      </c>
    </row>
    <row r="458" spans="1:13" x14ac:dyDescent="0.25">
      <c r="A458">
        <v>17</v>
      </c>
      <c r="D458" t="s">
        <v>1083</v>
      </c>
      <c r="E458">
        <v>95</v>
      </c>
      <c r="F458">
        <v>10</v>
      </c>
      <c r="G458">
        <v>5</v>
      </c>
      <c r="H458">
        <v>90</v>
      </c>
      <c r="I458">
        <v>15</v>
      </c>
      <c r="J458">
        <v>5</v>
      </c>
      <c r="K458" t="str">
        <f t="shared" si="19"/>
        <v>ON</v>
      </c>
      <c r="L458" t="str">
        <f t="shared" si="17"/>
        <v>ON</v>
      </c>
      <c r="M458" t="str">
        <f t="shared" si="18"/>
        <v>ON</v>
      </c>
    </row>
    <row r="459" spans="1:13" x14ac:dyDescent="0.25">
      <c r="A459">
        <v>18</v>
      </c>
      <c r="D459" t="s">
        <v>1084</v>
      </c>
      <c r="E459">
        <v>30</v>
      </c>
      <c r="F459">
        <v>5</v>
      </c>
      <c r="G459">
        <v>5</v>
      </c>
      <c r="H459">
        <v>50</v>
      </c>
      <c r="I459">
        <v>5</v>
      </c>
      <c r="J459">
        <v>5</v>
      </c>
      <c r="K459" t="str">
        <f t="shared" si="19"/>
        <v>ON</v>
      </c>
      <c r="L459" t="str">
        <f t="shared" si="17"/>
        <v>ON</v>
      </c>
      <c r="M459" t="str">
        <f t="shared" si="18"/>
        <v>ON</v>
      </c>
    </row>
    <row r="460" spans="1:13" x14ac:dyDescent="0.25">
      <c r="A460">
        <v>19</v>
      </c>
      <c r="D460" t="s">
        <v>1085</v>
      </c>
      <c r="E460">
        <v>10</v>
      </c>
      <c r="F460">
        <v>5</v>
      </c>
      <c r="G460">
        <v>0</v>
      </c>
      <c r="H460">
        <v>30</v>
      </c>
      <c r="I460">
        <v>5</v>
      </c>
      <c r="J460">
        <v>5</v>
      </c>
      <c r="K460" t="str">
        <f t="shared" si="19"/>
        <v>ON</v>
      </c>
      <c r="L460" t="str">
        <f t="shared" si="17"/>
        <v>ON</v>
      </c>
      <c r="M460" t="str">
        <f t="shared" si="18"/>
        <v>OFF</v>
      </c>
    </row>
    <row r="461" spans="1:13" x14ac:dyDescent="0.25">
      <c r="A461">
        <v>20</v>
      </c>
      <c r="D461" t="s">
        <v>1086</v>
      </c>
      <c r="E461">
        <v>10</v>
      </c>
      <c r="F461">
        <v>0</v>
      </c>
      <c r="G461">
        <v>0</v>
      </c>
      <c r="H461">
        <v>30</v>
      </c>
      <c r="I461">
        <v>5</v>
      </c>
      <c r="J461">
        <v>5</v>
      </c>
      <c r="K461" t="str">
        <f t="shared" si="19"/>
        <v>ON</v>
      </c>
      <c r="L461" t="str">
        <f t="shared" si="17"/>
        <v>OFF</v>
      </c>
      <c r="M461" t="str">
        <f t="shared" si="18"/>
        <v>OFF</v>
      </c>
    </row>
    <row r="462" spans="1:13" x14ac:dyDescent="0.25">
      <c r="A462">
        <v>21</v>
      </c>
      <c r="D462" t="s">
        <v>1087</v>
      </c>
      <c r="E462">
        <v>10</v>
      </c>
      <c r="F462">
        <v>0</v>
      </c>
      <c r="G462">
        <v>0</v>
      </c>
      <c r="H462">
        <v>20</v>
      </c>
      <c r="I462">
        <v>5</v>
      </c>
      <c r="J462">
        <v>5</v>
      </c>
      <c r="K462" t="str">
        <f t="shared" si="19"/>
        <v>ON</v>
      </c>
      <c r="L462" t="str">
        <f t="shared" si="17"/>
        <v>OFF</v>
      </c>
      <c r="M462" t="str">
        <f t="shared" si="18"/>
        <v>OFF</v>
      </c>
    </row>
    <row r="463" spans="1:13" x14ac:dyDescent="0.25">
      <c r="A463">
        <v>22</v>
      </c>
      <c r="D463" t="s">
        <v>1088</v>
      </c>
      <c r="E463">
        <v>10</v>
      </c>
      <c r="F463">
        <v>0</v>
      </c>
      <c r="G463">
        <v>0</v>
      </c>
      <c r="H463">
        <v>20</v>
      </c>
      <c r="I463">
        <v>5</v>
      </c>
      <c r="J463">
        <v>5</v>
      </c>
      <c r="K463" t="str">
        <f t="shared" si="19"/>
        <v>ON</v>
      </c>
      <c r="L463" t="str">
        <f t="shared" si="17"/>
        <v>OFF</v>
      </c>
      <c r="M463" t="str">
        <f t="shared" si="18"/>
        <v>OFF</v>
      </c>
    </row>
    <row r="464" spans="1:13" x14ac:dyDescent="0.25">
      <c r="A464">
        <v>23</v>
      </c>
      <c r="D464" t="s">
        <v>1089</v>
      </c>
      <c r="E464">
        <v>5</v>
      </c>
      <c r="F464">
        <v>0</v>
      </c>
      <c r="G464">
        <v>0</v>
      </c>
      <c r="H464">
        <v>10</v>
      </c>
      <c r="I464">
        <v>5</v>
      </c>
      <c r="J464">
        <v>5</v>
      </c>
      <c r="K464" t="str">
        <f t="shared" si="19"/>
        <v>ON</v>
      </c>
      <c r="L464" t="str">
        <f t="shared" si="17"/>
        <v>OFF</v>
      </c>
      <c r="M464" t="str">
        <f t="shared" si="18"/>
        <v>OFF</v>
      </c>
    </row>
    <row r="465" spans="1:19" x14ac:dyDescent="0.25">
      <c r="A465">
        <v>24</v>
      </c>
      <c r="D465" t="s">
        <v>1076</v>
      </c>
      <c r="E465">
        <v>5</v>
      </c>
      <c r="F465">
        <v>0</v>
      </c>
      <c r="G465">
        <v>0</v>
      </c>
      <c r="H465">
        <v>5</v>
      </c>
      <c r="I465">
        <v>5</v>
      </c>
      <c r="J465">
        <v>5</v>
      </c>
      <c r="K465" t="str">
        <f t="shared" si="19"/>
        <v>ON</v>
      </c>
      <c r="L465" t="str">
        <f t="shared" si="17"/>
        <v>OFF</v>
      </c>
      <c r="M465" t="str">
        <f t="shared" si="18"/>
        <v>OFF</v>
      </c>
    </row>
    <row r="467" spans="1:19" x14ac:dyDescent="0.25">
      <c r="A467" t="s">
        <v>1079</v>
      </c>
      <c r="D467" t="s">
        <v>1048</v>
      </c>
      <c r="E467" t="s">
        <v>498</v>
      </c>
      <c r="H467" t="s">
        <v>500</v>
      </c>
      <c r="K467" t="s">
        <v>1045</v>
      </c>
      <c r="N467" t="s">
        <v>1049</v>
      </c>
      <c r="Q467" t="s">
        <v>1039</v>
      </c>
    </row>
    <row r="468" spans="1:19" x14ac:dyDescent="0.25">
      <c r="E468" t="s">
        <v>1040</v>
      </c>
      <c r="F468" t="s">
        <v>1046</v>
      </c>
      <c r="G468" t="s">
        <v>1053</v>
      </c>
      <c r="H468" t="s">
        <v>1040</v>
      </c>
      <c r="I468" t="s">
        <v>1046</v>
      </c>
      <c r="J468" t="s">
        <v>1053</v>
      </c>
      <c r="K468" t="s">
        <v>1040</v>
      </c>
      <c r="L468" t="s">
        <v>1046</v>
      </c>
      <c r="M468" t="s">
        <v>1053</v>
      </c>
      <c r="N468" t="s">
        <v>1040</v>
      </c>
      <c r="O468" t="s">
        <v>1046</v>
      </c>
      <c r="P468" t="s">
        <v>1053</v>
      </c>
      <c r="Q468" t="s">
        <v>1040</v>
      </c>
      <c r="R468" t="s">
        <v>1046</v>
      </c>
      <c r="S468" t="s">
        <v>1053</v>
      </c>
    </row>
    <row r="469" spans="1:19" x14ac:dyDescent="0.25">
      <c r="A469">
        <v>1</v>
      </c>
      <c r="D469" t="s">
        <v>1056</v>
      </c>
      <c r="E469">
        <v>0</v>
      </c>
      <c r="F469">
        <v>0</v>
      </c>
      <c r="G469">
        <v>0</v>
      </c>
      <c r="H469">
        <v>5</v>
      </c>
      <c r="I469">
        <v>5</v>
      </c>
      <c r="J469">
        <v>5</v>
      </c>
      <c r="K469" t="str">
        <f>IF(E469=0,"OFF","ON")</f>
        <v>OFF</v>
      </c>
      <c r="L469" t="str">
        <f t="shared" ref="L469:L492" si="20">IF(F469=0,"OFF","ON")</f>
        <v>OFF</v>
      </c>
      <c r="M469" t="str">
        <f t="shared" ref="M469:M492" si="21">IF(G469=0,"OFF","ON")</f>
        <v>OFF</v>
      </c>
    </row>
    <row r="470" spans="1:19" x14ac:dyDescent="0.25">
      <c r="A470">
        <v>2</v>
      </c>
      <c r="D470" t="s">
        <v>1057</v>
      </c>
      <c r="E470">
        <v>0</v>
      </c>
      <c r="F470">
        <v>0</v>
      </c>
      <c r="G470">
        <v>0</v>
      </c>
      <c r="H470">
        <v>5</v>
      </c>
      <c r="I470">
        <v>5</v>
      </c>
      <c r="J470">
        <v>5</v>
      </c>
      <c r="K470" t="str">
        <f t="shared" ref="K470:K492" si="22">IF(E470=0,"OFF","ON")</f>
        <v>OFF</v>
      </c>
      <c r="L470" t="str">
        <f t="shared" si="20"/>
        <v>OFF</v>
      </c>
      <c r="M470" t="str">
        <f t="shared" si="21"/>
        <v>OFF</v>
      </c>
    </row>
    <row r="471" spans="1:19" x14ac:dyDescent="0.25">
      <c r="A471">
        <v>3</v>
      </c>
      <c r="D471" s="201" t="s">
        <v>1059</v>
      </c>
      <c r="E471">
        <v>0</v>
      </c>
      <c r="F471">
        <v>0</v>
      </c>
      <c r="G471">
        <v>0</v>
      </c>
      <c r="H471">
        <v>5</v>
      </c>
      <c r="I471">
        <v>5</v>
      </c>
      <c r="J471">
        <v>5</v>
      </c>
      <c r="K471" t="str">
        <f t="shared" si="22"/>
        <v>OFF</v>
      </c>
      <c r="L471" t="str">
        <f t="shared" si="20"/>
        <v>OFF</v>
      </c>
      <c r="M471" t="str">
        <f t="shared" si="21"/>
        <v>OFF</v>
      </c>
    </row>
    <row r="472" spans="1:19" x14ac:dyDescent="0.25">
      <c r="A472">
        <v>4</v>
      </c>
      <c r="D472" t="s">
        <v>1061</v>
      </c>
      <c r="E472">
        <v>0</v>
      </c>
      <c r="F472">
        <v>0</v>
      </c>
      <c r="G472">
        <v>0</v>
      </c>
      <c r="H472">
        <v>5</v>
      </c>
      <c r="I472">
        <v>5</v>
      </c>
      <c r="J472">
        <v>5</v>
      </c>
      <c r="K472" t="str">
        <f t="shared" si="22"/>
        <v>OFF</v>
      </c>
      <c r="L472" t="str">
        <f t="shared" si="20"/>
        <v>OFF</v>
      </c>
      <c r="M472" t="str">
        <f t="shared" si="21"/>
        <v>OFF</v>
      </c>
    </row>
    <row r="473" spans="1:19" x14ac:dyDescent="0.25">
      <c r="A473">
        <v>5</v>
      </c>
      <c r="D473" t="s">
        <v>1063</v>
      </c>
      <c r="E473">
        <v>0</v>
      </c>
      <c r="F473">
        <v>0</v>
      </c>
      <c r="G473">
        <v>0</v>
      </c>
      <c r="H473">
        <v>5</v>
      </c>
      <c r="I473">
        <v>5</v>
      </c>
      <c r="J473">
        <v>5</v>
      </c>
      <c r="K473" t="str">
        <f t="shared" si="22"/>
        <v>OFF</v>
      </c>
      <c r="L473" t="str">
        <f t="shared" si="20"/>
        <v>OFF</v>
      </c>
      <c r="M473" t="str">
        <f t="shared" si="21"/>
        <v>OFF</v>
      </c>
    </row>
    <row r="474" spans="1:19" x14ac:dyDescent="0.25">
      <c r="A474">
        <v>6</v>
      </c>
      <c r="D474" t="s">
        <v>1065</v>
      </c>
      <c r="E474">
        <v>0</v>
      </c>
      <c r="F474">
        <v>0</v>
      </c>
      <c r="G474">
        <v>0</v>
      </c>
      <c r="H474">
        <v>10</v>
      </c>
      <c r="I474">
        <v>5</v>
      </c>
      <c r="J474">
        <v>5</v>
      </c>
      <c r="K474" t="str">
        <f t="shared" si="22"/>
        <v>OFF</v>
      </c>
      <c r="L474" t="str">
        <f t="shared" si="20"/>
        <v>OFF</v>
      </c>
      <c r="M474" t="str">
        <f t="shared" si="21"/>
        <v>OFF</v>
      </c>
    </row>
    <row r="475" spans="1:19" x14ac:dyDescent="0.25">
      <c r="A475">
        <v>7</v>
      </c>
      <c r="D475" t="s">
        <v>1067</v>
      </c>
      <c r="E475">
        <v>10</v>
      </c>
      <c r="F475">
        <v>10</v>
      </c>
      <c r="G475">
        <v>5</v>
      </c>
      <c r="H475">
        <v>10</v>
      </c>
      <c r="I475">
        <v>10</v>
      </c>
      <c r="J475">
        <v>5</v>
      </c>
      <c r="K475" t="str">
        <f t="shared" si="22"/>
        <v>ON</v>
      </c>
      <c r="L475" t="str">
        <f t="shared" si="20"/>
        <v>ON</v>
      </c>
      <c r="M475" t="str">
        <f t="shared" si="21"/>
        <v>ON</v>
      </c>
    </row>
    <row r="476" spans="1:19" x14ac:dyDescent="0.25">
      <c r="A476">
        <v>8</v>
      </c>
      <c r="D476" t="s">
        <v>1069</v>
      </c>
      <c r="E476">
        <v>20</v>
      </c>
      <c r="F476">
        <v>10</v>
      </c>
      <c r="G476">
        <v>5</v>
      </c>
      <c r="H476">
        <v>30</v>
      </c>
      <c r="I476">
        <v>10</v>
      </c>
      <c r="J476">
        <v>5</v>
      </c>
      <c r="K476" t="str">
        <f t="shared" si="22"/>
        <v>ON</v>
      </c>
      <c r="L476" t="str">
        <f t="shared" si="20"/>
        <v>ON</v>
      </c>
      <c r="M476" t="str">
        <f t="shared" si="21"/>
        <v>ON</v>
      </c>
    </row>
    <row r="477" spans="1:19" x14ac:dyDescent="0.25">
      <c r="A477">
        <v>9</v>
      </c>
      <c r="D477" t="s">
        <v>1071</v>
      </c>
      <c r="E477">
        <v>95</v>
      </c>
      <c r="F477">
        <v>30</v>
      </c>
      <c r="G477">
        <v>5</v>
      </c>
      <c r="H477">
        <v>90</v>
      </c>
      <c r="I477">
        <v>30</v>
      </c>
      <c r="J477">
        <v>5</v>
      </c>
      <c r="K477" t="str">
        <f t="shared" si="22"/>
        <v>ON</v>
      </c>
      <c r="L477" t="str">
        <f t="shared" si="20"/>
        <v>ON</v>
      </c>
      <c r="M477" t="str">
        <f t="shared" si="21"/>
        <v>ON</v>
      </c>
    </row>
    <row r="478" spans="1:19" x14ac:dyDescent="0.25">
      <c r="A478">
        <v>10</v>
      </c>
      <c r="D478" t="s">
        <v>1073</v>
      </c>
      <c r="E478">
        <v>95</v>
      </c>
      <c r="F478">
        <v>30</v>
      </c>
      <c r="G478">
        <v>5</v>
      </c>
      <c r="H478">
        <v>90</v>
      </c>
      <c r="I478">
        <v>30</v>
      </c>
      <c r="J478">
        <v>5</v>
      </c>
      <c r="K478" t="str">
        <f t="shared" si="22"/>
        <v>ON</v>
      </c>
      <c r="L478" t="str">
        <f t="shared" si="20"/>
        <v>ON</v>
      </c>
      <c r="M478" t="str">
        <f t="shared" si="21"/>
        <v>ON</v>
      </c>
    </row>
    <row r="479" spans="1:19" x14ac:dyDescent="0.25">
      <c r="A479">
        <v>11</v>
      </c>
      <c r="D479" t="s">
        <v>1075</v>
      </c>
      <c r="E479">
        <v>95</v>
      </c>
      <c r="F479">
        <v>30</v>
      </c>
      <c r="G479">
        <v>5</v>
      </c>
      <c r="H479">
        <v>90</v>
      </c>
      <c r="I479">
        <v>30</v>
      </c>
      <c r="J479">
        <v>5</v>
      </c>
      <c r="K479" t="str">
        <f t="shared" si="22"/>
        <v>ON</v>
      </c>
      <c r="L479" t="str">
        <f t="shared" si="20"/>
        <v>ON</v>
      </c>
      <c r="M479" t="str">
        <f t="shared" si="21"/>
        <v>ON</v>
      </c>
    </row>
    <row r="480" spans="1:19" x14ac:dyDescent="0.25">
      <c r="A480">
        <v>12</v>
      </c>
      <c r="D480" t="s">
        <v>1076</v>
      </c>
      <c r="E480">
        <v>95</v>
      </c>
      <c r="F480">
        <v>30</v>
      </c>
      <c r="G480">
        <v>5</v>
      </c>
      <c r="H480">
        <v>90</v>
      </c>
      <c r="I480">
        <v>30</v>
      </c>
      <c r="J480">
        <v>5</v>
      </c>
      <c r="K480" t="str">
        <f t="shared" si="22"/>
        <v>ON</v>
      </c>
      <c r="L480" t="str">
        <f t="shared" si="20"/>
        <v>ON</v>
      </c>
      <c r="M480" t="str">
        <f t="shared" si="21"/>
        <v>ON</v>
      </c>
    </row>
    <row r="481" spans="1:19" x14ac:dyDescent="0.25">
      <c r="A481">
        <v>13</v>
      </c>
      <c r="D481" t="s">
        <v>1077</v>
      </c>
      <c r="E481">
        <v>50</v>
      </c>
      <c r="F481">
        <v>30</v>
      </c>
      <c r="G481">
        <v>5</v>
      </c>
      <c r="H481">
        <v>80</v>
      </c>
      <c r="I481">
        <v>15</v>
      </c>
      <c r="J481">
        <v>5</v>
      </c>
      <c r="K481" t="str">
        <f t="shared" si="22"/>
        <v>ON</v>
      </c>
      <c r="L481" t="str">
        <f t="shared" si="20"/>
        <v>ON</v>
      </c>
      <c r="M481" t="str">
        <f t="shared" si="21"/>
        <v>ON</v>
      </c>
    </row>
    <row r="482" spans="1:19" x14ac:dyDescent="0.25">
      <c r="A482">
        <v>14</v>
      </c>
      <c r="D482" t="s">
        <v>1078</v>
      </c>
      <c r="E482">
        <v>95</v>
      </c>
      <c r="F482">
        <v>10</v>
      </c>
      <c r="G482">
        <v>5</v>
      </c>
      <c r="H482">
        <v>90</v>
      </c>
      <c r="I482">
        <v>15</v>
      </c>
      <c r="J482">
        <v>5</v>
      </c>
      <c r="K482" t="str">
        <f t="shared" si="22"/>
        <v>ON</v>
      </c>
      <c r="L482" t="str">
        <f t="shared" si="20"/>
        <v>ON</v>
      </c>
      <c r="M482" t="str">
        <f t="shared" si="21"/>
        <v>ON</v>
      </c>
    </row>
    <row r="483" spans="1:19" x14ac:dyDescent="0.25">
      <c r="A483">
        <v>15</v>
      </c>
      <c r="D483" t="s">
        <v>1080</v>
      </c>
      <c r="E483">
        <v>95</v>
      </c>
      <c r="F483">
        <v>10</v>
      </c>
      <c r="G483">
        <v>5</v>
      </c>
      <c r="H483">
        <v>90</v>
      </c>
      <c r="I483">
        <v>15</v>
      </c>
      <c r="J483">
        <v>5</v>
      </c>
      <c r="K483" t="str">
        <f t="shared" si="22"/>
        <v>ON</v>
      </c>
      <c r="L483" t="str">
        <f t="shared" si="20"/>
        <v>ON</v>
      </c>
      <c r="M483" t="str">
        <f t="shared" si="21"/>
        <v>ON</v>
      </c>
    </row>
    <row r="484" spans="1:19" x14ac:dyDescent="0.25">
      <c r="A484">
        <v>16</v>
      </c>
      <c r="D484" t="s">
        <v>1082</v>
      </c>
      <c r="E484">
        <v>95</v>
      </c>
      <c r="F484">
        <v>10</v>
      </c>
      <c r="G484">
        <v>5</v>
      </c>
      <c r="H484">
        <v>90</v>
      </c>
      <c r="I484">
        <v>15</v>
      </c>
      <c r="J484">
        <v>5</v>
      </c>
      <c r="K484" t="str">
        <f t="shared" si="22"/>
        <v>ON</v>
      </c>
      <c r="L484" t="str">
        <f t="shared" si="20"/>
        <v>ON</v>
      </c>
      <c r="M484" t="str">
        <f t="shared" si="21"/>
        <v>ON</v>
      </c>
    </row>
    <row r="485" spans="1:19" x14ac:dyDescent="0.25">
      <c r="A485">
        <v>17</v>
      </c>
      <c r="D485" t="s">
        <v>1083</v>
      </c>
      <c r="E485">
        <v>95</v>
      </c>
      <c r="F485">
        <v>10</v>
      </c>
      <c r="G485">
        <v>5</v>
      </c>
      <c r="H485">
        <v>90</v>
      </c>
      <c r="I485">
        <v>15</v>
      </c>
      <c r="J485">
        <v>5</v>
      </c>
      <c r="K485" t="str">
        <f t="shared" si="22"/>
        <v>ON</v>
      </c>
      <c r="L485" t="str">
        <f t="shared" si="20"/>
        <v>ON</v>
      </c>
      <c r="M485" t="str">
        <f t="shared" si="21"/>
        <v>ON</v>
      </c>
    </row>
    <row r="486" spans="1:19" x14ac:dyDescent="0.25">
      <c r="A486">
        <v>18</v>
      </c>
      <c r="D486" t="s">
        <v>1084</v>
      </c>
      <c r="E486">
        <v>30</v>
      </c>
      <c r="F486">
        <v>5</v>
      </c>
      <c r="G486">
        <v>5</v>
      </c>
      <c r="H486">
        <v>50</v>
      </c>
      <c r="I486">
        <v>5</v>
      </c>
      <c r="J486">
        <v>5</v>
      </c>
      <c r="K486" t="str">
        <f t="shared" si="22"/>
        <v>ON</v>
      </c>
      <c r="L486" t="str">
        <f t="shared" si="20"/>
        <v>ON</v>
      </c>
      <c r="M486" t="str">
        <f t="shared" si="21"/>
        <v>ON</v>
      </c>
    </row>
    <row r="487" spans="1:19" x14ac:dyDescent="0.25">
      <c r="A487">
        <v>19</v>
      </c>
      <c r="D487" t="s">
        <v>1085</v>
      </c>
      <c r="E487">
        <v>10</v>
      </c>
      <c r="F487">
        <v>5</v>
      </c>
      <c r="G487">
        <v>5</v>
      </c>
      <c r="H487">
        <v>30</v>
      </c>
      <c r="I487">
        <v>5</v>
      </c>
      <c r="J487">
        <v>5</v>
      </c>
      <c r="K487" t="str">
        <f t="shared" si="22"/>
        <v>ON</v>
      </c>
      <c r="L487" t="str">
        <f t="shared" si="20"/>
        <v>ON</v>
      </c>
      <c r="M487" t="str">
        <f t="shared" si="21"/>
        <v>ON</v>
      </c>
    </row>
    <row r="488" spans="1:19" x14ac:dyDescent="0.25">
      <c r="A488">
        <v>20</v>
      </c>
      <c r="D488" t="s">
        <v>1086</v>
      </c>
      <c r="E488">
        <v>10</v>
      </c>
      <c r="F488">
        <v>5</v>
      </c>
      <c r="G488">
        <v>0</v>
      </c>
      <c r="H488">
        <v>30</v>
      </c>
      <c r="I488">
        <v>5</v>
      </c>
      <c r="J488">
        <v>5</v>
      </c>
      <c r="K488" t="str">
        <f t="shared" si="22"/>
        <v>ON</v>
      </c>
      <c r="L488" t="str">
        <f t="shared" si="20"/>
        <v>ON</v>
      </c>
      <c r="M488" t="str">
        <f t="shared" si="21"/>
        <v>OFF</v>
      </c>
    </row>
    <row r="489" spans="1:19" x14ac:dyDescent="0.25">
      <c r="A489">
        <v>21</v>
      </c>
      <c r="D489" t="s">
        <v>1087</v>
      </c>
      <c r="E489">
        <v>10</v>
      </c>
      <c r="F489">
        <v>0</v>
      </c>
      <c r="G489">
        <v>0</v>
      </c>
      <c r="H489">
        <v>20</v>
      </c>
      <c r="I489">
        <v>5</v>
      </c>
      <c r="J489">
        <v>5</v>
      </c>
      <c r="K489" t="str">
        <f t="shared" si="22"/>
        <v>ON</v>
      </c>
      <c r="L489" t="str">
        <f t="shared" si="20"/>
        <v>OFF</v>
      </c>
      <c r="M489" t="str">
        <f t="shared" si="21"/>
        <v>OFF</v>
      </c>
    </row>
    <row r="490" spans="1:19" x14ac:dyDescent="0.25">
      <c r="A490">
        <v>22</v>
      </c>
      <c r="D490" t="s">
        <v>1088</v>
      </c>
      <c r="E490">
        <v>10</v>
      </c>
      <c r="F490">
        <v>0</v>
      </c>
      <c r="G490">
        <v>0</v>
      </c>
      <c r="H490">
        <v>20</v>
      </c>
      <c r="I490">
        <v>5</v>
      </c>
      <c r="J490">
        <v>5</v>
      </c>
      <c r="K490" t="str">
        <f t="shared" si="22"/>
        <v>ON</v>
      </c>
      <c r="L490" t="str">
        <f t="shared" si="20"/>
        <v>OFF</v>
      </c>
      <c r="M490" t="str">
        <f t="shared" si="21"/>
        <v>OFF</v>
      </c>
    </row>
    <row r="491" spans="1:19" x14ac:dyDescent="0.25">
      <c r="A491">
        <v>23</v>
      </c>
      <c r="D491" t="s">
        <v>1089</v>
      </c>
      <c r="E491">
        <v>5</v>
      </c>
      <c r="F491">
        <v>0</v>
      </c>
      <c r="G491">
        <v>0</v>
      </c>
      <c r="H491">
        <v>10</v>
      </c>
      <c r="I491">
        <v>5</v>
      </c>
      <c r="J491">
        <v>5</v>
      </c>
      <c r="K491" t="str">
        <f t="shared" si="22"/>
        <v>ON</v>
      </c>
      <c r="L491" t="str">
        <f t="shared" si="20"/>
        <v>OFF</v>
      </c>
      <c r="M491" t="str">
        <f t="shared" si="21"/>
        <v>OFF</v>
      </c>
    </row>
    <row r="492" spans="1:19" x14ac:dyDescent="0.25">
      <c r="A492">
        <v>24</v>
      </c>
      <c r="D492" t="s">
        <v>1090</v>
      </c>
      <c r="E492">
        <v>5</v>
      </c>
      <c r="F492">
        <v>0</v>
      </c>
      <c r="G492">
        <v>0</v>
      </c>
      <c r="H492">
        <v>5</v>
      </c>
      <c r="I492">
        <v>5</v>
      </c>
      <c r="J492">
        <v>5</v>
      </c>
      <c r="K492" t="str">
        <f t="shared" si="22"/>
        <v>ON</v>
      </c>
      <c r="L492" t="str">
        <f t="shared" si="20"/>
        <v>OFF</v>
      </c>
      <c r="M492" t="str">
        <f t="shared" si="21"/>
        <v>OFF</v>
      </c>
    </row>
    <row r="494" spans="1:19" x14ac:dyDescent="0.25">
      <c r="A494" t="s">
        <v>1081</v>
      </c>
      <c r="D494" t="s">
        <v>1048</v>
      </c>
      <c r="E494" t="s">
        <v>498</v>
      </c>
      <c r="H494" t="s">
        <v>500</v>
      </c>
      <c r="K494" t="s">
        <v>1045</v>
      </c>
      <c r="N494" t="s">
        <v>1049</v>
      </c>
      <c r="Q494" t="s">
        <v>1039</v>
      </c>
    </row>
    <row r="495" spans="1:19" x14ac:dyDescent="0.25">
      <c r="E495" t="s">
        <v>1040</v>
      </c>
      <c r="F495" t="s">
        <v>1046</v>
      </c>
      <c r="G495" t="s">
        <v>1053</v>
      </c>
      <c r="H495" t="s">
        <v>1040</v>
      </c>
      <c r="I495" t="s">
        <v>1046</v>
      </c>
      <c r="J495" t="s">
        <v>1053</v>
      </c>
      <c r="K495" t="s">
        <v>1040</v>
      </c>
      <c r="L495" t="s">
        <v>1046</v>
      </c>
      <c r="M495" t="s">
        <v>1053</v>
      </c>
      <c r="N495" t="s">
        <v>1040</v>
      </c>
      <c r="O495" t="s">
        <v>1046</v>
      </c>
      <c r="P495" t="s">
        <v>1053</v>
      </c>
      <c r="Q495" t="s">
        <v>1040</v>
      </c>
      <c r="R495" t="s">
        <v>1046</v>
      </c>
      <c r="S495" t="s">
        <v>1053</v>
      </c>
    </row>
    <row r="496" spans="1:19" x14ac:dyDescent="0.25">
      <c r="A496">
        <v>1</v>
      </c>
      <c r="D496" t="s">
        <v>1056</v>
      </c>
      <c r="E496">
        <v>0</v>
      </c>
      <c r="F496">
        <v>0</v>
      </c>
      <c r="G496">
        <v>0</v>
      </c>
      <c r="H496">
        <v>5</v>
      </c>
      <c r="I496">
        <v>5</v>
      </c>
      <c r="J496">
        <v>5</v>
      </c>
      <c r="K496" t="str">
        <f>IF(E496=0,"OFF","ON")</f>
        <v>OFF</v>
      </c>
      <c r="L496" t="str">
        <f t="shared" ref="L496:L519" si="23">IF(F496=0,"OFF","ON")</f>
        <v>OFF</v>
      </c>
      <c r="M496" t="str">
        <f t="shared" ref="M496:M519" si="24">IF(G496=0,"OFF","ON")</f>
        <v>OFF</v>
      </c>
    </row>
    <row r="497" spans="1:13" x14ac:dyDescent="0.25">
      <c r="A497">
        <v>2</v>
      </c>
      <c r="D497" t="s">
        <v>1057</v>
      </c>
      <c r="E497">
        <v>0</v>
      </c>
      <c r="F497">
        <v>0</v>
      </c>
      <c r="G497">
        <v>0</v>
      </c>
      <c r="H497">
        <v>5</v>
      </c>
      <c r="I497">
        <v>5</v>
      </c>
      <c r="J497">
        <v>5</v>
      </c>
      <c r="K497" t="str">
        <f t="shared" ref="K497:K519" si="25">IF(E497=0,"OFF","ON")</f>
        <v>OFF</v>
      </c>
      <c r="L497" t="str">
        <f t="shared" si="23"/>
        <v>OFF</v>
      </c>
      <c r="M497" t="str">
        <f t="shared" si="24"/>
        <v>OFF</v>
      </c>
    </row>
    <row r="498" spans="1:13" x14ac:dyDescent="0.25">
      <c r="A498">
        <v>3</v>
      </c>
      <c r="D498" s="201" t="s">
        <v>1059</v>
      </c>
      <c r="E498">
        <v>0</v>
      </c>
      <c r="F498">
        <v>0</v>
      </c>
      <c r="G498">
        <v>0</v>
      </c>
      <c r="H498">
        <v>5</v>
      </c>
      <c r="I498">
        <v>5</v>
      </c>
      <c r="J498">
        <v>5</v>
      </c>
      <c r="K498" t="str">
        <f t="shared" si="25"/>
        <v>OFF</v>
      </c>
      <c r="L498" t="str">
        <f t="shared" si="23"/>
        <v>OFF</v>
      </c>
      <c r="M498" t="str">
        <f t="shared" si="24"/>
        <v>OFF</v>
      </c>
    </row>
    <row r="499" spans="1:13" x14ac:dyDescent="0.25">
      <c r="A499">
        <v>4</v>
      </c>
      <c r="D499" t="s">
        <v>1061</v>
      </c>
      <c r="E499">
        <v>0</v>
      </c>
      <c r="F499">
        <v>0</v>
      </c>
      <c r="G499">
        <v>0</v>
      </c>
      <c r="H499">
        <v>5</v>
      </c>
      <c r="I499">
        <v>5</v>
      </c>
      <c r="J499">
        <v>5</v>
      </c>
      <c r="K499" t="str">
        <f t="shared" si="25"/>
        <v>OFF</v>
      </c>
      <c r="L499" t="str">
        <f t="shared" si="23"/>
        <v>OFF</v>
      </c>
      <c r="M499" t="str">
        <f t="shared" si="24"/>
        <v>OFF</v>
      </c>
    </row>
    <row r="500" spans="1:13" x14ac:dyDescent="0.25">
      <c r="A500">
        <v>5</v>
      </c>
      <c r="D500" t="s">
        <v>1063</v>
      </c>
      <c r="E500">
        <v>0</v>
      </c>
      <c r="F500">
        <v>0</v>
      </c>
      <c r="G500">
        <v>0</v>
      </c>
      <c r="H500">
        <v>5</v>
      </c>
      <c r="I500">
        <v>5</v>
      </c>
      <c r="J500">
        <v>5</v>
      </c>
      <c r="K500" t="str">
        <f t="shared" si="25"/>
        <v>OFF</v>
      </c>
      <c r="L500" t="str">
        <f t="shared" si="23"/>
        <v>OFF</v>
      </c>
      <c r="M500" t="str">
        <f t="shared" si="24"/>
        <v>OFF</v>
      </c>
    </row>
    <row r="501" spans="1:13" x14ac:dyDescent="0.25">
      <c r="A501">
        <v>6</v>
      </c>
      <c r="D501" t="s">
        <v>1065</v>
      </c>
      <c r="E501">
        <v>0</v>
      </c>
      <c r="F501">
        <v>0</v>
      </c>
      <c r="G501">
        <v>0</v>
      </c>
      <c r="H501">
        <v>10</v>
      </c>
      <c r="I501">
        <v>5</v>
      </c>
      <c r="J501">
        <v>5</v>
      </c>
      <c r="K501" t="str">
        <f t="shared" si="25"/>
        <v>OFF</v>
      </c>
      <c r="L501" t="str">
        <f t="shared" si="23"/>
        <v>OFF</v>
      </c>
      <c r="M501" t="str">
        <f t="shared" si="24"/>
        <v>OFF</v>
      </c>
    </row>
    <row r="502" spans="1:13" x14ac:dyDescent="0.25">
      <c r="A502">
        <v>7</v>
      </c>
      <c r="D502" t="s">
        <v>1067</v>
      </c>
      <c r="E502">
        <v>10</v>
      </c>
      <c r="F502">
        <v>10</v>
      </c>
      <c r="G502">
        <v>5</v>
      </c>
      <c r="H502">
        <v>10</v>
      </c>
      <c r="I502">
        <v>10</v>
      </c>
      <c r="J502">
        <v>5</v>
      </c>
      <c r="K502" t="str">
        <f t="shared" si="25"/>
        <v>ON</v>
      </c>
      <c r="L502" t="str">
        <f t="shared" si="23"/>
        <v>ON</v>
      </c>
      <c r="M502" t="str">
        <f t="shared" si="24"/>
        <v>ON</v>
      </c>
    </row>
    <row r="503" spans="1:13" x14ac:dyDescent="0.25">
      <c r="A503">
        <v>8</v>
      </c>
      <c r="D503" t="s">
        <v>1069</v>
      </c>
      <c r="E503">
        <v>20</v>
      </c>
      <c r="F503">
        <v>10</v>
      </c>
      <c r="G503">
        <v>5</v>
      </c>
      <c r="H503">
        <v>30</v>
      </c>
      <c r="I503">
        <v>10</v>
      </c>
      <c r="J503">
        <v>5</v>
      </c>
      <c r="K503" t="str">
        <f t="shared" si="25"/>
        <v>ON</v>
      </c>
      <c r="L503" t="str">
        <f t="shared" si="23"/>
        <v>ON</v>
      </c>
      <c r="M503" t="str">
        <f t="shared" si="24"/>
        <v>ON</v>
      </c>
    </row>
    <row r="504" spans="1:13" x14ac:dyDescent="0.25">
      <c r="A504">
        <v>9</v>
      </c>
      <c r="D504" t="s">
        <v>1071</v>
      </c>
      <c r="E504">
        <v>95</v>
      </c>
      <c r="F504">
        <v>30</v>
      </c>
      <c r="G504">
        <v>5</v>
      </c>
      <c r="H504">
        <v>90</v>
      </c>
      <c r="I504">
        <v>30</v>
      </c>
      <c r="J504">
        <v>5</v>
      </c>
      <c r="K504" t="str">
        <f t="shared" si="25"/>
        <v>ON</v>
      </c>
      <c r="L504" t="str">
        <f t="shared" si="23"/>
        <v>ON</v>
      </c>
      <c r="M504" t="str">
        <f t="shared" si="24"/>
        <v>ON</v>
      </c>
    </row>
    <row r="505" spans="1:13" x14ac:dyDescent="0.25">
      <c r="A505">
        <v>10</v>
      </c>
      <c r="D505" t="s">
        <v>1073</v>
      </c>
      <c r="E505">
        <v>95</v>
      </c>
      <c r="F505">
        <v>30</v>
      </c>
      <c r="G505">
        <v>5</v>
      </c>
      <c r="H505">
        <v>90</v>
      </c>
      <c r="I505">
        <v>30</v>
      </c>
      <c r="J505">
        <v>5</v>
      </c>
      <c r="K505" t="str">
        <f t="shared" si="25"/>
        <v>ON</v>
      </c>
      <c r="L505" t="str">
        <f t="shared" si="23"/>
        <v>ON</v>
      </c>
      <c r="M505" t="str">
        <f t="shared" si="24"/>
        <v>ON</v>
      </c>
    </row>
    <row r="506" spans="1:13" x14ac:dyDescent="0.25">
      <c r="A506">
        <v>11</v>
      </c>
      <c r="D506" t="s">
        <v>1075</v>
      </c>
      <c r="E506">
        <v>95</v>
      </c>
      <c r="F506">
        <v>30</v>
      </c>
      <c r="G506">
        <v>5</v>
      </c>
      <c r="H506">
        <v>90</v>
      </c>
      <c r="I506">
        <v>30</v>
      </c>
      <c r="J506">
        <v>5</v>
      </c>
      <c r="K506" t="str">
        <f t="shared" si="25"/>
        <v>ON</v>
      </c>
      <c r="L506" t="str">
        <f t="shared" si="23"/>
        <v>ON</v>
      </c>
      <c r="M506" t="str">
        <f t="shared" si="24"/>
        <v>ON</v>
      </c>
    </row>
    <row r="507" spans="1:13" x14ac:dyDescent="0.25">
      <c r="A507">
        <v>12</v>
      </c>
      <c r="D507" t="s">
        <v>1076</v>
      </c>
      <c r="E507">
        <v>95</v>
      </c>
      <c r="F507">
        <v>30</v>
      </c>
      <c r="G507">
        <v>5</v>
      </c>
      <c r="H507">
        <v>90</v>
      </c>
      <c r="I507">
        <v>30</v>
      </c>
      <c r="J507">
        <v>5</v>
      </c>
      <c r="K507" t="str">
        <f t="shared" si="25"/>
        <v>ON</v>
      </c>
      <c r="L507" t="str">
        <f t="shared" si="23"/>
        <v>ON</v>
      </c>
      <c r="M507" t="str">
        <f t="shared" si="24"/>
        <v>ON</v>
      </c>
    </row>
    <row r="508" spans="1:13" x14ac:dyDescent="0.25">
      <c r="A508">
        <v>13</v>
      </c>
      <c r="D508" t="s">
        <v>1077</v>
      </c>
      <c r="E508">
        <v>50</v>
      </c>
      <c r="F508">
        <v>10</v>
      </c>
      <c r="G508">
        <v>5</v>
      </c>
      <c r="H508">
        <v>80</v>
      </c>
      <c r="I508">
        <v>15</v>
      </c>
      <c r="J508">
        <v>5</v>
      </c>
      <c r="K508" t="str">
        <f t="shared" si="25"/>
        <v>ON</v>
      </c>
      <c r="L508" t="str">
        <f t="shared" si="23"/>
        <v>ON</v>
      </c>
      <c r="M508" t="str">
        <f t="shared" si="24"/>
        <v>ON</v>
      </c>
    </row>
    <row r="509" spans="1:13" x14ac:dyDescent="0.25">
      <c r="A509">
        <v>14</v>
      </c>
      <c r="D509" t="s">
        <v>1078</v>
      </c>
      <c r="E509">
        <v>95</v>
      </c>
      <c r="F509">
        <v>10</v>
      </c>
      <c r="G509">
        <v>5</v>
      </c>
      <c r="H509">
        <v>90</v>
      </c>
      <c r="I509">
        <v>15</v>
      </c>
      <c r="J509">
        <v>5</v>
      </c>
      <c r="K509" t="str">
        <f t="shared" si="25"/>
        <v>ON</v>
      </c>
      <c r="L509" t="str">
        <f t="shared" si="23"/>
        <v>ON</v>
      </c>
      <c r="M509" t="str">
        <f t="shared" si="24"/>
        <v>ON</v>
      </c>
    </row>
    <row r="510" spans="1:13" x14ac:dyDescent="0.25">
      <c r="A510">
        <v>15</v>
      </c>
      <c r="D510" t="s">
        <v>1080</v>
      </c>
      <c r="E510">
        <v>95</v>
      </c>
      <c r="F510">
        <v>10</v>
      </c>
      <c r="G510">
        <v>5</v>
      </c>
      <c r="H510">
        <v>90</v>
      </c>
      <c r="I510">
        <v>15</v>
      </c>
      <c r="J510">
        <v>5</v>
      </c>
      <c r="K510" t="str">
        <f t="shared" si="25"/>
        <v>ON</v>
      </c>
      <c r="L510" t="str">
        <f t="shared" si="23"/>
        <v>ON</v>
      </c>
      <c r="M510" t="str">
        <f t="shared" si="24"/>
        <v>ON</v>
      </c>
    </row>
    <row r="511" spans="1:13" x14ac:dyDescent="0.25">
      <c r="A511">
        <v>16</v>
      </c>
      <c r="D511" t="s">
        <v>1082</v>
      </c>
      <c r="E511">
        <v>95</v>
      </c>
      <c r="F511">
        <v>10</v>
      </c>
      <c r="G511">
        <v>5</v>
      </c>
      <c r="H511">
        <v>90</v>
      </c>
      <c r="I511">
        <v>15</v>
      </c>
      <c r="J511">
        <v>5</v>
      </c>
      <c r="K511" t="str">
        <f t="shared" si="25"/>
        <v>ON</v>
      </c>
      <c r="L511" t="str">
        <f t="shared" si="23"/>
        <v>ON</v>
      </c>
      <c r="M511" t="str">
        <f t="shared" si="24"/>
        <v>ON</v>
      </c>
    </row>
    <row r="512" spans="1:13" x14ac:dyDescent="0.25">
      <c r="A512">
        <v>17</v>
      </c>
      <c r="D512" t="s">
        <v>1083</v>
      </c>
      <c r="E512">
        <v>95</v>
      </c>
      <c r="F512">
        <v>10</v>
      </c>
      <c r="G512">
        <v>5</v>
      </c>
      <c r="H512">
        <v>90</v>
      </c>
      <c r="I512">
        <v>15</v>
      </c>
      <c r="J512">
        <v>5</v>
      </c>
      <c r="K512" t="str">
        <f t="shared" si="25"/>
        <v>ON</v>
      </c>
      <c r="L512" t="str">
        <f t="shared" si="23"/>
        <v>ON</v>
      </c>
      <c r="M512" t="str">
        <f t="shared" si="24"/>
        <v>ON</v>
      </c>
    </row>
    <row r="513" spans="1:19" x14ac:dyDescent="0.25">
      <c r="A513">
        <v>18</v>
      </c>
      <c r="D513" t="s">
        <v>1084</v>
      </c>
      <c r="E513">
        <v>30</v>
      </c>
      <c r="F513">
        <v>5</v>
      </c>
      <c r="G513">
        <v>5</v>
      </c>
      <c r="H513">
        <v>50</v>
      </c>
      <c r="I513">
        <v>5</v>
      </c>
      <c r="J513">
        <v>5</v>
      </c>
      <c r="K513" t="str">
        <f t="shared" si="25"/>
        <v>ON</v>
      </c>
      <c r="L513" t="str">
        <f t="shared" si="23"/>
        <v>ON</v>
      </c>
      <c r="M513" t="str">
        <f t="shared" si="24"/>
        <v>ON</v>
      </c>
    </row>
    <row r="514" spans="1:19" x14ac:dyDescent="0.25">
      <c r="A514">
        <v>19</v>
      </c>
      <c r="D514" t="s">
        <v>1085</v>
      </c>
      <c r="E514">
        <v>10</v>
      </c>
      <c r="F514">
        <v>5</v>
      </c>
      <c r="G514">
        <v>0</v>
      </c>
      <c r="H514">
        <v>30</v>
      </c>
      <c r="I514">
        <v>5</v>
      </c>
      <c r="J514">
        <v>5</v>
      </c>
      <c r="K514" t="str">
        <f t="shared" si="25"/>
        <v>ON</v>
      </c>
      <c r="L514" t="str">
        <f t="shared" si="23"/>
        <v>ON</v>
      </c>
      <c r="M514" t="str">
        <f t="shared" si="24"/>
        <v>OFF</v>
      </c>
    </row>
    <row r="515" spans="1:19" x14ac:dyDescent="0.25">
      <c r="A515">
        <v>20</v>
      </c>
      <c r="D515" t="s">
        <v>1086</v>
      </c>
      <c r="E515">
        <v>10</v>
      </c>
      <c r="F515">
        <v>0</v>
      </c>
      <c r="G515">
        <v>0</v>
      </c>
      <c r="H515">
        <v>30</v>
      </c>
      <c r="I515">
        <v>5</v>
      </c>
      <c r="J515">
        <v>5</v>
      </c>
      <c r="K515" t="str">
        <f t="shared" si="25"/>
        <v>ON</v>
      </c>
      <c r="L515" t="str">
        <f t="shared" si="23"/>
        <v>OFF</v>
      </c>
      <c r="M515" t="str">
        <f t="shared" si="24"/>
        <v>OFF</v>
      </c>
    </row>
    <row r="516" spans="1:19" x14ac:dyDescent="0.25">
      <c r="A516">
        <v>21</v>
      </c>
      <c r="D516" t="s">
        <v>1087</v>
      </c>
      <c r="E516">
        <v>10</v>
      </c>
      <c r="F516">
        <v>0</v>
      </c>
      <c r="G516">
        <v>0</v>
      </c>
      <c r="H516">
        <v>20</v>
      </c>
      <c r="I516">
        <v>5</v>
      </c>
      <c r="J516">
        <v>5</v>
      </c>
      <c r="K516" t="str">
        <f t="shared" si="25"/>
        <v>ON</v>
      </c>
      <c r="L516" t="str">
        <f t="shared" si="23"/>
        <v>OFF</v>
      </c>
      <c r="M516" t="str">
        <f t="shared" si="24"/>
        <v>OFF</v>
      </c>
    </row>
    <row r="517" spans="1:19" x14ac:dyDescent="0.25">
      <c r="A517">
        <v>22</v>
      </c>
      <c r="D517" t="s">
        <v>1088</v>
      </c>
      <c r="E517">
        <v>10</v>
      </c>
      <c r="F517">
        <v>0</v>
      </c>
      <c r="G517">
        <v>0</v>
      </c>
      <c r="H517">
        <v>20</v>
      </c>
      <c r="I517">
        <v>5</v>
      </c>
      <c r="J517">
        <v>5</v>
      </c>
      <c r="K517" t="str">
        <f t="shared" si="25"/>
        <v>ON</v>
      </c>
      <c r="L517" t="str">
        <f t="shared" si="23"/>
        <v>OFF</v>
      </c>
      <c r="M517" t="str">
        <f t="shared" si="24"/>
        <v>OFF</v>
      </c>
    </row>
    <row r="518" spans="1:19" x14ac:dyDescent="0.25">
      <c r="A518">
        <v>23</v>
      </c>
      <c r="D518" t="s">
        <v>1089</v>
      </c>
      <c r="E518">
        <v>5</v>
      </c>
      <c r="F518">
        <v>0</v>
      </c>
      <c r="G518">
        <v>0</v>
      </c>
      <c r="H518">
        <v>10</v>
      </c>
      <c r="I518">
        <v>5</v>
      </c>
      <c r="J518">
        <v>5</v>
      </c>
      <c r="K518" t="str">
        <f t="shared" si="25"/>
        <v>ON</v>
      </c>
      <c r="L518" t="str">
        <f t="shared" si="23"/>
        <v>OFF</v>
      </c>
      <c r="M518" t="str">
        <f t="shared" si="24"/>
        <v>OFF</v>
      </c>
    </row>
    <row r="519" spans="1:19" x14ac:dyDescent="0.25">
      <c r="A519">
        <v>24</v>
      </c>
      <c r="D519" t="s">
        <v>1090</v>
      </c>
      <c r="E519">
        <v>5</v>
      </c>
      <c r="F519">
        <v>0</v>
      </c>
      <c r="G519">
        <v>0</v>
      </c>
      <c r="H519">
        <v>5</v>
      </c>
      <c r="I519">
        <v>5</v>
      </c>
      <c r="J519">
        <v>5</v>
      </c>
      <c r="K519" t="str">
        <f t="shared" si="25"/>
        <v>ON</v>
      </c>
      <c r="L519" t="str">
        <f t="shared" si="23"/>
        <v>OFF</v>
      </c>
      <c r="M519" t="str">
        <f t="shared" si="24"/>
        <v>OFF</v>
      </c>
    </row>
    <row r="521" spans="1:19" x14ac:dyDescent="0.25">
      <c r="A521" t="s">
        <v>1042</v>
      </c>
      <c r="D521" t="s">
        <v>1048</v>
      </c>
      <c r="E521" t="s">
        <v>498</v>
      </c>
      <c r="H521" t="s">
        <v>500</v>
      </c>
      <c r="K521" t="s">
        <v>1045</v>
      </c>
      <c r="N521" t="s">
        <v>1049</v>
      </c>
      <c r="Q521" t="s">
        <v>1039</v>
      </c>
    </row>
    <row r="522" spans="1:19" x14ac:dyDescent="0.25">
      <c r="E522" t="s">
        <v>1040</v>
      </c>
      <c r="F522" t="s">
        <v>1046</v>
      </c>
      <c r="G522" t="s">
        <v>1053</v>
      </c>
      <c r="H522" t="s">
        <v>1040</v>
      </c>
      <c r="I522" t="s">
        <v>1046</v>
      </c>
      <c r="J522" t="s">
        <v>1053</v>
      </c>
      <c r="K522" t="s">
        <v>1040</v>
      </c>
      <c r="L522" t="s">
        <v>1046</v>
      </c>
      <c r="M522" t="s">
        <v>1053</v>
      </c>
      <c r="N522" t="s">
        <v>1040</v>
      </c>
      <c r="O522" t="s">
        <v>1046</v>
      </c>
      <c r="P522" t="s">
        <v>1053</v>
      </c>
      <c r="Q522" t="s">
        <v>1040</v>
      </c>
      <c r="R522" t="s">
        <v>1046</v>
      </c>
      <c r="S522" t="s">
        <v>1053</v>
      </c>
    </row>
    <row r="523" spans="1:19" x14ac:dyDescent="0.25">
      <c r="A523">
        <v>1</v>
      </c>
      <c r="D523" t="s">
        <v>1056</v>
      </c>
      <c r="E523">
        <v>0</v>
      </c>
      <c r="F523">
        <v>0</v>
      </c>
      <c r="G523">
        <v>0</v>
      </c>
      <c r="H523">
        <v>20</v>
      </c>
      <c r="I523">
        <v>20</v>
      </c>
      <c r="J523">
        <v>20</v>
      </c>
      <c r="K523" t="str">
        <f>IF(E523=0,"OFF","ON")</f>
        <v>OFF</v>
      </c>
      <c r="L523" t="str">
        <f t="shared" ref="L523:L546" si="26">IF(F523=0,"OFF","ON")</f>
        <v>OFF</v>
      </c>
      <c r="M523" t="str">
        <f t="shared" ref="M523:M546" si="27">IF(G523=0,"OFF","ON")</f>
        <v>OFF</v>
      </c>
    </row>
    <row r="524" spans="1:19" x14ac:dyDescent="0.25">
      <c r="A524">
        <v>2</v>
      </c>
      <c r="D524" t="s">
        <v>1057</v>
      </c>
      <c r="E524">
        <v>0</v>
      </c>
      <c r="F524">
        <v>0</v>
      </c>
      <c r="G524">
        <v>0</v>
      </c>
      <c r="H524">
        <v>20</v>
      </c>
      <c r="I524">
        <v>20</v>
      </c>
      <c r="J524">
        <v>20</v>
      </c>
      <c r="K524" t="str">
        <f t="shared" ref="K524:K546" si="28">IF(E524=0,"OFF","ON")</f>
        <v>OFF</v>
      </c>
      <c r="L524" t="str">
        <f t="shared" si="26"/>
        <v>OFF</v>
      </c>
      <c r="M524" t="str">
        <f t="shared" si="27"/>
        <v>OFF</v>
      </c>
    </row>
    <row r="525" spans="1:19" x14ac:dyDescent="0.25">
      <c r="A525">
        <v>3</v>
      </c>
      <c r="D525" s="201" t="s">
        <v>1059</v>
      </c>
      <c r="E525">
        <v>0</v>
      </c>
      <c r="F525">
        <v>0</v>
      </c>
      <c r="G525">
        <v>0</v>
      </c>
      <c r="H525">
        <v>20</v>
      </c>
      <c r="I525">
        <v>20</v>
      </c>
      <c r="J525">
        <v>20</v>
      </c>
      <c r="K525" t="str">
        <f t="shared" si="28"/>
        <v>OFF</v>
      </c>
      <c r="L525" t="str">
        <f t="shared" si="26"/>
        <v>OFF</v>
      </c>
      <c r="M525" t="str">
        <f t="shared" si="27"/>
        <v>OFF</v>
      </c>
    </row>
    <row r="526" spans="1:19" x14ac:dyDescent="0.25">
      <c r="A526">
        <v>4</v>
      </c>
      <c r="D526" t="s">
        <v>1061</v>
      </c>
      <c r="E526">
        <v>0</v>
      </c>
      <c r="F526">
        <v>0</v>
      </c>
      <c r="G526">
        <v>0</v>
      </c>
      <c r="H526">
        <v>20</v>
      </c>
      <c r="I526">
        <v>20</v>
      </c>
      <c r="J526">
        <v>20</v>
      </c>
      <c r="K526" t="str">
        <f t="shared" si="28"/>
        <v>OFF</v>
      </c>
      <c r="L526" t="str">
        <f t="shared" si="26"/>
        <v>OFF</v>
      </c>
      <c r="M526" t="str">
        <f t="shared" si="27"/>
        <v>OFF</v>
      </c>
    </row>
    <row r="527" spans="1:19" x14ac:dyDescent="0.25">
      <c r="A527">
        <v>5</v>
      </c>
      <c r="D527" t="s">
        <v>1063</v>
      </c>
      <c r="E527">
        <v>0</v>
      </c>
      <c r="F527">
        <v>0</v>
      </c>
      <c r="G527">
        <v>0</v>
      </c>
      <c r="H527">
        <v>20</v>
      </c>
      <c r="I527">
        <v>20</v>
      </c>
      <c r="J527">
        <v>20</v>
      </c>
      <c r="K527" t="str">
        <f t="shared" si="28"/>
        <v>OFF</v>
      </c>
      <c r="L527" t="str">
        <f t="shared" si="26"/>
        <v>OFF</v>
      </c>
      <c r="M527" t="str">
        <f t="shared" si="27"/>
        <v>OFF</v>
      </c>
    </row>
    <row r="528" spans="1:19" x14ac:dyDescent="0.25">
      <c r="A528">
        <v>6</v>
      </c>
      <c r="D528" t="s">
        <v>1065</v>
      </c>
      <c r="E528">
        <v>0</v>
      </c>
      <c r="F528">
        <v>0</v>
      </c>
      <c r="G528">
        <v>0</v>
      </c>
      <c r="H528">
        <v>20</v>
      </c>
      <c r="I528">
        <v>20</v>
      </c>
      <c r="J528">
        <v>20</v>
      </c>
      <c r="K528" t="str">
        <f t="shared" si="28"/>
        <v>OFF</v>
      </c>
      <c r="L528" t="str">
        <f t="shared" si="26"/>
        <v>OFF</v>
      </c>
      <c r="M528" t="str">
        <f t="shared" si="27"/>
        <v>OFF</v>
      </c>
    </row>
    <row r="529" spans="1:13" x14ac:dyDescent="0.25">
      <c r="A529">
        <v>7</v>
      </c>
      <c r="D529" t="s">
        <v>1067</v>
      </c>
      <c r="E529">
        <v>0</v>
      </c>
      <c r="F529">
        <v>0</v>
      </c>
      <c r="G529">
        <v>0</v>
      </c>
      <c r="H529">
        <v>20</v>
      </c>
      <c r="I529">
        <v>30</v>
      </c>
      <c r="J529">
        <v>30</v>
      </c>
      <c r="K529" t="str">
        <f t="shared" si="28"/>
        <v>OFF</v>
      </c>
      <c r="L529" t="str">
        <f t="shared" si="26"/>
        <v>OFF</v>
      </c>
      <c r="M529" t="str">
        <f t="shared" si="27"/>
        <v>OFF</v>
      </c>
    </row>
    <row r="530" spans="1:13" x14ac:dyDescent="0.25">
      <c r="A530">
        <v>8</v>
      </c>
      <c r="D530" t="s">
        <v>1069</v>
      </c>
      <c r="E530">
        <v>10</v>
      </c>
      <c r="F530">
        <v>10</v>
      </c>
      <c r="G530">
        <v>10</v>
      </c>
      <c r="H530">
        <v>30</v>
      </c>
      <c r="I530">
        <v>30</v>
      </c>
      <c r="J530">
        <v>30</v>
      </c>
      <c r="K530" t="str">
        <f t="shared" si="28"/>
        <v>ON</v>
      </c>
      <c r="L530" t="str">
        <f t="shared" si="26"/>
        <v>ON</v>
      </c>
      <c r="M530" t="str">
        <f t="shared" si="27"/>
        <v>ON</v>
      </c>
    </row>
    <row r="531" spans="1:13" x14ac:dyDescent="0.25">
      <c r="A531">
        <v>9</v>
      </c>
      <c r="D531" t="s">
        <v>1071</v>
      </c>
      <c r="E531">
        <v>20</v>
      </c>
      <c r="F531">
        <v>10</v>
      </c>
      <c r="G531">
        <v>10</v>
      </c>
      <c r="H531">
        <v>40</v>
      </c>
      <c r="I531">
        <v>40</v>
      </c>
      <c r="J531">
        <v>40</v>
      </c>
      <c r="K531" t="str">
        <f t="shared" si="28"/>
        <v>ON</v>
      </c>
      <c r="L531" t="str">
        <f t="shared" si="26"/>
        <v>ON</v>
      </c>
      <c r="M531" t="str">
        <f t="shared" si="27"/>
        <v>ON</v>
      </c>
    </row>
    <row r="532" spans="1:13" x14ac:dyDescent="0.25">
      <c r="A532">
        <v>10</v>
      </c>
      <c r="D532" t="s">
        <v>1073</v>
      </c>
      <c r="E532">
        <v>90</v>
      </c>
      <c r="F532">
        <v>30</v>
      </c>
      <c r="G532">
        <v>30</v>
      </c>
      <c r="H532">
        <v>50</v>
      </c>
      <c r="I532">
        <v>40</v>
      </c>
      <c r="J532">
        <v>40</v>
      </c>
      <c r="K532" t="str">
        <f t="shared" si="28"/>
        <v>ON</v>
      </c>
      <c r="L532" t="str">
        <f t="shared" si="26"/>
        <v>ON</v>
      </c>
      <c r="M532" t="str">
        <f t="shared" si="27"/>
        <v>ON</v>
      </c>
    </row>
    <row r="533" spans="1:13" x14ac:dyDescent="0.25">
      <c r="A533">
        <v>11</v>
      </c>
      <c r="D533" t="s">
        <v>1075</v>
      </c>
      <c r="E533">
        <v>90</v>
      </c>
      <c r="F533">
        <v>30</v>
      </c>
      <c r="G533">
        <v>30</v>
      </c>
      <c r="H533">
        <v>50</v>
      </c>
      <c r="I533">
        <v>40</v>
      </c>
      <c r="J533">
        <v>40</v>
      </c>
      <c r="K533" t="str">
        <f t="shared" si="28"/>
        <v>ON</v>
      </c>
      <c r="L533" t="str">
        <f t="shared" si="26"/>
        <v>ON</v>
      </c>
      <c r="M533" t="str">
        <f t="shared" si="27"/>
        <v>ON</v>
      </c>
    </row>
    <row r="534" spans="1:13" x14ac:dyDescent="0.25">
      <c r="A534">
        <v>12</v>
      </c>
      <c r="D534" t="s">
        <v>1076</v>
      </c>
      <c r="E534">
        <v>45</v>
      </c>
      <c r="F534">
        <v>30</v>
      </c>
      <c r="G534">
        <v>30</v>
      </c>
      <c r="H534">
        <v>50</v>
      </c>
      <c r="I534">
        <v>40</v>
      </c>
      <c r="J534">
        <v>40</v>
      </c>
      <c r="K534" t="str">
        <f t="shared" si="28"/>
        <v>ON</v>
      </c>
      <c r="L534" t="str">
        <f t="shared" si="26"/>
        <v>ON</v>
      </c>
      <c r="M534" t="str">
        <f t="shared" si="27"/>
        <v>ON</v>
      </c>
    </row>
    <row r="535" spans="1:13" x14ac:dyDescent="0.25">
      <c r="A535">
        <v>13</v>
      </c>
      <c r="D535" t="s">
        <v>1077</v>
      </c>
      <c r="E535">
        <v>45</v>
      </c>
      <c r="F535">
        <v>30</v>
      </c>
      <c r="G535">
        <v>30</v>
      </c>
      <c r="H535">
        <v>40</v>
      </c>
      <c r="I535">
        <v>30</v>
      </c>
      <c r="J535">
        <v>30</v>
      </c>
      <c r="K535" t="str">
        <f t="shared" si="28"/>
        <v>ON</v>
      </c>
      <c r="L535" t="str">
        <f t="shared" si="26"/>
        <v>ON</v>
      </c>
      <c r="M535" t="str">
        <f t="shared" si="27"/>
        <v>ON</v>
      </c>
    </row>
    <row r="536" spans="1:13" x14ac:dyDescent="0.25">
      <c r="A536">
        <v>14</v>
      </c>
      <c r="D536" t="s">
        <v>1078</v>
      </c>
      <c r="E536">
        <v>90</v>
      </c>
      <c r="F536">
        <v>10</v>
      </c>
      <c r="G536">
        <v>10</v>
      </c>
      <c r="H536">
        <v>50</v>
      </c>
      <c r="I536">
        <v>30</v>
      </c>
      <c r="J536">
        <v>30</v>
      </c>
      <c r="K536" t="str">
        <f t="shared" si="28"/>
        <v>ON</v>
      </c>
      <c r="L536" t="str">
        <f t="shared" si="26"/>
        <v>ON</v>
      </c>
      <c r="M536" t="str">
        <f t="shared" si="27"/>
        <v>ON</v>
      </c>
    </row>
    <row r="537" spans="1:13" x14ac:dyDescent="0.25">
      <c r="A537">
        <v>15</v>
      </c>
      <c r="D537" t="s">
        <v>1080</v>
      </c>
      <c r="E537">
        <v>90</v>
      </c>
      <c r="F537">
        <v>10</v>
      </c>
      <c r="G537">
        <v>10</v>
      </c>
      <c r="H537">
        <v>50</v>
      </c>
      <c r="I537">
        <v>30</v>
      </c>
      <c r="J537">
        <v>30</v>
      </c>
      <c r="K537" t="str">
        <f t="shared" si="28"/>
        <v>ON</v>
      </c>
      <c r="L537" t="str">
        <f t="shared" si="26"/>
        <v>ON</v>
      </c>
      <c r="M537" t="str">
        <f t="shared" si="27"/>
        <v>ON</v>
      </c>
    </row>
    <row r="538" spans="1:13" x14ac:dyDescent="0.25">
      <c r="A538">
        <v>16</v>
      </c>
      <c r="D538" t="s">
        <v>1082</v>
      </c>
      <c r="E538">
        <v>90</v>
      </c>
      <c r="F538">
        <v>10</v>
      </c>
      <c r="G538">
        <v>10</v>
      </c>
      <c r="H538">
        <v>50</v>
      </c>
      <c r="I538">
        <v>30</v>
      </c>
      <c r="J538">
        <v>30</v>
      </c>
      <c r="K538" t="str">
        <f t="shared" si="28"/>
        <v>ON</v>
      </c>
      <c r="L538" t="str">
        <f t="shared" si="26"/>
        <v>ON</v>
      </c>
      <c r="M538" t="str">
        <f t="shared" si="27"/>
        <v>ON</v>
      </c>
    </row>
    <row r="539" spans="1:13" x14ac:dyDescent="0.25">
      <c r="A539">
        <v>17</v>
      </c>
      <c r="D539" t="s">
        <v>1083</v>
      </c>
      <c r="E539">
        <v>90</v>
      </c>
      <c r="F539">
        <v>10</v>
      </c>
      <c r="G539">
        <v>10</v>
      </c>
      <c r="H539">
        <v>50</v>
      </c>
      <c r="I539">
        <v>30</v>
      </c>
      <c r="J539">
        <v>30</v>
      </c>
      <c r="K539" t="str">
        <f t="shared" si="28"/>
        <v>ON</v>
      </c>
      <c r="L539" t="str">
        <f t="shared" si="26"/>
        <v>ON</v>
      </c>
      <c r="M539" t="str">
        <f t="shared" si="27"/>
        <v>ON</v>
      </c>
    </row>
    <row r="540" spans="1:13" x14ac:dyDescent="0.25">
      <c r="A540">
        <v>18</v>
      </c>
      <c r="D540" t="s">
        <v>1084</v>
      </c>
      <c r="E540">
        <v>90</v>
      </c>
      <c r="F540">
        <v>10</v>
      </c>
      <c r="G540">
        <v>10</v>
      </c>
      <c r="H540">
        <v>40</v>
      </c>
      <c r="I540">
        <v>20</v>
      </c>
      <c r="J540">
        <v>20</v>
      </c>
      <c r="K540" t="str">
        <f t="shared" si="28"/>
        <v>ON</v>
      </c>
      <c r="L540" t="str">
        <f t="shared" si="26"/>
        <v>ON</v>
      </c>
      <c r="M540" t="str">
        <f t="shared" si="27"/>
        <v>ON</v>
      </c>
    </row>
    <row r="541" spans="1:13" x14ac:dyDescent="0.25">
      <c r="A541">
        <v>19</v>
      </c>
      <c r="D541" t="s">
        <v>1085</v>
      </c>
      <c r="E541">
        <v>30</v>
      </c>
      <c r="F541">
        <v>0</v>
      </c>
      <c r="G541">
        <v>0</v>
      </c>
      <c r="H541">
        <v>30</v>
      </c>
      <c r="I541">
        <v>20</v>
      </c>
      <c r="J541">
        <v>20</v>
      </c>
      <c r="K541" t="str">
        <f t="shared" si="28"/>
        <v>ON</v>
      </c>
      <c r="L541" t="str">
        <f t="shared" si="26"/>
        <v>OFF</v>
      </c>
      <c r="M541" t="str">
        <f t="shared" si="27"/>
        <v>OFF</v>
      </c>
    </row>
    <row r="542" spans="1:13" x14ac:dyDescent="0.25">
      <c r="A542">
        <v>20</v>
      </c>
      <c r="D542" t="s">
        <v>1086</v>
      </c>
      <c r="E542">
        <v>10</v>
      </c>
      <c r="F542">
        <v>0</v>
      </c>
      <c r="G542">
        <v>0</v>
      </c>
      <c r="H542">
        <v>30</v>
      </c>
      <c r="I542">
        <v>20</v>
      </c>
      <c r="J542">
        <v>20</v>
      </c>
      <c r="K542" t="str">
        <f t="shared" si="28"/>
        <v>ON</v>
      </c>
      <c r="L542" t="str">
        <f t="shared" si="26"/>
        <v>OFF</v>
      </c>
      <c r="M542" t="str">
        <f t="shared" si="27"/>
        <v>OFF</v>
      </c>
    </row>
    <row r="543" spans="1:13" x14ac:dyDescent="0.25">
      <c r="A543">
        <v>21</v>
      </c>
      <c r="D543" t="s">
        <v>1087</v>
      </c>
      <c r="E543">
        <v>10</v>
      </c>
      <c r="F543">
        <v>0</v>
      </c>
      <c r="G543">
        <v>0</v>
      </c>
      <c r="H543">
        <v>20</v>
      </c>
      <c r="I543">
        <v>20</v>
      </c>
      <c r="J543">
        <v>20</v>
      </c>
      <c r="K543" t="str">
        <f t="shared" si="28"/>
        <v>ON</v>
      </c>
      <c r="L543" t="str">
        <f t="shared" si="26"/>
        <v>OFF</v>
      </c>
      <c r="M543" t="str">
        <f t="shared" si="27"/>
        <v>OFF</v>
      </c>
    </row>
    <row r="544" spans="1:13" x14ac:dyDescent="0.25">
      <c r="A544">
        <v>22</v>
      </c>
      <c r="D544" t="s">
        <v>1088</v>
      </c>
      <c r="E544">
        <v>10</v>
      </c>
      <c r="F544">
        <v>0</v>
      </c>
      <c r="G544">
        <v>0</v>
      </c>
      <c r="H544">
        <v>20</v>
      </c>
      <c r="I544">
        <v>20</v>
      </c>
      <c r="J544">
        <v>20</v>
      </c>
      <c r="K544" t="str">
        <f t="shared" si="28"/>
        <v>ON</v>
      </c>
      <c r="L544" t="str">
        <f t="shared" si="26"/>
        <v>OFF</v>
      </c>
      <c r="M544" t="str">
        <f t="shared" si="27"/>
        <v>OFF</v>
      </c>
    </row>
    <row r="545" spans="1:13" x14ac:dyDescent="0.25">
      <c r="A545">
        <v>23</v>
      </c>
      <c r="D545" t="s">
        <v>1089</v>
      </c>
      <c r="E545">
        <v>0</v>
      </c>
      <c r="F545">
        <v>0</v>
      </c>
      <c r="G545">
        <v>0</v>
      </c>
      <c r="H545">
        <v>20</v>
      </c>
      <c r="I545">
        <v>20</v>
      </c>
      <c r="J545">
        <v>20</v>
      </c>
      <c r="K545" t="str">
        <f t="shared" si="28"/>
        <v>OFF</v>
      </c>
      <c r="L545" t="str">
        <f t="shared" si="26"/>
        <v>OFF</v>
      </c>
      <c r="M545" t="str">
        <f t="shared" si="27"/>
        <v>OFF</v>
      </c>
    </row>
    <row r="546" spans="1:13" x14ac:dyDescent="0.25">
      <c r="A546">
        <v>24</v>
      </c>
      <c r="D546" t="s">
        <v>1090</v>
      </c>
      <c r="E546">
        <v>0</v>
      </c>
      <c r="F546">
        <v>0</v>
      </c>
      <c r="G546">
        <v>0</v>
      </c>
      <c r="H546">
        <v>20</v>
      </c>
      <c r="I546">
        <v>20</v>
      </c>
      <c r="J546">
        <v>20</v>
      </c>
      <c r="K546" t="str">
        <f t="shared" si="28"/>
        <v>OFF</v>
      </c>
      <c r="L546" t="str">
        <f t="shared" si="26"/>
        <v>OFF</v>
      </c>
      <c r="M546" t="str">
        <f t="shared" si="27"/>
        <v>OFF</v>
      </c>
    </row>
  </sheetData>
  <mergeCells count="10">
    <mergeCell ref="V36:X37"/>
    <mergeCell ref="V38:X38"/>
    <mergeCell ref="V39:X39"/>
    <mergeCell ref="V40:X40"/>
    <mergeCell ref="V2:X2"/>
    <mergeCell ref="V31:X31"/>
    <mergeCell ref="V32:X32"/>
    <mergeCell ref="V33:X33"/>
    <mergeCell ref="V34:X34"/>
    <mergeCell ref="V35:X35"/>
  </mergeCells>
  <dataValidations count="3">
    <dataValidation type="list" allowBlank="1" showInputMessage="1" showErrorMessage="1" sqref="X5" xr:uid="{15F7A626-1F5A-40F7-9ACF-D873ECFE381E}">
      <formula1>$AJ$1:$AJ$4</formula1>
    </dataValidation>
    <dataValidation type="list" allowBlank="1" showInputMessage="1" showErrorMessage="1" sqref="X4" xr:uid="{0BA7B7F1-8985-4A7A-A335-5FC83FF7E05B}">
      <formula1>$AF$1:$AF$6</formula1>
    </dataValidation>
    <dataValidation type="list" allowBlank="1" showInputMessage="1" showErrorMessage="1" sqref="X3" xr:uid="{409440C2-3E7C-4289-93D0-08EF15366FEF}">
      <formula1>$AE$1:$AE$50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CopyIESData">
                <anchor moveWithCells="1" sizeWithCells="1">
                  <from>
                    <xdr:col>22</xdr:col>
                    <xdr:colOff>19050</xdr:colOff>
                    <xdr:row>0</xdr:row>
                    <xdr:rowOff>0</xdr:rowOff>
                  </from>
                  <to>
                    <xdr:col>22</xdr:col>
                    <xdr:colOff>990600</xdr:colOff>
                    <xdr:row>1</xdr:row>
                    <xdr:rowOff>190500</xdr:rowOff>
                  </to>
                </anchor>
              </controlPr>
            </control>
          </mc:Choice>
        </mc:AlternateContent>
        <mc:AlternateContent xmlns:mc="http://schemas.openxmlformats.org/markup-compatibility/2006">
          <mc:Choice Requires="x14">
            <control shapeId="13314" r:id="rId5" name="Button 2">
              <controlPr defaultSize="0" print="0" autoFill="0" autoPict="0" macro="[0]!CopyTableHeader">
                <anchor moveWithCells="1" sizeWithCells="1">
                  <from>
                    <xdr:col>1</xdr:col>
                    <xdr:colOff>9525</xdr:colOff>
                    <xdr:row>0</xdr:row>
                    <xdr:rowOff>0</xdr:rowOff>
                  </from>
                  <to>
                    <xdr:col>2</xdr:col>
                    <xdr:colOff>990600</xdr:colOff>
                    <xdr:row>1</xdr:row>
                    <xdr:rowOff>190500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D8DBD-7182-4FF0-8DA2-DE001764A6F3}">
  <sheetPr codeName="Sheet11">
    <tabColor theme="9" tint="0.79998168889431442"/>
  </sheetPr>
  <dimension ref="A1:L28"/>
  <sheetViews>
    <sheetView topLeftCell="B1" workbookViewId="0">
      <selection activeCell="B33" sqref="B33"/>
    </sheetView>
  </sheetViews>
  <sheetFormatPr defaultRowHeight="15" x14ac:dyDescent="0.25"/>
  <cols>
    <col min="1" max="1" width="28.7109375" bestFit="1" customWidth="1"/>
    <col min="2" max="2" width="85.7109375" bestFit="1" customWidth="1"/>
    <col min="4" max="4" width="81.140625" bestFit="1" customWidth="1"/>
    <col min="5" max="5" width="53.85546875" bestFit="1" customWidth="1"/>
    <col min="6" max="6" width="30.5703125" bestFit="1" customWidth="1"/>
    <col min="7" max="7" width="16" bestFit="1" customWidth="1"/>
    <col min="8" max="8" width="25.28515625" bestFit="1" customWidth="1"/>
    <col min="9" max="9" width="53.85546875" bestFit="1" customWidth="1"/>
    <col min="10" max="11" width="14.7109375" bestFit="1" customWidth="1"/>
    <col min="12" max="12" width="23.140625" bestFit="1" customWidth="1"/>
  </cols>
  <sheetData>
    <row r="1" spans="1:12" ht="15.75" thickBot="1" x14ac:dyDescent="0.3"/>
    <row r="2" spans="1:12" x14ac:dyDescent="0.25">
      <c r="A2" s="4" t="s">
        <v>12</v>
      </c>
      <c r="B2" s="5"/>
      <c r="C2" s="5"/>
      <c r="D2" s="5"/>
      <c r="E2" s="5"/>
      <c r="F2" s="5"/>
      <c r="G2" s="5"/>
      <c r="H2" s="5"/>
      <c r="I2" s="5"/>
      <c r="J2" s="5"/>
      <c r="K2" s="5"/>
      <c r="L2" s="6"/>
    </row>
    <row r="3" spans="1:12" x14ac:dyDescent="0.25">
      <c r="A3" s="117" t="s">
        <v>1102</v>
      </c>
      <c r="B3" s="8"/>
      <c r="C3" s="8"/>
      <c r="D3" s="8"/>
      <c r="E3" s="8"/>
      <c r="F3" s="8"/>
      <c r="G3" s="8"/>
      <c r="H3" s="8"/>
      <c r="I3" s="8"/>
      <c r="J3" s="8"/>
      <c r="K3" s="8"/>
      <c r="L3" s="9"/>
    </row>
    <row r="4" spans="1:12" x14ac:dyDescent="0.25">
      <c r="A4" s="7" t="s">
        <v>1103</v>
      </c>
      <c r="B4" s="8"/>
      <c r="C4" s="8"/>
      <c r="D4" s="8"/>
      <c r="E4" s="8"/>
      <c r="F4" s="8"/>
      <c r="G4" s="8"/>
      <c r="H4" s="8"/>
      <c r="I4" s="8"/>
      <c r="J4" s="8"/>
      <c r="K4" s="8"/>
      <c r="L4" s="9"/>
    </row>
    <row r="5" spans="1:12" x14ac:dyDescent="0.25">
      <c r="A5" s="7" t="s">
        <v>1104</v>
      </c>
      <c r="B5" s="8"/>
      <c r="C5" s="8"/>
      <c r="D5" s="8"/>
      <c r="E5" s="8"/>
      <c r="F5" s="8"/>
      <c r="G5" s="8"/>
      <c r="H5" s="8"/>
      <c r="I5" s="8"/>
      <c r="J5" s="8"/>
      <c r="K5" s="8"/>
      <c r="L5" s="9"/>
    </row>
    <row r="6" spans="1:12" ht="15.75" thickBot="1" x14ac:dyDescent="0.3">
      <c r="A6" s="108"/>
      <c r="B6" s="11"/>
      <c r="C6" s="11"/>
      <c r="D6" s="11"/>
      <c r="E6" s="11"/>
      <c r="F6" s="11"/>
      <c r="G6" s="11"/>
      <c r="H6" s="11"/>
      <c r="I6" s="11"/>
      <c r="J6" s="11"/>
      <c r="K6" s="11"/>
      <c r="L6" s="12"/>
    </row>
    <row r="7" spans="1:12" ht="15.75" thickBot="1" x14ac:dyDescent="0.3"/>
    <row r="8" spans="1:12" ht="15.75" thickBot="1" x14ac:dyDescent="0.3">
      <c r="A8" s="782" t="s">
        <v>1105</v>
      </c>
      <c r="B8" s="783"/>
      <c r="D8" s="204" t="s">
        <v>1106</v>
      </c>
      <c r="E8" s="205" t="s">
        <v>1107</v>
      </c>
      <c r="F8" s="206" t="s">
        <v>1108</v>
      </c>
    </row>
    <row r="9" spans="1:12" x14ac:dyDescent="0.25">
      <c r="A9" s="207" t="s">
        <v>1109</v>
      </c>
      <c r="B9" s="208" t="s">
        <v>1110</v>
      </c>
      <c r="D9" s="209" t="s">
        <v>1111</v>
      </c>
      <c r="E9" s="138" t="s">
        <v>1112</v>
      </c>
      <c r="F9" s="210" t="s">
        <v>1113</v>
      </c>
    </row>
    <row r="10" spans="1:12" x14ac:dyDescent="0.25">
      <c r="A10" s="207" t="s">
        <v>1114</v>
      </c>
      <c r="B10" s="208" t="s">
        <v>1115</v>
      </c>
      <c r="C10" s="1"/>
      <c r="D10" s="211" t="s">
        <v>1116</v>
      </c>
      <c r="E10" s="212" t="s">
        <v>1117</v>
      </c>
      <c r="F10" s="213" t="s">
        <v>1118</v>
      </c>
    </row>
    <row r="11" spans="1:12" ht="15.75" thickBot="1" x14ac:dyDescent="0.3">
      <c r="A11" s="214" t="s">
        <v>1119</v>
      </c>
      <c r="B11" s="215" t="str" cm="1">
        <f t="array" ref="B11">IFERROR(INDEX($D$8:$F$13,MATCH($B$9,$D$8:$D$13,0),IF(OR(B10="Fossil Fuel",B10="Fossil Fuel/Electric Hybrid",B10="Purchased Heat"),2,3)),"")</f>
        <v>System 6—Packaged VAV</v>
      </c>
      <c r="C11" s="1"/>
      <c r="D11" s="211" t="s">
        <v>1110</v>
      </c>
      <c r="E11" s="212" t="s">
        <v>1120</v>
      </c>
      <c r="F11" s="213" t="s">
        <v>1121</v>
      </c>
    </row>
    <row r="12" spans="1:12" x14ac:dyDescent="0.25">
      <c r="D12" s="211" t="s">
        <v>1122</v>
      </c>
      <c r="E12" s="212" t="s">
        <v>1123</v>
      </c>
      <c r="F12" s="213" t="s">
        <v>1124</v>
      </c>
    </row>
    <row r="13" spans="1:12" ht="15.75" thickBot="1" x14ac:dyDescent="0.3">
      <c r="A13" t="s">
        <v>1125</v>
      </c>
      <c r="B13" s="480">
        <v>66572.600000000006</v>
      </c>
      <c r="D13" s="214" t="s">
        <v>1126</v>
      </c>
      <c r="E13" s="216" t="s">
        <v>1127</v>
      </c>
      <c r="F13" s="217" t="s">
        <v>1128</v>
      </c>
    </row>
    <row r="14" spans="1:12" ht="15.75" thickBot="1" x14ac:dyDescent="0.3"/>
    <row r="15" spans="1:12" ht="15.75" thickBot="1" x14ac:dyDescent="0.3">
      <c r="B15" s="19"/>
      <c r="C15" s="19"/>
      <c r="D15" s="761" t="s">
        <v>634</v>
      </c>
      <c r="E15" s="762"/>
      <c r="F15" s="762"/>
      <c r="G15" s="762"/>
      <c r="H15" s="763"/>
    </row>
    <row r="16" spans="1:12" ht="15.75" thickBot="1" x14ac:dyDescent="0.3">
      <c r="D16" s="218" t="s">
        <v>1129</v>
      </c>
      <c r="E16" s="219" t="s">
        <v>1130</v>
      </c>
      <c r="F16" s="219" t="s">
        <v>664</v>
      </c>
      <c r="G16" s="219" t="s">
        <v>943</v>
      </c>
      <c r="H16" s="220" t="s">
        <v>935</v>
      </c>
    </row>
    <row r="17" spans="4:8" ht="14.45" customHeight="1" x14ac:dyDescent="0.25">
      <c r="D17" s="221" t="s">
        <v>1131</v>
      </c>
      <c r="E17" s="222" t="s">
        <v>1132</v>
      </c>
      <c r="F17" s="222" t="s">
        <v>1133</v>
      </c>
      <c r="G17" s="222" t="s">
        <v>1134</v>
      </c>
      <c r="H17" s="223" t="s">
        <v>1135</v>
      </c>
    </row>
    <row r="18" spans="4:8" x14ac:dyDescent="0.25">
      <c r="D18" s="211" t="s">
        <v>1136</v>
      </c>
      <c r="E18" s="212" t="s">
        <v>1137</v>
      </c>
      <c r="F18" s="212" t="s">
        <v>1133</v>
      </c>
      <c r="G18" s="212" t="s">
        <v>1134</v>
      </c>
      <c r="H18" s="213" t="s">
        <v>1138</v>
      </c>
    </row>
    <row r="19" spans="4:8" x14ac:dyDescent="0.25">
      <c r="D19" s="211" t="s">
        <v>1139</v>
      </c>
      <c r="E19" s="212" t="s">
        <v>1140</v>
      </c>
      <c r="F19" s="212" t="s">
        <v>1133</v>
      </c>
      <c r="G19" s="212" t="s">
        <v>1134</v>
      </c>
      <c r="H19" s="213" t="s">
        <v>1141</v>
      </c>
    </row>
    <row r="20" spans="4:8" x14ac:dyDescent="0.25">
      <c r="D20" s="211" t="s">
        <v>1142</v>
      </c>
      <c r="E20" s="212" t="s">
        <v>1143</v>
      </c>
      <c r="F20" s="212" t="s">
        <v>1133</v>
      </c>
      <c r="G20" s="212" t="s">
        <v>1134</v>
      </c>
      <c r="H20" s="213" t="s">
        <v>1138</v>
      </c>
    </row>
    <row r="21" spans="4:8" x14ac:dyDescent="0.25">
      <c r="D21" s="211" t="s">
        <v>1144</v>
      </c>
      <c r="E21" s="212" t="s">
        <v>1145</v>
      </c>
      <c r="F21" s="212" t="s">
        <v>1146</v>
      </c>
      <c r="G21" s="212" t="s">
        <v>1134</v>
      </c>
      <c r="H21" s="213" t="s">
        <v>1135</v>
      </c>
    </row>
    <row r="22" spans="4:8" x14ac:dyDescent="0.25">
      <c r="D22" s="211" t="s">
        <v>1147</v>
      </c>
      <c r="E22" s="212" t="s">
        <v>1148</v>
      </c>
      <c r="F22" s="212" t="s">
        <v>1146</v>
      </c>
      <c r="G22" s="212" t="s">
        <v>1134</v>
      </c>
      <c r="H22" s="213" t="s">
        <v>1149</v>
      </c>
    </row>
    <row r="23" spans="4:8" x14ac:dyDescent="0.25">
      <c r="D23" s="211" t="s">
        <v>1150</v>
      </c>
      <c r="E23" s="212" t="s">
        <v>1145</v>
      </c>
      <c r="F23" s="212" t="s">
        <v>1146</v>
      </c>
      <c r="G23" s="212" t="s">
        <v>1151</v>
      </c>
      <c r="H23" s="213" t="s">
        <v>1135</v>
      </c>
    </row>
    <row r="24" spans="4:8" x14ac:dyDescent="0.25">
      <c r="D24" s="211" t="s">
        <v>1152</v>
      </c>
      <c r="E24" s="212" t="s">
        <v>1153</v>
      </c>
      <c r="F24" s="212" t="s">
        <v>1146</v>
      </c>
      <c r="G24" s="212" t="s">
        <v>1151</v>
      </c>
      <c r="H24" s="213" t="s">
        <v>1149</v>
      </c>
    </row>
    <row r="25" spans="4:8" x14ac:dyDescent="0.25">
      <c r="D25" s="211" t="s">
        <v>1154</v>
      </c>
      <c r="E25" s="212" t="s">
        <v>1155</v>
      </c>
      <c r="F25" s="212" t="s">
        <v>1133</v>
      </c>
      <c r="G25" s="212" t="s">
        <v>524</v>
      </c>
      <c r="H25" s="213" t="s">
        <v>1141</v>
      </c>
    </row>
    <row r="26" spans="4:8" ht="15.75" thickBot="1" x14ac:dyDescent="0.3">
      <c r="D26" s="214" t="s">
        <v>1156</v>
      </c>
      <c r="E26" s="216" t="s">
        <v>1157</v>
      </c>
      <c r="F26" s="216" t="s">
        <v>1133</v>
      </c>
      <c r="G26" s="216" t="s">
        <v>524</v>
      </c>
      <c r="H26" s="217" t="s">
        <v>1149</v>
      </c>
    </row>
    <row r="27" spans="4:8" x14ac:dyDescent="0.25">
      <c r="D27" s="25" t="s">
        <v>1158</v>
      </c>
      <c r="H27" s="26"/>
    </row>
    <row r="28" spans="4:8" ht="15.75" thickBot="1" x14ac:dyDescent="0.3">
      <c r="D28" s="38" t="s">
        <v>1159</v>
      </c>
      <c r="E28" s="39"/>
      <c r="F28" s="39"/>
      <c r="G28" s="39"/>
      <c r="H28" s="40"/>
    </row>
  </sheetData>
  <mergeCells count="2">
    <mergeCell ref="A8:B8"/>
    <mergeCell ref="D15:H15"/>
  </mergeCells>
  <dataValidations count="3">
    <dataValidation type="list" allowBlank="1" showInputMessage="1" showErrorMessage="1" sqref="C9" xr:uid="{9C61D88D-E959-4F54-9B41-D03F79AE7995}">
      <formula1>"Residential, Nonresidential"</formula1>
    </dataValidation>
    <dataValidation type="list" allowBlank="1" showInputMessage="1" showErrorMessage="1" sqref="B10" xr:uid="{5F94DB47-42A9-4ADB-A132-7D980636795A}">
      <formula1>"Fossil Fuel, Fossil Fuel/Electric Hybrid, Purchased Heat, 100% Electric, Other"</formula1>
    </dataValidation>
    <dataValidation type="list" allowBlank="1" showInputMessage="1" showErrorMessage="1" sqref="B9" xr:uid="{FF1F9767-28FB-4F0E-9545-471740078EAD}">
      <formula1>$D$9:$D$13</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0964E-AD7A-41D3-AFA3-73A2D7109490}">
  <sheetPr codeName="Sheet12">
    <tabColor theme="9" tint="0.79998168889431442"/>
  </sheetPr>
  <dimension ref="A1:AZ138"/>
  <sheetViews>
    <sheetView zoomScale="80" zoomScaleNormal="80" workbookViewId="0">
      <selection activeCell="E57" sqref="E57"/>
    </sheetView>
  </sheetViews>
  <sheetFormatPr defaultRowHeight="15" x14ac:dyDescent="0.25"/>
  <cols>
    <col min="1" max="1" width="93.28515625" bestFit="1" customWidth="1"/>
    <col min="2" max="2" width="38.42578125" bestFit="1" customWidth="1"/>
    <col min="3" max="8" width="17.85546875" style="19" customWidth="1"/>
    <col min="9" max="9" width="29" customWidth="1"/>
    <col min="10" max="10" width="14.42578125" customWidth="1"/>
    <col min="11" max="19" width="18.42578125" customWidth="1"/>
    <col min="20" max="24" width="16.5703125" customWidth="1"/>
    <col min="25" max="26" width="14.85546875" customWidth="1"/>
    <col min="27" max="29" width="17.7109375" customWidth="1"/>
    <col min="30" max="30" width="14.85546875" customWidth="1"/>
    <col min="31" max="32" width="13.5703125" customWidth="1"/>
    <col min="33" max="42" width="17.7109375" customWidth="1"/>
    <col min="43" max="43" width="24.28515625" customWidth="1"/>
    <col min="44" max="45" width="17.7109375" customWidth="1"/>
  </cols>
  <sheetData>
    <row r="1" spans="1:52" ht="15.75" thickBot="1" x14ac:dyDescent="0.3"/>
    <row r="2" spans="1:52" x14ac:dyDescent="0.25">
      <c r="A2" s="4" t="s">
        <v>12</v>
      </c>
      <c r="B2" s="5"/>
      <c r="C2" s="5"/>
      <c r="D2" s="5"/>
      <c r="E2" s="5"/>
      <c r="F2" s="5"/>
      <c r="G2" s="5"/>
      <c r="H2" s="5"/>
      <c r="I2" s="5"/>
      <c r="J2" s="5"/>
      <c r="K2" s="5"/>
      <c r="L2" s="6"/>
    </row>
    <row r="3" spans="1:52" x14ac:dyDescent="0.25">
      <c r="A3" s="117" t="s">
        <v>1160</v>
      </c>
      <c r="B3" s="8"/>
      <c r="C3" s="8"/>
      <c r="D3" s="8"/>
      <c r="E3" s="8"/>
      <c r="F3" s="8"/>
      <c r="G3" s="8"/>
      <c r="H3" s="8"/>
      <c r="I3" s="8"/>
      <c r="J3" s="8"/>
      <c r="K3" s="8"/>
      <c r="L3" s="9"/>
    </row>
    <row r="4" spans="1:52" x14ac:dyDescent="0.25">
      <c r="A4" s="117" t="s">
        <v>1161</v>
      </c>
      <c r="B4" s="8"/>
      <c r="C4" s="8"/>
      <c r="D4" s="8"/>
      <c r="E4" s="8"/>
      <c r="F4" s="8"/>
      <c r="G4" s="8"/>
      <c r="H4" s="8"/>
      <c r="I4" s="8"/>
      <c r="J4" s="8"/>
      <c r="K4" s="8"/>
      <c r="L4" s="9"/>
    </row>
    <row r="5" spans="1:52" x14ac:dyDescent="0.25">
      <c r="A5" s="7" t="s">
        <v>1162</v>
      </c>
      <c r="B5" s="8"/>
      <c r="C5" s="8"/>
      <c r="D5" s="8"/>
      <c r="E5" s="8"/>
      <c r="F5" s="8"/>
      <c r="G5" s="8"/>
      <c r="H5" s="8"/>
      <c r="I5" s="8"/>
      <c r="J5" s="8"/>
      <c r="K5" s="8"/>
      <c r="L5" s="9"/>
    </row>
    <row r="6" spans="1:52" x14ac:dyDescent="0.25">
      <c r="A6" s="7" t="s">
        <v>1104</v>
      </c>
      <c r="B6" s="8"/>
      <c r="C6" s="8"/>
      <c r="D6" s="8"/>
      <c r="E6" s="8"/>
      <c r="F6" s="8"/>
      <c r="G6" s="8"/>
      <c r="H6" s="8"/>
      <c r="I6" s="8"/>
      <c r="J6" s="8"/>
      <c r="K6" s="8"/>
      <c r="L6" s="9"/>
    </row>
    <row r="7" spans="1:52" ht="15.75" thickBot="1" x14ac:dyDescent="0.3">
      <c r="A7" s="108"/>
      <c r="B7" s="11"/>
      <c r="C7" s="11"/>
      <c r="D7" s="11"/>
      <c r="E7" s="11"/>
      <c r="F7" s="11"/>
      <c r="G7" s="11"/>
      <c r="H7" s="11"/>
      <c r="I7" s="11"/>
      <c r="J7" s="11"/>
      <c r="K7" s="11"/>
      <c r="L7" s="12"/>
    </row>
    <row r="8" spans="1:52" ht="15.75" thickBot="1" x14ac:dyDescent="0.3"/>
    <row r="9" spans="1:52" ht="15.75" thickBot="1" x14ac:dyDescent="0.3">
      <c r="A9" s="761" t="s">
        <v>1163</v>
      </c>
      <c r="B9" s="763"/>
      <c r="C9" s="761" t="s">
        <v>1164</v>
      </c>
      <c r="D9" s="762"/>
      <c r="E9" s="762"/>
      <c r="F9" s="762"/>
      <c r="G9" s="762"/>
      <c r="H9" s="762"/>
      <c r="I9" s="763"/>
      <c r="J9" s="797" t="s">
        <v>1165</v>
      </c>
      <c r="K9" s="798"/>
      <c r="L9" s="798"/>
      <c r="M9" s="798"/>
      <c r="N9" s="798"/>
      <c r="O9" s="798"/>
      <c r="P9" s="798"/>
      <c r="Q9" s="798"/>
      <c r="R9" s="798"/>
      <c r="S9" s="799"/>
      <c r="T9" s="224"/>
      <c r="U9" s="224"/>
      <c r="AE9" s="761" t="s">
        <v>646</v>
      </c>
      <c r="AF9" s="762"/>
      <c r="AG9" s="762"/>
      <c r="AH9" s="762"/>
      <c r="AI9" s="762"/>
      <c r="AJ9" s="763"/>
      <c r="AK9" s="761" t="s">
        <v>660</v>
      </c>
      <c r="AL9" s="762"/>
      <c r="AM9" s="762"/>
      <c r="AN9" s="762"/>
      <c r="AO9" s="762"/>
      <c r="AP9" s="763"/>
      <c r="AZ9" t="s">
        <v>1166</v>
      </c>
    </row>
    <row r="10" spans="1:52" ht="45" x14ac:dyDescent="0.25">
      <c r="A10" s="225" t="s">
        <v>922</v>
      </c>
      <c r="B10" s="225" t="s">
        <v>1130</v>
      </c>
      <c r="C10" s="169" t="s">
        <v>1167</v>
      </c>
      <c r="D10" s="169" t="s">
        <v>1168</v>
      </c>
      <c r="E10" s="169" t="s">
        <v>1169</v>
      </c>
      <c r="F10" s="169" t="s">
        <v>1170</v>
      </c>
      <c r="G10" s="169" t="s">
        <v>1171</v>
      </c>
      <c r="H10" s="169" t="s">
        <v>1172</v>
      </c>
      <c r="I10" s="169" t="s">
        <v>1173</v>
      </c>
      <c r="J10" s="170" t="s">
        <v>1174</v>
      </c>
      <c r="K10" s="169" t="s">
        <v>1175</v>
      </c>
      <c r="L10" s="169" t="s">
        <v>1176</v>
      </c>
      <c r="M10" s="169" t="s">
        <v>1177</v>
      </c>
      <c r="N10" s="169" t="s">
        <v>1178</v>
      </c>
      <c r="O10" s="169" t="s">
        <v>1179</v>
      </c>
      <c r="P10" s="170" t="s">
        <v>1180</v>
      </c>
      <c r="Q10" s="169" t="s">
        <v>1181</v>
      </c>
      <c r="R10" s="169" t="s">
        <v>1182</v>
      </c>
      <c r="S10" s="169" t="s">
        <v>1183</v>
      </c>
      <c r="T10" s="169" t="s">
        <v>1184</v>
      </c>
      <c r="U10" s="169" t="s">
        <v>1185</v>
      </c>
      <c r="V10" s="169" t="s">
        <v>1186</v>
      </c>
      <c r="W10" s="169" t="s">
        <v>1187</v>
      </c>
      <c r="X10" s="169" t="s">
        <v>1188</v>
      </c>
      <c r="Y10" s="170" t="s">
        <v>1189</v>
      </c>
      <c r="Z10" s="170" t="s">
        <v>1190</v>
      </c>
      <c r="AA10" s="169" t="s">
        <v>1191</v>
      </c>
      <c r="AB10" s="169" t="s">
        <v>1192</v>
      </c>
      <c r="AC10" s="169" t="s">
        <v>1193</v>
      </c>
      <c r="AD10" s="170" t="s">
        <v>1194</v>
      </c>
      <c r="AE10" s="170" t="s">
        <v>1195</v>
      </c>
      <c r="AF10" s="170" t="s">
        <v>1196</v>
      </c>
      <c r="AG10" s="169" t="s">
        <v>1197</v>
      </c>
      <c r="AH10" s="170" t="s">
        <v>1198</v>
      </c>
      <c r="AI10" s="170" t="s">
        <v>1199</v>
      </c>
      <c r="AJ10" s="170" t="s">
        <v>1200</v>
      </c>
      <c r="AK10" s="170" t="s">
        <v>1201</v>
      </c>
      <c r="AL10" s="170" t="s">
        <v>1202</v>
      </c>
      <c r="AM10" s="169" t="s">
        <v>1203</v>
      </c>
      <c r="AN10" s="170" t="s">
        <v>1204</v>
      </c>
      <c r="AO10" s="170" t="s">
        <v>1205</v>
      </c>
      <c r="AP10" s="169" t="s">
        <v>1206</v>
      </c>
      <c r="AQ10" s="170" t="s">
        <v>1207</v>
      </c>
      <c r="AR10" s="170" t="s">
        <v>1208</v>
      </c>
      <c r="AS10" s="170" t="s">
        <v>1209</v>
      </c>
    </row>
    <row r="11" spans="1:52" x14ac:dyDescent="0.25">
      <c r="A11" s="227" t="s">
        <v>6</v>
      </c>
      <c r="B11" s="227" t="s">
        <v>1123</v>
      </c>
      <c r="C11" s="226">
        <v>0.25</v>
      </c>
      <c r="D11" s="226">
        <v>0.83333333333333337</v>
      </c>
      <c r="E11" s="226">
        <v>0.25</v>
      </c>
      <c r="F11" s="226">
        <v>0.83333333333333337</v>
      </c>
      <c r="G11" s="226">
        <v>0.25</v>
      </c>
      <c r="H11" s="226">
        <v>0.83333333333333337</v>
      </c>
      <c r="I11" s="227" t="s">
        <v>852</v>
      </c>
      <c r="J11" s="172">
        <f>IF(LEEDHVACcheck[[#This Row],[System Name]]="","",0.15)</f>
        <v>0.15</v>
      </c>
      <c r="K11" s="227">
        <v>1200.366</v>
      </c>
      <c r="L11" s="227">
        <v>3.55</v>
      </c>
      <c r="M11" s="227"/>
      <c r="N11" s="227"/>
      <c r="O11" s="227"/>
      <c r="P11" s="172">
        <f>IF(LEEDHVACcheck[[#This Row],[System Name]]="","",0.25)</f>
        <v>0.25</v>
      </c>
      <c r="Q11" s="227"/>
      <c r="R11" s="227"/>
      <c r="S11" s="227"/>
      <c r="T11" s="228">
        <v>28818.2</v>
      </c>
      <c r="U11" s="228">
        <v>28818.23</v>
      </c>
      <c r="V11" s="227" t="s">
        <v>1210</v>
      </c>
      <c r="W11" s="228">
        <v>9880</v>
      </c>
      <c r="X11" s="227" t="s">
        <v>214</v>
      </c>
      <c r="Y11" s="19">
        <f>IF(LEEDHVACcheck[[#This Row],[System Name]]="","",5)</f>
        <v>5</v>
      </c>
      <c r="Z11" s="172">
        <f>IF(LEEDHVACcheck[[#This Row],[System Name]]="","",0.3)</f>
        <v>0.3</v>
      </c>
      <c r="AA11" s="19" t="s">
        <v>214</v>
      </c>
      <c r="AB11" s="19" t="s">
        <v>214</v>
      </c>
      <c r="AC11" s="19" t="s">
        <v>214</v>
      </c>
      <c r="AD11" s="19"/>
      <c r="AE11" s="178">
        <f>IFERROR(INDEX($A$77:$G$98,MATCH($AH11,$A$77:$A$98,1),6)/100,"")</f>
        <v>0.93</v>
      </c>
      <c r="AF11" s="153">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54.673318381385954</v>
      </c>
      <c r="AG11" s="95" t="s">
        <v>1146</v>
      </c>
      <c r="AH11" s="155">
        <f>IFERROR(IF(LEEDHVACcheck[[#This Row],[Supply Fan Control]]="VAV",LEEDHVACcheck[[#This Row],[System Supply Design Flow (CFM)]]*0.0015,IF(LEEDHVACcheck[[#This Row],[Supply Fan Control]]="CAV",LEEDHVACcheck[[#This Row],[System Supply Design Flow (CFM)]]*0.0011,"")),"")</f>
        <v>43.2273</v>
      </c>
      <c r="AI11" s="155">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68.158426400387313</v>
      </c>
      <c r="AJ11" s="95">
        <f>LEEDHVACcheck[[#This Row],[Sum of Pressure Drop Adjustment
(USE MEPC) '[in. w.c.']]]*LEEDHVACcheck[[#This Row],[System Supply Design Flow (CFM)]]/4131</f>
        <v>30.694766400387312</v>
      </c>
      <c r="AK11" s="178">
        <f t="shared" ref="AK11:AK43" si="0">IFERROR(INDEX($A$77:$G$98,MATCH($AN11,$A$77:$A$98,1),6)/100,"")</f>
        <v>0.89500000000000002</v>
      </c>
      <c r="AL11" s="153">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19.477151431403652</v>
      </c>
      <c r="AM11" s="95" t="s">
        <v>1146</v>
      </c>
      <c r="AN11" s="155">
        <f>IFERROR(IF(LEEDHVACcheck[[#This Row],[Exhaust Fan Control]]="VAV",LEEDHVACcheck[[#This Row],[System Exhaust Design Flow
'[CFM']]]*0.0015,IF(LEEDHVACcheck[[#This Row],[Exhaust Fan Control]]="CAV",LEEDHVACcheck[[#This Row],[System Exhaust Design Flow
'[CFM']]]*0.0011,"")),"")</f>
        <v>14.82</v>
      </c>
      <c r="AO11" s="155">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23.367359961268455</v>
      </c>
      <c r="AP11" s="95">
        <f>LEEDHVACcheck[[#This Row],[Sum of Pressure Drop Adjustment
(USE MEPC) '[in. w.c.']]]*LEEDHVACcheck[[#This Row],[System Exhaust Design Flow
'[CFM']]]/4131</f>
        <v>10.523359961268456</v>
      </c>
      <c r="AQ11" s="95">
        <f>2.15+0.5+0.5+0.9+0.35</f>
        <v>4.3999999999999995</v>
      </c>
      <c r="AR11" s="19"/>
      <c r="AS11" s="19"/>
    </row>
    <row r="12" spans="1:52" x14ac:dyDescent="0.25">
      <c r="A12" s="227"/>
      <c r="B12" s="227"/>
      <c r="C12" s="226"/>
      <c r="D12" s="226"/>
      <c r="E12" s="226"/>
      <c r="F12" s="226"/>
      <c r="G12" s="226"/>
      <c r="H12" s="226"/>
      <c r="I12" s="227"/>
      <c r="J12" s="172" t="str">
        <f>IF(LEEDHVACcheck[[#This Row],[System Name]]="","",0.15)</f>
        <v/>
      </c>
      <c r="K12" s="227">
        <v>1200.806</v>
      </c>
      <c r="L12" s="227">
        <v>3.55</v>
      </c>
      <c r="M12" s="227"/>
      <c r="N12" s="227"/>
      <c r="O12" s="227"/>
      <c r="P12" s="172" t="str">
        <f>IF(LEEDHVACcheck[[#This Row],[System Name]]="","",0.25)</f>
        <v/>
      </c>
      <c r="Q12" s="227"/>
      <c r="R12" s="227"/>
      <c r="S12" s="227"/>
      <c r="T12" s="228">
        <v>28809.75</v>
      </c>
      <c r="U12" s="228">
        <v>28809.75</v>
      </c>
      <c r="V12" s="227" t="s">
        <v>1210</v>
      </c>
      <c r="W12" s="228">
        <v>7185</v>
      </c>
      <c r="X12" s="227" t="s">
        <v>214</v>
      </c>
      <c r="Y12" s="19" t="str">
        <f>IF(LEEDHVACcheck[[#This Row],[System Name]]="","",5)</f>
        <v/>
      </c>
      <c r="Z12" s="172" t="str">
        <f>IF(LEEDHVACcheck[[#This Row],[System Name]]="","",0.3)</f>
        <v/>
      </c>
      <c r="AA12" s="19" t="s">
        <v>214</v>
      </c>
      <c r="AB12" s="19" t="s">
        <v>214</v>
      </c>
      <c r="AC12" s="19" t="s">
        <v>214</v>
      </c>
      <c r="AD12" s="178"/>
      <c r="AE12" s="178">
        <f t="shared" ref="AE12:AE43" si="1">IFERROR(INDEX($A$77:$G$98,MATCH($AH12,$A$77:$A$98,1),6)/100,"")</f>
        <v>0.93</v>
      </c>
      <c r="AF12"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2" s="95" t="s">
        <v>1146</v>
      </c>
      <c r="AH12" s="155">
        <f>IFERROR(IF(LEEDHVACcheck[[#This Row],[Supply Fan Control]]="VAV",LEEDHVACcheck[[#This Row],[System Supply Design Flow (CFM)]]*0.0015,IF(LEEDHVACcheck[[#This Row],[Supply Fan Control]]="CAV",LEEDHVACcheck[[#This Row],[System Supply Design Flow (CFM)]]*0.0011,"")),"")</f>
        <v>43.214624999999998</v>
      </c>
      <c r="AI12" s="155">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68.138441158315175</v>
      </c>
      <c r="AJ12" s="95">
        <f>LEEDHVACcheck[[#This Row],[Sum of Pressure Drop Adjustment
(USE MEPC) '[in. w.c.']]]*LEEDHVACcheck[[#This Row],[System Supply Design Flow (CFM)]]/4131</f>
        <v>30.685766158315172</v>
      </c>
      <c r="AK12" s="178">
        <f t="shared" si="0"/>
        <v>0.89500000000000002</v>
      </c>
      <c r="AL12" s="153"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2" s="95" t="s">
        <v>1146</v>
      </c>
      <c r="AN12" s="155">
        <f>IFERROR(IF(LEEDHVACcheck[[#This Row],[Exhaust Fan Control]]="VAV",LEEDHVACcheck[[#This Row],[System Exhaust Design Flow
'[CFM']]]*0.0015,IF(LEEDHVACcheck[[#This Row],[Exhaust Fan Control]]="CAV",LEEDHVACcheck[[#This Row],[System Exhaust Design Flow
'[CFM']]]*0.0011,"")),"")</f>
        <v>10.7775</v>
      </c>
      <c r="AO12" s="155">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16.993368554829338</v>
      </c>
      <c r="AP12" s="95">
        <f>LEEDHVACcheck[[#This Row],[Sum of Pressure Drop Adjustment
(USE MEPC) '[in. w.c.']]]*LEEDHVACcheck[[#This Row],[System Exhaust Design Flow
'[CFM']]]/4131</f>
        <v>7.6528685548293387</v>
      </c>
      <c r="AQ12" s="95">
        <f>2.15+0.5+0.5+0.9+0.35</f>
        <v>4.3999999999999995</v>
      </c>
      <c r="AR12" s="19"/>
      <c r="AS12" s="19"/>
    </row>
    <row r="13" spans="1:52" x14ac:dyDescent="0.25">
      <c r="A13" s="227"/>
      <c r="B13" s="227"/>
      <c r="C13" s="226"/>
      <c r="D13" s="226"/>
      <c r="E13" s="226"/>
      <c r="F13" s="226"/>
      <c r="G13" s="226"/>
      <c r="H13" s="226"/>
      <c r="I13" s="227"/>
      <c r="J13" s="172" t="str">
        <f>IF(LEEDHVACcheck[[#This Row],[System Name]]="","",0.15)</f>
        <v/>
      </c>
      <c r="K13" s="227">
        <v>1336.2809999999999</v>
      </c>
      <c r="L13" s="227">
        <v>3.55</v>
      </c>
      <c r="M13" s="227"/>
      <c r="N13" s="227"/>
      <c r="O13" s="227"/>
      <c r="P13" s="172" t="str">
        <f>IF(LEEDHVACcheck[[#This Row],[System Name]]="","",0.25)</f>
        <v/>
      </c>
      <c r="Q13" s="227"/>
      <c r="R13" s="227"/>
      <c r="S13" s="227"/>
      <c r="T13" s="228">
        <v>32046.51</v>
      </c>
      <c r="U13" s="228">
        <v>32046.51</v>
      </c>
      <c r="V13" s="227" t="s">
        <v>1210</v>
      </c>
      <c r="W13" s="228">
        <v>11225</v>
      </c>
      <c r="X13" s="227" t="s">
        <v>214</v>
      </c>
      <c r="Y13" s="19" t="str">
        <f>IF(LEEDHVACcheck[[#This Row],[System Name]]="","",5)</f>
        <v/>
      </c>
      <c r="Z13" s="172" t="str">
        <f>IF(LEEDHVACcheck[[#This Row],[System Name]]="","",0.3)</f>
        <v/>
      </c>
      <c r="AA13" s="19" t="s">
        <v>214</v>
      </c>
      <c r="AB13" s="19" t="s">
        <v>214</v>
      </c>
      <c r="AC13" s="19" t="s">
        <v>214</v>
      </c>
      <c r="AD13" s="178"/>
      <c r="AE13" s="178">
        <f t="shared" si="1"/>
        <v>0.93</v>
      </c>
      <c r="AF13"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3" s="95" t="s">
        <v>1146</v>
      </c>
      <c r="AH13" s="155">
        <f>IFERROR(IF(LEEDHVACcheck[[#This Row],[Supply Fan Control]]="VAV",LEEDHVACcheck[[#This Row],[System Supply Design Flow (CFM)]]*0.0015,IF(LEEDHVACcheck[[#This Row],[Supply Fan Control]]="CAV",LEEDHVACcheck[[#This Row],[System Supply Design Flow (CFM)]]*0.0011,"")),"")</f>
        <v>48.069764999999997</v>
      </c>
      <c r="AI13" s="155">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75.793758570079859</v>
      </c>
      <c r="AJ13" s="95">
        <f>LEEDHVACcheck[[#This Row],[Sum of Pressure Drop Adjustment
(USE MEPC) '[in. w.c.']]]*LEEDHVACcheck[[#This Row],[System Supply Design Flow (CFM)]]/4131</f>
        <v>34.133295570079873</v>
      </c>
      <c r="AK13" s="178">
        <f t="shared" si="0"/>
        <v>0.91</v>
      </c>
      <c r="AL13" s="153"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3" s="95" t="s">
        <v>1146</v>
      </c>
      <c r="AN13" s="155">
        <f>IFERROR(IF(LEEDHVACcheck[[#This Row],[Exhaust Fan Control]]="VAV",LEEDHVACcheck[[#This Row],[System Exhaust Design Flow
'[CFM']]]*0.0015,IF(LEEDHVACcheck[[#This Row],[Exhaust Fan Control]]="CAV",LEEDHVACcheck[[#This Row],[System Exhaust Design Flow
'[CFM']]]*0.0011,"")),"")</f>
        <v>16.837499999999999</v>
      </c>
      <c r="AO13" s="155">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26.548442870975549</v>
      </c>
      <c r="AP13" s="95">
        <f>LEEDHVACcheck[[#This Row],[Sum of Pressure Drop Adjustment
(USE MEPC) '[in. w.c.']]]*LEEDHVACcheck[[#This Row],[System Exhaust Design Flow
'[CFM']]]/4131</f>
        <v>11.95594287097555</v>
      </c>
      <c r="AQ13" s="95">
        <f>2.15+0.5+0.5+0.9+0.35</f>
        <v>4.3999999999999995</v>
      </c>
      <c r="AR13" s="19"/>
      <c r="AS13" s="19"/>
    </row>
    <row r="14" spans="1:52" x14ac:dyDescent="0.25">
      <c r="A14" s="227"/>
      <c r="B14" s="227"/>
      <c r="C14" s="226"/>
      <c r="D14" s="226"/>
      <c r="E14" s="226"/>
      <c r="F14" s="226"/>
      <c r="G14" s="226"/>
      <c r="H14" s="226"/>
      <c r="I14" s="227"/>
      <c r="J14" s="172" t="str">
        <f>IF(LEEDHVACcheck[[#This Row],[System Name]]="","",0.15)</f>
        <v/>
      </c>
      <c r="K14" s="227">
        <v>225.208</v>
      </c>
      <c r="L14" s="227">
        <v>3.55</v>
      </c>
      <c r="M14" s="227"/>
      <c r="N14" s="227"/>
      <c r="O14" s="227"/>
      <c r="P14" s="172" t="str">
        <f>IF(LEEDHVACcheck[[#This Row],[System Name]]="","",0.25)</f>
        <v/>
      </c>
      <c r="Q14" s="227"/>
      <c r="R14" s="227"/>
      <c r="S14" s="227"/>
      <c r="T14" s="228">
        <v>5825.06</v>
      </c>
      <c r="U14" s="228">
        <v>5825.06</v>
      </c>
      <c r="V14" s="227" t="s">
        <v>1210</v>
      </c>
      <c r="W14" s="228">
        <v>0</v>
      </c>
      <c r="X14" s="227" t="s">
        <v>214</v>
      </c>
      <c r="Y14" s="19" t="str">
        <f>IF(LEEDHVACcheck[[#This Row],[System Name]]="","",5)</f>
        <v/>
      </c>
      <c r="Z14" s="172" t="str">
        <f>IF(LEEDHVACcheck[[#This Row],[System Name]]="","",0.3)</f>
        <v/>
      </c>
      <c r="AA14" s="19" t="s">
        <v>214</v>
      </c>
      <c r="AB14" s="19" t="s">
        <v>214</v>
      </c>
      <c r="AC14" s="19" t="s">
        <v>214</v>
      </c>
      <c r="AD14" s="178"/>
      <c r="AE14" s="178">
        <f t="shared" si="1"/>
        <v>0.89500000000000002</v>
      </c>
      <c r="AF14"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4" s="95" t="s">
        <v>1146</v>
      </c>
      <c r="AH14" s="155">
        <f>IFERROR(IF(LEEDHVACcheck[[#This Row],[Supply Fan Control]]="VAV",LEEDHVACcheck[[#This Row],[System Supply Design Flow (CFM)]]*0.0015,IF(LEEDHVACcheck[[#This Row],[Supply Fan Control]]="CAV",LEEDHVACcheck[[#This Row],[System Supply Design Flow (CFM)]]*0.0011,"")),"")</f>
        <v>8.7375900000000009</v>
      </c>
      <c r="AI14" s="155">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10.251738977971435</v>
      </c>
      <c r="AJ14" s="95">
        <f>LEEDHVACcheck[[#This Row],[Sum of Pressure Drop Adjustment
(USE MEPC) '[in. w.c.']]]*LEEDHVACcheck[[#This Row],[System Supply Design Flow (CFM)]]/4131</f>
        <v>2.6791609779714354</v>
      </c>
      <c r="AK14" s="178" t="str">
        <f t="shared" si="0"/>
        <v/>
      </c>
      <c r="AL14" s="153"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4" s="95"/>
      <c r="AN14" s="155" t="str">
        <f>IFERROR(IF(LEEDHVACcheck[[#This Row],[Exhaust Fan Control]]="VAV",LEEDHVACcheck[[#This Row],[System Exhaust Design Flow
'[CFM']]]*0.0015,IF(LEEDHVACcheck[[#This Row],[Exhaust Fan Control]]="CAV",LEEDHVACcheck[[#This Row],[System Exhaust Design Flow
'[CFM']]]*0.0011,"")),"")</f>
        <v/>
      </c>
      <c r="AO14"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4" s="95">
        <f>LEEDHVACcheck[[#This Row],[Sum of Pressure Drop Adjustment
(USE MEPC) '[in. w.c.']]]*LEEDHVACcheck[[#This Row],[System Exhaust Design Flow
'[CFM']]]/4131</f>
        <v>0</v>
      </c>
      <c r="AQ14" s="95">
        <f>0.5+0.5+0.9</f>
        <v>1.9</v>
      </c>
      <c r="AR14" s="19"/>
      <c r="AS14" s="19"/>
    </row>
    <row r="15" spans="1:52" x14ac:dyDescent="0.25">
      <c r="A15" s="227"/>
      <c r="B15" s="227"/>
      <c r="C15" s="226"/>
      <c r="D15" s="226"/>
      <c r="E15" s="226"/>
      <c r="F15" s="226"/>
      <c r="G15" s="226"/>
      <c r="H15" s="226"/>
      <c r="I15" s="227"/>
      <c r="J15" s="172" t="str">
        <f>IF(LEEDHVACcheck[[#This Row],[System Name]]="","",0.15)</f>
        <v/>
      </c>
      <c r="K15" s="227"/>
      <c r="L15" s="227"/>
      <c r="M15" s="227"/>
      <c r="N15" s="227"/>
      <c r="O15" s="227"/>
      <c r="P15" s="172" t="str">
        <f>IF(LEEDHVACcheck[[#This Row],[System Name]]="","",0.25)</f>
        <v/>
      </c>
      <c r="Q15" s="227"/>
      <c r="R15" s="227"/>
      <c r="S15" s="227"/>
      <c r="T15" s="228"/>
      <c r="U15" s="228"/>
      <c r="V15" s="227"/>
      <c r="W15" s="228"/>
      <c r="X15" s="227"/>
      <c r="Y15" s="19" t="str">
        <f>IF(LEEDHVACcheck[[#This Row],[System Name]]="","",5)</f>
        <v/>
      </c>
      <c r="Z15" s="172" t="str">
        <f>IF(LEEDHVACcheck[[#This Row],[System Name]]="","",0.3)</f>
        <v/>
      </c>
      <c r="AA15" s="19"/>
      <c r="AB15" s="19"/>
      <c r="AC15" s="19"/>
      <c r="AD15" s="178"/>
      <c r="AE15" s="178" t="str">
        <f t="shared" si="1"/>
        <v/>
      </c>
      <c r="AF15"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5" s="95"/>
      <c r="AH15" s="155" t="str">
        <f>IFERROR(IF(LEEDHVACcheck[[#This Row],[Supply Fan Control]]="VAV",LEEDHVACcheck[[#This Row],[System Supply Design Flow (CFM)]]*0.0015,IF(LEEDHVACcheck[[#This Row],[Supply Fan Control]]="CAV",LEEDHVACcheck[[#This Row],[System Supply Design Flow (CFM)]]*0.0011,"")),"")</f>
        <v/>
      </c>
      <c r="AI15"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15" s="95">
        <f>LEEDHVACcheck[[#This Row],[Sum of Pressure Drop Adjustment
(USE MEPC) '[in. w.c.']]]*LEEDHVACcheck[[#This Row],[System Supply Design Flow (CFM)]]/4131</f>
        <v>0</v>
      </c>
      <c r="AK15" s="155" t="str">
        <f t="shared" si="0"/>
        <v/>
      </c>
      <c r="AL15"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5" s="95"/>
      <c r="AN15" s="155" t="str">
        <f>IFERROR(IF(LEEDHVACcheck[[#This Row],[Exhaust Fan Control]]="VAV",LEEDHVACcheck[[#This Row],[System Exhaust Design Flow
'[CFM']]]*0.0015,IF(LEEDHVACcheck[[#This Row],[Exhaust Fan Control]]="CAV",LEEDHVACcheck[[#This Row],[System Exhaust Design Flow
'[CFM']]]*0.0011,"")),"")</f>
        <v/>
      </c>
      <c r="AO15"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5" s="95">
        <f>LEEDHVACcheck[[#This Row],[Sum of Pressure Drop Adjustment
(USE MEPC) '[in. w.c.']]]*LEEDHVACcheck[[#This Row],[System Exhaust Design Flow
'[CFM']]]/4131</f>
        <v>0</v>
      </c>
      <c r="AQ15" s="95"/>
      <c r="AR15" s="19"/>
      <c r="AS15" s="19"/>
    </row>
    <row r="16" spans="1:52" x14ac:dyDescent="0.25">
      <c r="A16" s="227"/>
      <c r="B16" s="227"/>
      <c r="C16" s="226"/>
      <c r="D16" s="226"/>
      <c r="E16" s="226"/>
      <c r="F16" s="226"/>
      <c r="G16" s="226"/>
      <c r="H16" s="226"/>
      <c r="I16" s="227"/>
      <c r="J16" s="172" t="str">
        <f>IF(LEEDHVACcheck[[#This Row],[System Name]]="","",0.15)</f>
        <v/>
      </c>
      <c r="K16" s="227"/>
      <c r="L16" s="227"/>
      <c r="M16" s="227"/>
      <c r="N16" s="227"/>
      <c r="O16" s="227"/>
      <c r="P16" s="172" t="str">
        <f>IF(LEEDHVACcheck[[#This Row],[System Name]]="","",0.25)</f>
        <v/>
      </c>
      <c r="Q16" s="227"/>
      <c r="R16" s="227"/>
      <c r="S16" s="227"/>
      <c r="T16" s="228"/>
      <c r="U16" s="228"/>
      <c r="V16" s="227"/>
      <c r="W16" s="228"/>
      <c r="X16" s="227"/>
      <c r="Y16" s="19" t="str">
        <f>IF(LEEDHVACcheck[[#This Row],[System Name]]="","",5)</f>
        <v/>
      </c>
      <c r="Z16" s="172" t="str">
        <f>IF(LEEDHVACcheck[[#This Row],[System Name]]="","",0.3)</f>
        <v/>
      </c>
      <c r="AA16" s="19"/>
      <c r="AB16" s="19"/>
      <c r="AC16" s="19"/>
      <c r="AD16" s="178"/>
      <c r="AE16" s="178" t="str">
        <f t="shared" si="1"/>
        <v/>
      </c>
      <c r="AF16"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6" s="95"/>
      <c r="AH16" s="155" t="str">
        <f>IFERROR(IF(LEEDHVACcheck[[#This Row],[Supply Fan Control]]="VAV",LEEDHVACcheck[[#This Row],[System Supply Design Flow (CFM)]]*0.0015,IF(LEEDHVACcheck[[#This Row],[Supply Fan Control]]="CAV",LEEDHVACcheck[[#This Row],[System Supply Design Flow (CFM)]]*0.0011,"")),"")</f>
        <v/>
      </c>
      <c r="AI16"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16" s="95">
        <f>LEEDHVACcheck[[#This Row],[Sum of Pressure Drop Adjustment
(USE MEPC) '[in. w.c.']]]*LEEDHVACcheck[[#This Row],[System Supply Design Flow (CFM)]]/4131</f>
        <v>0</v>
      </c>
      <c r="AK16" s="155" t="str">
        <f t="shared" si="0"/>
        <v/>
      </c>
      <c r="AL16"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6" s="95"/>
      <c r="AN16" s="155" t="str">
        <f>IFERROR(IF(LEEDHVACcheck[[#This Row],[Exhaust Fan Control]]="VAV",LEEDHVACcheck[[#This Row],[System Exhaust Design Flow
'[CFM']]]*0.0015,IF(LEEDHVACcheck[[#This Row],[Exhaust Fan Control]]="CAV",LEEDHVACcheck[[#This Row],[System Exhaust Design Flow
'[CFM']]]*0.0011,"")),"")</f>
        <v/>
      </c>
      <c r="AO16"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6" s="95">
        <f>LEEDHVACcheck[[#This Row],[Sum of Pressure Drop Adjustment
(USE MEPC) '[in. w.c.']]]*LEEDHVACcheck[[#This Row],[System Exhaust Design Flow
'[CFM']]]/4131</f>
        <v>0</v>
      </c>
      <c r="AQ16" s="95"/>
      <c r="AR16" s="19"/>
      <c r="AS16" s="19"/>
    </row>
    <row r="17" spans="1:45" x14ac:dyDescent="0.25">
      <c r="A17" s="227"/>
      <c r="B17" s="227"/>
      <c r="C17" s="226"/>
      <c r="D17" s="226"/>
      <c r="E17" s="226"/>
      <c r="F17" s="226"/>
      <c r="G17" s="226"/>
      <c r="H17" s="226"/>
      <c r="I17" s="227"/>
      <c r="J17" s="172" t="str">
        <f>IF(LEEDHVACcheck[[#This Row],[System Name]]="","",0.15)</f>
        <v/>
      </c>
      <c r="K17" s="227"/>
      <c r="L17" s="227"/>
      <c r="M17" s="227"/>
      <c r="N17" s="227"/>
      <c r="O17" s="227"/>
      <c r="P17" s="172" t="str">
        <f>IF(LEEDHVACcheck[[#This Row],[System Name]]="","",0.25)</f>
        <v/>
      </c>
      <c r="Q17" s="227"/>
      <c r="R17" s="227"/>
      <c r="S17" s="227"/>
      <c r="T17" s="228"/>
      <c r="U17" s="228"/>
      <c r="V17" s="227"/>
      <c r="W17" s="228"/>
      <c r="X17" s="227"/>
      <c r="Y17" s="19" t="str">
        <f>IF(LEEDHVACcheck[[#This Row],[System Name]]="","",5)</f>
        <v/>
      </c>
      <c r="Z17" s="172" t="str">
        <f>IF(LEEDHVACcheck[[#This Row],[System Name]]="","",0.3)</f>
        <v/>
      </c>
      <c r="AA17" s="19"/>
      <c r="AB17" s="19"/>
      <c r="AC17" s="19"/>
      <c r="AD17" s="178"/>
      <c r="AE17" s="178" t="str">
        <f t="shared" si="1"/>
        <v/>
      </c>
      <c r="AF17"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7" s="95"/>
      <c r="AH17" s="155" t="str">
        <f>IFERROR(IF(LEEDHVACcheck[[#This Row],[Supply Fan Control]]="VAV",LEEDHVACcheck[[#This Row],[System Supply Design Flow (CFM)]]*0.0015,IF(LEEDHVACcheck[[#This Row],[Supply Fan Control]]="CAV",LEEDHVACcheck[[#This Row],[System Supply Design Flow (CFM)]]*0.0011,"")),"")</f>
        <v/>
      </c>
      <c r="AI17"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17" s="95">
        <f>LEEDHVACcheck[[#This Row],[Sum of Pressure Drop Adjustment
(USE MEPC) '[in. w.c.']]]*LEEDHVACcheck[[#This Row],[System Supply Design Flow (CFM)]]/4131</f>
        <v>0</v>
      </c>
      <c r="AK17" s="155" t="str">
        <f t="shared" si="0"/>
        <v/>
      </c>
      <c r="AL17"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7" s="95"/>
      <c r="AN17" s="155" t="str">
        <f>IFERROR(IF(LEEDHVACcheck[[#This Row],[Exhaust Fan Control]]="VAV",LEEDHVACcheck[[#This Row],[System Exhaust Design Flow
'[CFM']]]*0.0015,IF(LEEDHVACcheck[[#This Row],[Exhaust Fan Control]]="CAV",LEEDHVACcheck[[#This Row],[System Exhaust Design Flow
'[CFM']]]*0.0011,"")),"")</f>
        <v/>
      </c>
      <c r="AO17"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7" s="95">
        <f>LEEDHVACcheck[[#This Row],[Sum of Pressure Drop Adjustment
(USE MEPC) '[in. w.c.']]]*LEEDHVACcheck[[#This Row],[System Exhaust Design Flow
'[CFM']]]/4131</f>
        <v>0</v>
      </c>
      <c r="AQ17" s="95"/>
      <c r="AR17" s="19"/>
      <c r="AS17" s="19"/>
    </row>
    <row r="18" spans="1:45" x14ac:dyDescent="0.25">
      <c r="A18" s="227"/>
      <c r="B18" s="227"/>
      <c r="C18" s="226"/>
      <c r="D18" s="226"/>
      <c r="E18" s="226"/>
      <c r="F18" s="226"/>
      <c r="G18" s="226"/>
      <c r="H18" s="226"/>
      <c r="I18" s="227"/>
      <c r="J18" s="172" t="str">
        <f>IF(LEEDHVACcheck[[#This Row],[System Name]]="","",0.15)</f>
        <v/>
      </c>
      <c r="K18" s="227"/>
      <c r="L18" s="227"/>
      <c r="M18" s="227"/>
      <c r="N18" s="227"/>
      <c r="O18" s="227"/>
      <c r="P18" s="172" t="str">
        <f>IF(LEEDHVACcheck[[#This Row],[System Name]]="","",0.25)</f>
        <v/>
      </c>
      <c r="Q18" s="227"/>
      <c r="R18" s="227"/>
      <c r="S18" s="227"/>
      <c r="T18" s="228"/>
      <c r="U18" s="228"/>
      <c r="V18" s="227"/>
      <c r="W18" s="228"/>
      <c r="X18" s="227"/>
      <c r="Y18" s="19" t="str">
        <f>IF(LEEDHVACcheck[[#This Row],[System Name]]="","",5)</f>
        <v/>
      </c>
      <c r="Z18" s="172" t="str">
        <f>IF(LEEDHVACcheck[[#This Row],[System Name]]="","",0.3)</f>
        <v/>
      </c>
      <c r="AA18" s="19"/>
      <c r="AB18" s="19"/>
      <c r="AC18" s="19"/>
      <c r="AD18" s="178"/>
      <c r="AE18" s="178" t="str">
        <f t="shared" si="1"/>
        <v/>
      </c>
      <c r="AF18"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8" s="95"/>
      <c r="AH18" s="155" t="str">
        <f>IFERROR(IF(LEEDHVACcheck[[#This Row],[Supply Fan Control]]="VAV",LEEDHVACcheck[[#This Row],[System Supply Design Flow (CFM)]]*0.0015,IF(LEEDHVACcheck[[#This Row],[Supply Fan Control]]="CAV",LEEDHVACcheck[[#This Row],[System Supply Design Flow (CFM)]]*0.0011,"")),"")</f>
        <v/>
      </c>
      <c r="AI18"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18" s="95">
        <f>LEEDHVACcheck[[#This Row],[Sum of Pressure Drop Adjustment
(USE MEPC) '[in. w.c.']]]*LEEDHVACcheck[[#This Row],[System Supply Design Flow (CFM)]]/4131</f>
        <v>0</v>
      </c>
      <c r="AK18" s="155" t="str">
        <f t="shared" si="0"/>
        <v/>
      </c>
      <c r="AL18"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8" s="95"/>
      <c r="AN18" s="155" t="str">
        <f>IFERROR(IF(LEEDHVACcheck[[#This Row],[Exhaust Fan Control]]="VAV",LEEDHVACcheck[[#This Row],[System Exhaust Design Flow
'[CFM']]]*0.0015,IF(LEEDHVACcheck[[#This Row],[Exhaust Fan Control]]="CAV",LEEDHVACcheck[[#This Row],[System Exhaust Design Flow
'[CFM']]]*0.0011,"")),"")</f>
        <v/>
      </c>
      <c r="AO18"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8" s="95">
        <f>LEEDHVACcheck[[#This Row],[Sum of Pressure Drop Adjustment
(USE MEPC) '[in. w.c.']]]*LEEDHVACcheck[[#This Row],[System Exhaust Design Flow
'[CFM']]]/4131</f>
        <v>0</v>
      </c>
      <c r="AQ18" s="95"/>
      <c r="AR18" s="19"/>
      <c r="AS18" s="19"/>
    </row>
    <row r="19" spans="1:45" x14ac:dyDescent="0.25">
      <c r="A19" s="227"/>
      <c r="B19" s="227"/>
      <c r="C19" s="226"/>
      <c r="D19" s="226"/>
      <c r="E19" s="226"/>
      <c r="F19" s="226"/>
      <c r="G19" s="226"/>
      <c r="H19" s="226"/>
      <c r="I19" s="227"/>
      <c r="J19" s="172" t="str">
        <f>IF(LEEDHVACcheck[[#This Row],[System Name]]="","",0.15)</f>
        <v/>
      </c>
      <c r="K19" s="227"/>
      <c r="L19" s="227"/>
      <c r="M19" s="227"/>
      <c r="N19" s="227"/>
      <c r="O19" s="227"/>
      <c r="P19" s="172" t="str">
        <f>IF(LEEDHVACcheck[[#This Row],[System Name]]="","",0.25)</f>
        <v/>
      </c>
      <c r="Q19" s="227"/>
      <c r="R19" s="227"/>
      <c r="S19" s="227"/>
      <c r="T19" s="228"/>
      <c r="U19" s="228"/>
      <c r="V19" s="227"/>
      <c r="W19" s="228"/>
      <c r="X19" s="227"/>
      <c r="Y19" s="19" t="str">
        <f>IF(LEEDHVACcheck[[#This Row],[System Name]]="","",5)</f>
        <v/>
      </c>
      <c r="Z19" s="172" t="str">
        <f>IF(LEEDHVACcheck[[#This Row],[System Name]]="","",0.3)</f>
        <v/>
      </c>
      <c r="AA19" s="19"/>
      <c r="AB19" s="19"/>
      <c r="AC19" s="19"/>
      <c r="AD19" s="178"/>
      <c r="AE19" s="178" t="str">
        <f t="shared" si="1"/>
        <v/>
      </c>
      <c r="AF19"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9" s="95"/>
      <c r="AH19" s="155" t="str">
        <f>IFERROR(IF(LEEDHVACcheck[[#This Row],[Supply Fan Control]]="VAV",LEEDHVACcheck[[#This Row],[System Supply Design Flow (CFM)]]*0.0015,IF(LEEDHVACcheck[[#This Row],[Supply Fan Control]]="CAV",LEEDHVACcheck[[#This Row],[System Supply Design Flow (CFM)]]*0.0011,"")),"")</f>
        <v/>
      </c>
      <c r="AI19"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19" s="95">
        <f>LEEDHVACcheck[[#This Row],[Sum of Pressure Drop Adjustment
(USE MEPC) '[in. w.c.']]]*LEEDHVACcheck[[#This Row],[System Supply Design Flow (CFM)]]/4131</f>
        <v>0</v>
      </c>
      <c r="AK19" s="155" t="str">
        <f t="shared" si="0"/>
        <v/>
      </c>
      <c r="AL19"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9" s="95"/>
      <c r="AN19" s="155" t="str">
        <f>IFERROR(IF(LEEDHVACcheck[[#This Row],[Exhaust Fan Control]]="VAV",LEEDHVACcheck[[#This Row],[System Exhaust Design Flow
'[CFM']]]*0.0015,IF(LEEDHVACcheck[[#This Row],[Exhaust Fan Control]]="CAV",LEEDHVACcheck[[#This Row],[System Exhaust Design Flow
'[CFM']]]*0.0011,"")),"")</f>
        <v/>
      </c>
      <c r="AO19"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9" s="95">
        <f>LEEDHVACcheck[[#This Row],[Sum of Pressure Drop Adjustment
(USE MEPC) '[in. w.c.']]]*LEEDHVACcheck[[#This Row],[System Exhaust Design Flow
'[CFM']]]/4131</f>
        <v>0</v>
      </c>
      <c r="AQ19" s="95"/>
      <c r="AR19" s="19"/>
      <c r="AS19" s="19"/>
    </row>
    <row r="20" spans="1:45" x14ac:dyDescent="0.25">
      <c r="A20" s="227"/>
      <c r="B20" s="227"/>
      <c r="C20" s="226"/>
      <c r="D20" s="226"/>
      <c r="E20" s="226"/>
      <c r="F20" s="226"/>
      <c r="G20" s="226"/>
      <c r="H20" s="226"/>
      <c r="I20" s="227"/>
      <c r="J20" s="172" t="str">
        <f>IF(LEEDHVACcheck[[#This Row],[System Name]]="","",0.15)</f>
        <v/>
      </c>
      <c r="K20" s="227"/>
      <c r="L20" s="227"/>
      <c r="M20" s="227"/>
      <c r="N20" s="227"/>
      <c r="O20" s="227"/>
      <c r="P20" s="172" t="str">
        <f>IF(LEEDHVACcheck[[#This Row],[System Name]]="","",0.25)</f>
        <v/>
      </c>
      <c r="Q20" s="227"/>
      <c r="R20" s="227"/>
      <c r="S20" s="227"/>
      <c r="T20" s="228"/>
      <c r="U20" s="228"/>
      <c r="V20" s="227"/>
      <c r="W20" s="228"/>
      <c r="X20" s="227"/>
      <c r="Y20" s="19" t="str">
        <f>IF(LEEDHVACcheck[[#This Row],[System Name]]="","",5)</f>
        <v/>
      </c>
      <c r="Z20" s="172" t="str">
        <f>IF(LEEDHVACcheck[[#This Row],[System Name]]="","",0.3)</f>
        <v/>
      </c>
      <c r="AA20" s="19"/>
      <c r="AB20" s="19"/>
      <c r="AC20" s="19"/>
      <c r="AD20" s="178"/>
      <c r="AE20" s="178" t="str">
        <f t="shared" si="1"/>
        <v/>
      </c>
      <c r="AF20"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0" s="95"/>
      <c r="AH20" s="155" t="str">
        <f>IFERROR(IF(LEEDHVACcheck[[#This Row],[Supply Fan Control]]="VAV",LEEDHVACcheck[[#This Row],[System Supply Design Flow (CFM)]]*0.0015,IF(LEEDHVACcheck[[#This Row],[Supply Fan Control]]="CAV",LEEDHVACcheck[[#This Row],[System Supply Design Flow (CFM)]]*0.0011,"")),"")</f>
        <v/>
      </c>
      <c r="AI20"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0" s="95">
        <f>LEEDHVACcheck[[#This Row],[Sum of Pressure Drop Adjustment
(USE MEPC) '[in. w.c.']]]*LEEDHVACcheck[[#This Row],[System Supply Design Flow (CFM)]]/4131</f>
        <v>0</v>
      </c>
      <c r="AK20" s="155" t="str">
        <f t="shared" si="0"/>
        <v/>
      </c>
      <c r="AL20"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0" s="95"/>
      <c r="AN20" s="155" t="str">
        <f>IFERROR(IF(LEEDHVACcheck[[#This Row],[Exhaust Fan Control]]="VAV",LEEDHVACcheck[[#This Row],[System Exhaust Design Flow
'[CFM']]]*0.0015,IF(LEEDHVACcheck[[#This Row],[Exhaust Fan Control]]="CAV",LEEDHVACcheck[[#This Row],[System Exhaust Design Flow
'[CFM']]]*0.0011,"")),"")</f>
        <v/>
      </c>
      <c r="AO20"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0" s="95">
        <f>LEEDHVACcheck[[#This Row],[Sum of Pressure Drop Adjustment
(USE MEPC) '[in. w.c.']]]*LEEDHVACcheck[[#This Row],[System Exhaust Design Flow
'[CFM']]]/4131</f>
        <v>0</v>
      </c>
      <c r="AQ20" s="95"/>
      <c r="AR20" s="19"/>
      <c r="AS20" s="19"/>
    </row>
    <row r="21" spans="1:45" x14ac:dyDescent="0.25">
      <c r="A21" s="227"/>
      <c r="B21" s="227"/>
      <c r="C21" s="226"/>
      <c r="D21" s="226"/>
      <c r="E21" s="226"/>
      <c r="F21" s="226"/>
      <c r="G21" s="226"/>
      <c r="H21" s="226"/>
      <c r="I21" s="227"/>
      <c r="J21" s="172" t="str">
        <f>IF(LEEDHVACcheck[[#This Row],[System Name]]="","",0.15)</f>
        <v/>
      </c>
      <c r="K21" s="227"/>
      <c r="L21" s="227"/>
      <c r="M21" s="227"/>
      <c r="N21" s="227"/>
      <c r="O21" s="227"/>
      <c r="P21" s="172" t="str">
        <f>IF(LEEDHVACcheck[[#This Row],[System Name]]="","",0.25)</f>
        <v/>
      </c>
      <c r="Q21" s="227"/>
      <c r="R21" s="227"/>
      <c r="S21" s="227"/>
      <c r="T21" s="228"/>
      <c r="U21" s="228"/>
      <c r="V21" s="227"/>
      <c r="W21" s="228"/>
      <c r="X21" s="227"/>
      <c r="Y21" s="19" t="str">
        <f>IF(LEEDHVACcheck[[#This Row],[System Name]]="","",5)</f>
        <v/>
      </c>
      <c r="Z21" s="172" t="str">
        <f>IF(LEEDHVACcheck[[#This Row],[System Name]]="","",0.3)</f>
        <v/>
      </c>
      <c r="AA21" s="19"/>
      <c r="AB21" s="19"/>
      <c r="AC21" s="19"/>
      <c r="AD21" s="178"/>
      <c r="AE21" s="178" t="str">
        <f t="shared" si="1"/>
        <v/>
      </c>
      <c r="AF21"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1" s="95"/>
      <c r="AH21" s="155" t="str">
        <f>IFERROR(IF(LEEDHVACcheck[[#This Row],[Supply Fan Control]]="VAV",LEEDHVACcheck[[#This Row],[System Supply Design Flow (CFM)]]*0.0015,IF(LEEDHVACcheck[[#This Row],[Supply Fan Control]]="CAV",LEEDHVACcheck[[#This Row],[System Supply Design Flow (CFM)]]*0.0011,"")),"")</f>
        <v/>
      </c>
      <c r="AI21"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1" s="95">
        <f>LEEDHVACcheck[[#This Row],[Sum of Pressure Drop Adjustment
(USE MEPC) '[in. w.c.']]]*LEEDHVACcheck[[#This Row],[System Supply Design Flow (CFM)]]/4131</f>
        <v>0</v>
      </c>
      <c r="AK21" s="155" t="str">
        <f t="shared" si="0"/>
        <v/>
      </c>
      <c r="AL21"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1" s="95"/>
      <c r="AN21" s="155" t="str">
        <f>IFERROR(IF(LEEDHVACcheck[[#This Row],[Exhaust Fan Control]]="VAV",LEEDHVACcheck[[#This Row],[System Exhaust Design Flow
'[CFM']]]*0.0015,IF(LEEDHVACcheck[[#This Row],[Exhaust Fan Control]]="CAV",LEEDHVACcheck[[#This Row],[System Exhaust Design Flow
'[CFM']]]*0.0011,"")),"")</f>
        <v/>
      </c>
      <c r="AO21"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1" s="95">
        <f>LEEDHVACcheck[[#This Row],[Sum of Pressure Drop Adjustment
(USE MEPC) '[in. w.c.']]]*LEEDHVACcheck[[#This Row],[System Exhaust Design Flow
'[CFM']]]/4131</f>
        <v>0</v>
      </c>
      <c r="AQ21" s="95"/>
      <c r="AR21" s="19"/>
      <c r="AS21" s="19"/>
    </row>
    <row r="22" spans="1:45" x14ac:dyDescent="0.25">
      <c r="A22" s="227"/>
      <c r="B22" s="227"/>
      <c r="C22" s="226"/>
      <c r="D22" s="226"/>
      <c r="E22" s="226"/>
      <c r="F22" s="226"/>
      <c r="G22" s="226"/>
      <c r="H22" s="226"/>
      <c r="I22" s="227"/>
      <c r="J22" s="172" t="str">
        <f>IF(LEEDHVACcheck[[#This Row],[System Name]]="","",0.15)</f>
        <v/>
      </c>
      <c r="K22" s="227"/>
      <c r="L22" s="227"/>
      <c r="M22" s="227"/>
      <c r="N22" s="227"/>
      <c r="O22" s="227"/>
      <c r="P22" s="172" t="str">
        <f>IF(LEEDHVACcheck[[#This Row],[System Name]]="","",0.25)</f>
        <v/>
      </c>
      <c r="Q22" s="227"/>
      <c r="R22" s="227"/>
      <c r="S22" s="227"/>
      <c r="T22" s="228"/>
      <c r="U22" s="228"/>
      <c r="V22" s="227"/>
      <c r="W22" s="228"/>
      <c r="X22" s="227"/>
      <c r="Y22" s="19" t="str">
        <f>IF(LEEDHVACcheck[[#This Row],[System Name]]="","",5)</f>
        <v/>
      </c>
      <c r="Z22" s="172" t="str">
        <f>IF(LEEDHVACcheck[[#This Row],[System Name]]="","",0.3)</f>
        <v/>
      </c>
      <c r="AA22" s="19"/>
      <c r="AB22" s="19"/>
      <c r="AC22" s="19"/>
      <c r="AD22" s="178"/>
      <c r="AE22" s="178" t="str">
        <f t="shared" si="1"/>
        <v/>
      </c>
      <c r="AF22"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2" s="95"/>
      <c r="AH22" s="155" t="str">
        <f>IFERROR(IF(LEEDHVACcheck[[#This Row],[Supply Fan Control]]="VAV",LEEDHVACcheck[[#This Row],[System Supply Design Flow (CFM)]]*0.0015,IF(LEEDHVACcheck[[#This Row],[Supply Fan Control]]="CAV",LEEDHVACcheck[[#This Row],[System Supply Design Flow (CFM)]]*0.0011,"")),"")</f>
        <v/>
      </c>
      <c r="AI22"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2" s="95">
        <f>LEEDHVACcheck[[#This Row],[Sum of Pressure Drop Adjustment
(USE MEPC) '[in. w.c.']]]*LEEDHVACcheck[[#This Row],[System Supply Design Flow (CFM)]]/4131</f>
        <v>0</v>
      </c>
      <c r="AK22" s="155" t="str">
        <f t="shared" si="0"/>
        <v/>
      </c>
      <c r="AL22"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2" s="95"/>
      <c r="AN22" s="155" t="str">
        <f>IFERROR(IF(LEEDHVACcheck[[#This Row],[Exhaust Fan Control]]="VAV",LEEDHVACcheck[[#This Row],[System Exhaust Design Flow
'[CFM']]]*0.0015,IF(LEEDHVACcheck[[#This Row],[Exhaust Fan Control]]="CAV",LEEDHVACcheck[[#This Row],[System Exhaust Design Flow
'[CFM']]]*0.0011,"")),"")</f>
        <v/>
      </c>
      <c r="AO22"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2" s="95">
        <f>LEEDHVACcheck[[#This Row],[Sum of Pressure Drop Adjustment
(USE MEPC) '[in. w.c.']]]*LEEDHVACcheck[[#This Row],[System Exhaust Design Flow
'[CFM']]]/4131</f>
        <v>0</v>
      </c>
      <c r="AQ22" s="95"/>
      <c r="AR22" s="19"/>
      <c r="AS22" s="19"/>
    </row>
    <row r="23" spans="1:45" x14ac:dyDescent="0.25">
      <c r="A23" s="227"/>
      <c r="B23" s="227"/>
      <c r="C23" s="226"/>
      <c r="D23" s="226"/>
      <c r="E23" s="226"/>
      <c r="F23" s="226"/>
      <c r="G23" s="226"/>
      <c r="H23" s="226"/>
      <c r="I23" s="227"/>
      <c r="J23" s="172" t="str">
        <f>IF(LEEDHVACcheck[[#This Row],[System Name]]="","",0.15)</f>
        <v/>
      </c>
      <c r="K23" s="227"/>
      <c r="L23" s="227"/>
      <c r="M23" s="227"/>
      <c r="N23" s="227"/>
      <c r="O23" s="227"/>
      <c r="P23" s="172" t="str">
        <f>IF(LEEDHVACcheck[[#This Row],[System Name]]="","",0.25)</f>
        <v/>
      </c>
      <c r="Q23" s="227"/>
      <c r="R23" s="227"/>
      <c r="S23" s="227"/>
      <c r="T23" s="228"/>
      <c r="U23" s="228"/>
      <c r="V23" s="227"/>
      <c r="W23" s="228"/>
      <c r="X23" s="227"/>
      <c r="Y23" s="19" t="str">
        <f>IF(LEEDHVACcheck[[#This Row],[System Name]]="","",5)</f>
        <v/>
      </c>
      <c r="Z23" s="172" t="str">
        <f>IF(LEEDHVACcheck[[#This Row],[System Name]]="","",0.3)</f>
        <v/>
      </c>
      <c r="AA23" s="19"/>
      <c r="AB23" s="19"/>
      <c r="AC23" s="19"/>
      <c r="AD23" s="178"/>
      <c r="AE23" s="178" t="str">
        <f t="shared" si="1"/>
        <v/>
      </c>
      <c r="AF23"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3" s="95"/>
      <c r="AH23" s="155" t="str">
        <f>IFERROR(IF(LEEDHVACcheck[[#This Row],[Supply Fan Control]]="VAV",LEEDHVACcheck[[#This Row],[System Supply Design Flow (CFM)]]*0.0015,IF(LEEDHVACcheck[[#This Row],[Supply Fan Control]]="CAV",LEEDHVACcheck[[#This Row],[System Supply Design Flow (CFM)]]*0.0011,"")),"")</f>
        <v/>
      </c>
      <c r="AI23"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3" s="95">
        <f>LEEDHVACcheck[[#This Row],[Sum of Pressure Drop Adjustment
(USE MEPC) '[in. w.c.']]]*LEEDHVACcheck[[#This Row],[System Supply Design Flow (CFM)]]/4131</f>
        <v>0</v>
      </c>
      <c r="AK23" s="155" t="str">
        <f t="shared" si="0"/>
        <v/>
      </c>
      <c r="AL23"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3" s="95"/>
      <c r="AN23" s="155" t="str">
        <f>IFERROR(IF(LEEDHVACcheck[[#This Row],[Exhaust Fan Control]]="VAV",LEEDHVACcheck[[#This Row],[System Exhaust Design Flow
'[CFM']]]*0.0015,IF(LEEDHVACcheck[[#This Row],[Exhaust Fan Control]]="CAV",LEEDHVACcheck[[#This Row],[System Exhaust Design Flow
'[CFM']]]*0.0011,"")),"")</f>
        <v/>
      </c>
      <c r="AO23"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3" s="95">
        <f>LEEDHVACcheck[[#This Row],[Sum of Pressure Drop Adjustment
(USE MEPC) '[in. w.c.']]]*LEEDHVACcheck[[#This Row],[System Exhaust Design Flow
'[CFM']]]/4131</f>
        <v>0</v>
      </c>
      <c r="AQ23" s="95"/>
      <c r="AR23" s="19"/>
      <c r="AS23" s="19"/>
    </row>
    <row r="24" spans="1:45" x14ac:dyDescent="0.25">
      <c r="A24" s="227"/>
      <c r="B24" s="227"/>
      <c r="C24" s="226"/>
      <c r="D24" s="226"/>
      <c r="E24" s="226"/>
      <c r="F24" s="226"/>
      <c r="G24" s="226"/>
      <c r="H24" s="226"/>
      <c r="I24" s="227"/>
      <c r="J24" s="172" t="str">
        <f>IF(LEEDHVACcheck[[#This Row],[System Name]]="","",0.15)</f>
        <v/>
      </c>
      <c r="K24" s="227"/>
      <c r="L24" s="227"/>
      <c r="M24" s="227"/>
      <c r="N24" s="227"/>
      <c r="O24" s="227"/>
      <c r="P24" s="172" t="str">
        <f>IF(LEEDHVACcheck[[#This Row],[System Name]]="","",0.25)</f>
        <v/>
      </c>
      <c r="Q24" s="227"/>
      <c r="R24" s="227"/>
      <c r="S24" s="227"/>
      <c r="T24" s="228"/>
      <c r="U24" s="228"/>
      <c r="V24" s="227"/>
      <c r="W24" s="228"/>
      <c r="X24" s="227"/>
      <c r="Y24" s="19" t="str">
        <f>IF(LEEDHVACcheck[[#This Row],[System Name]]="","",5)</f>
        <v/>
      </c>
      <c r="Z24" s="172" t="str">
        <f>IF(LEEDHVACcheck[[#This Row],[System Name]]="","",0.3)</f>
        <v/>
      </c>
      <c r="AA24" s="19"/>
      <c r="AB24" s="19"/>
      <c r="AC24" s="19"/>
      <c r="AD24" s="178"/>
      <c r="AE24" s="178" t="str">
        <f t="shared" si="1"/>
        <v/>
      </c>
      <c r="AF24"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4" s="95"/>
      <c r="AH24" s="155" t="str">
        <f>IFERROR(IF(LEEDHVACcheck[[#This Row],[Supply Fan Control]]="VAV",LEEDHVACcheck[[#This Row],[System Supply Design Flow (CFM)]]*0.0015,IF(LEEDHVACcheck[[#This Row],[Supply Fan Control]]="CAV",LEEDHVACcheck[[#This Row],[System Supply Design Flow (CFM)]]*0.0011,"")),"")</f>
        <v/>
      </c>
      <c r="AI24"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4" s="95">
        <f>LEEDHVACcheck[[#This Row],[Sum of Pressure Drop Adjustment
(USE MEPC) '[in. w.c.']]]*LEEDHVACcheck[[#This Row],[System Supply Design Flow (CFM)]]/4131</f>
        <v>0</v>
      </c>
      <c r="AK24" s="155" t="str">
        <f t="shared" si="0"/>
        <v/>
      </c>
      <c r="AL24"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4" s="95"/>
      <c r="AN24" s="155" t="str">
        <f>IFERROR(IF(LEEDHVACcheck[[#This Row],[Exhaust Fan Control]]="VAV",LEEDHVACcheck[[#This Row],[System Exhaust Design Flow
'[CFM']]]*0.0015,IF(LEEDHVACcheck[[#This Row],[Exhaust Fan Control]]="CAV",LEEDHVACcheck[[#This Row],[System Exhaust Design Flow
'[CFM']]]*0.0011,"")),"")</f>
        <v/>
      </c>
      <c r="AO24"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4" s="95">
        <f>LEEDHVACcheck[[#This Row],[Sum of Pressure Drop Adjustment
(USE MEPC) '[in. w.c.']]]*LEEDHVACcheck[[#This Row],[System Exhaust Design Flow
'[CFM']]]/4131</f>
        <v>0</v>
      </c>
      <c r="AQ24" s="95"/>
      <c r="AR24" s="19"/>
      <c r="AS24" s="19"/>
    </row>
    <row r="25" spans="1:45" x14ac:dyDescent="0.25">
      <c r="A25" s="227"/>
      <c r="B25" s="227"/>
      <c r="C25" s="226"/>
      <c r="D25" s="226"/>
      <c r="E25" s="226"/>
      <c r="F25" s="226"/>
      <c r="G25" s="226"/>
      <c r="H25" s="226"/>
      <c r="I25" s="227"/>
      <c r="J25" s="172" t="str">
        <f>IF(LEEDHVACcheck[[#This Row],[System Name]]="","",0.15)</f>
        <v/>
      </c>
      <c r="K25" s="227"/>
      <c r="L25" s="227"/>
      <c r="M25" s="227"/>
      <c r="N25" s="227"/>
      <c r="O25" s="227"/>
      <c r="P25" s="172" t="str">
        <f>IF(LEEDHVACcheck[[#This Row],[System Name]]="","",0.25)</f>
        <v/>
      </c>
      <c r="Q25" s="227"/>
      <c r="R25" s="227"/>
      <c r="S25" s="227"/>
      <c r="T25" s="228"/>
      <c r="U25" s="228"/>
      <c r="V25" s="227"/>
      <c r="W25" s="228"/>
      <c r="X25" s="227"/>
      <c r="Y25" s="19" t="str">
        <f>IF(LEEDHVACcheck[[#This Row],[System Name]]="","",5)</f>
        <v/>
      </c>
      <c r="Z25" s="172" t="str">
        <f>IF(LEEDHVACcheck[[#This Row],[System Name]]="","",0.3)</f>
        <v/>
      </c>
      <c r="AA25" s="19"/>
      <c r="AB25" s="19"/>
      <c r="AC25" s="19"/>
      <c r="AD25" s="178"/>
      <c r="AE25" s="178" t="str">
        <f t="shared" si="1"/>
        <v/>
      </c>
      <c r="AF25"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5" s="95"/>
      <c r="AH25" s="155" t="str">
        <f>IFERROR(IF(LEEDHVACcheck[[#This Row],[Supply Fan Control]]="VAV",LEEDHVACcheck[[#This Row],[System Supply Design Flow (CFM)]]*0.0015,IF(LEEDHVACcheck[[#This Row],[Supply Fan Control]]="CAV",LEEDHVACcheck[[#This Row],[System Supply Design Flow (CFM)]]*0.0011,"")),"")</f>
        <v/>
      </c>
      <c r="AI25"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5" s="95">
        <f>LEEDHVACcheck[[#This Row],[Sum of Pressure Drop Adjustment
(USE MEPC) '[in. w.c.']]]*LEEDHVACcheck[[#This Row],[System Supply Design Flow (CFM)]]/4131</f>
        <v>0</v>
      </c>
      <c r="AK25" s="155" t="str">
        <f t="shared" si="0"/>
        <v/>
      </c>
      <c r="AL25"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5" s="95"/>
      <c r="AN25" s="155" t="str">
        <f>IFERROR(IF(LEEDHVACcheck[[#This Row],[Exhaust Fan Control]]="VAV",LEEDHVACcheck[[#This Row],[System Exhaust Design Flow
'[CFM']]]*0.0015,IF(LEEDHVACcheck[[#This Row],[Exhaust Fan Control]]="CAV",LEEDHVACcheck[[#This Row],[System Exhaust Design Flow
'[CFM']]]*0.0011,"")),"")</f>
        <v/>
      </c>
      <c r="AO25"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5" s="95">
        <f>LEEDHVACcheck[[#This Row],[Sum of Pressure Drop Adjustment
(USE MEPC) '[in. w.c.']]]*LEEDHVACcheck[[#This Row],[System Exhaust Design Flow
'[CFM']]]/4131</f>
        <v>0</v>
      </c>
      <c r="AQ25" s="95"/>
      <c r="AR25" s="19"/>
      <c r="AS25" s="19"/>
    </row>
    <row r="26" spans="1:45" x14ac:dyDescent="0.25">
      <c r="A26" s="227"/>
      <c r="B26" s="227"/>
      <c r="C26" s="226"/>
      <c r="D26" s="226"/>
      <c r="E26" s="226"/>
      <c r="F26" s="226"/>
      <c r="G26" s="226"/>
      <c r="H26" s="226"/>
      <c r="I26" s="227"/>
      <c r="J26" s="172" t="str">
        <f>IF(LEEDHVACcheck[[#This Row],[System Name]]="","",0.15)</f>
        <v/>
      </c>
      <c r="K26" s="227"/>
      <c r="L26" s="227"/>
      <c r="M26" s="227"/>
      <c r="N26" s="227"/>
      <c r="O26" s="227"/>
      <c r="P26" s="172" t="str">
        <f>IF(LEEDHVACcheck[[#This Row],[System Name]]="","",0.25)</f>
        <v/>
      </c>
      <c r="Q26" s="227"/>
      <c r="R26" s="227"/>
      <c r="S26" s="227"/>
      <c r="T26" s="228"/>
      <c r="U26" s="228"/>
      <c r="V26" s="227"/>
      <c r="W26" s="228"/>
      <c r="X26" s="227"/>
      <c r="Y26" s="19" t="str">
        <f>IF(LEEDHVACcheck[[#This Row],[System Name]]="","",5)</f>
        <v/>
      </c>
      <c r="Z26" s="172" t="str">
        <f>IF(LEEDHVACcheck[[#This Row],[System Name]]="","",0.3)</f>
        <v/>
      </c>
      <c r="AA26" s="19"/>
      <c r="AB26" s="19"/>
      <c r="AC26" s="19"/>
      <c r="AD26" s="178"/>
      <c r="AE26" s="178" t="str">
        <f t="shared" si="1"/>
        <v/>
      </c>
      <c r="AF26"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6" s="95"/>
      <c r="AH26" s="155" t="str">
        <f>IFERROR(IF(LEEDHVACcheck[[#This Row],[Supply Fan Control]]="VAV",LEEDHVACcheck[[#This Row],[System Supply Design Flow (CFM)]]*0.0015,IF(LEEDHVACcheck[[#This Row],[Supply Fan Control]]="CAV",LEEDHVACcheck[[#This Row],[System Supply Design Flow (CFM)]]*0.0011,"")),"")</f>
        <v/>
      </c>
      <c r="AI26"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6" s="95">
        <f>LEEDHVACcheck[[#This Row],[Sum of Pressure Drop Adjustment
(USE MEPC) '[in. w.c.']]]*LEEDHVACcheck[[#This Row],[System Supply Design Flow (CFM)]]/4131</f>
        <v>0</v>
      </c>
      <c r="AK26" s="155" t="str">
        <f t="shared" si="0"/>
        <v/>
      </c>
      <c r="AL26"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6" s="95"/>
      <c r="AN26" s="155" t="str">
        <f>IFERROR(IF(LEEDHVACcheck[[#This Row],[Exhaust Fan Control]]="VAV",LEEDHVACcheck[[#This Row],[System Exhaust Design Flow
'[CFM']]]*0.0015,IF(LEEDHVACcheck[[#This Row],[Exhaust Fan Control]]="CAV",LEEDHVACcheck[[#This Row],[System Exhaust Design Flow
'[CFM']]]*0.0011,"")),"")</f>
        <v/>
      </c>
      <c r="AO26"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6" s="95">
        <f>LEEDHVACcheck[[#This Row],[Sum of Pressure Drop Adjustment
(USE MEPC) '[in. w.c.']]]*LEEDHVACcheck[[#This Row],[System Exhaust Design Flow
'[CFM']]]/4131</f>
        <v>0</v>
      </c>
      <c r="AQ26" s="95"/>
      <c r="AR26" s="19"/>
      <c r="AS26" s="19"/>
    </row>
    <row r="27" spans="1:45" x14ac:dyDescent="0.25">
      <c r="A27" s="227"/>
      <c r="B27" s="227"/>
      <c r="C27" s="226"/>
      <c r="D27" s="226"/>
      <c r="E27" s="226"/>
      <c r="F27" s="226"/>
      <c r="G27" s="226"/>
      <c r="H27" s="226"/>
      <c r="I27" s="227"/>
      <c r="J27" s="172" t="str">
        <f>IF(LEEDHVACcheck[[#This Row],[System Name]]="","",0.15)</f>
        <v/>
      </c>
      <c r="K27" s="227"/>
      <c r="L27" s="227"/>
      <c r="M27" s="227"/>
      <c r="N27" s="227"/>
      <c r="O27" s="227"/>
      <c r="P27" s="172" t="str">
        <f>IF(LEEDHVACcheck[[#This Row],[System Name]]="","",0.25)</f>
        <v/>
      </c>
      <c r="Q27" s="227"/>
      <c r="R27" s="227"/>
      <c r="S27" s="227"/>
      <c r="T27" s="228"/>
      <c r="U27" s="228"/>
      <c r="V27" s="227"/>
      <c r="W27" s="228"/>
      <c r="X27" s="227"/>
      <c r="Y27" s="19" t="str">
        <f>IF(LEEDHVACcheck[[#This Row],[System Name]]="","",5)</f>
        <v/>
      </c>
      <c r="Z27" s="172" t="str">
        <f>IF(LEEDHVACcheck[[#This Row],[System Name]]="","",0.3)</f>
        <v/>
      </c>
      <c r="AA27" s="19"/>
      <c r="AB27" s="19"/>
      <c r="AC27" s="19"/>
      <c r="AD27" s="178"/>
      <c r="AE27" s="178" t="str">
        <f t="shared" si="1"/>
        <v/>
      </c>
      <c r="AF27"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7" s="95"/>
      <c r="AH27" s="155" t="str">
        <f>IFERROR(IF(LEEDHVACcheck[[#This Row],[Supply Fan Control]]="VAV",LEEDHVACcheck[[#This Row],[System Supply Design Flow (CFM)]]*0.0015,IF(LEEDHVACcheck[[#This Row],[Supply Fan Control]]="CAV",LEEDHVACcheck[[#This Row],[System Supply Design Flow (CFM)]]*0.0011,"")),"")</f>
        <v/>
      </c>
      <c r="AI27"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7" s="95">
        <f>LEEDHVACcheck[[#This Row],[Sum of Pressure Drop Adjustment
(USE MEPC) '[in. w.c.']]]*LEEDHVACcheck[[#This Row],[System Supply Design Flow (CFM)]]/4131</f>
        <v>0</v>
      </c>
      <c r="AK27" s="155" t="str">
        <f t="shared" si="0"/>
        <v/>
      </c>
      <c r="AL27"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7" s="95"/>
      <c r="AN27" s="155" t="str">
        <f>IFERROR(IF(LEEDHVACcheck[[#This Row],[Exhaust Fan Control]]="VAV",LEEDHVACcheck[[#This Row],[System Exhaust Design Flow
'[CFM']]]*0.0015,IF(LEEDHVACcheck[[#This Row],[Exhaust Fan Control]]="CAV",LEEDHVACcheck[[#This Row],[System Exhaust Design Flow
'[CFM']]]*0.0011,"")),"")</f>
        <v/>
      </c>
      <c r="AO27"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7" s="95">
        <f>LEEDHVACcheck[[#This Row],[Sum of Pressure Drop Adjustment
(USE MEPC) '[in. w.c.']]]*LEEDHVACcheck[[#This Row],[System Exhaust Design Flow
'[CFM']]]/4131</f>
        <v>0</v>
      </c>
      <c r="AQ27" s="95"/>
      <c r="AR27" s="19"/>
      <c r="AS27" s="19"/>
    </row>
    <row r="28" spans="1:45" x14ac:dyDescent="0.25">
      <c r="A28" s="227"/>
      <c r="B28" s="227"/>
      <c r="C28" s="226"/>
      <c r="D28" s="226"/>
      <c r="E28" s="226"/>
      <c r="F28" s="226"/>
      <c r="G28" s="226"/>
      <c r="H28" s="226"/>
      <c r="I28" s="227"/>
      <c r="J28" s="172" t="str">
        <f>IF(LEEDHVACcheck[[#This Row],[System Name]]="","",0.15)</f>
        <v/>
      </c>
      <c r="K28" s="227"/>
      <c r="L28" s="227"/>
      <c r="M28" s="227"/>
      <c r="N28" s="227"/>
      <c r="O28" s="227"/>
      <c r="P28" s="172" t="str">
        <f>IF(LEEDHVACcheck[[#This Row],[System Name]]="","",0.25)</f>
        <v/>
      </c>
      <c r="Q28" s="227"/>
      <c r="R28" s="227"/>
      <c r="S28" s="227"/>
      <c r="T28" s="228"/>
      <c r="U28" s="228"/>
      <c r="V28" s="227"/>
      <c r="W28" s="228"/>
      <c r="X28" s="227"/>
      <c r="Y28" s="19" t="str">
        <f>IF(LEEDHVACcheck[[#This Row],[System Name]]="","",5)</f>
        <v/>
      </c>
      <c r="Z28" s="172" t="str">
        <f>IF(LEEDHVACcheck[[#This Row],[System Name]]="","",0.3)</f>
        <v/>
      </c>
      <c r="AA28" s="19"/>
      <c r="AB28" s="19"/>
      <c r="AC28" s="19"/>
      <c r="AD28" s="178"/>
      <c r="AE28" s="178" t="str">
        <f t="shared" si="1"/>
        <v/>
      </c>
      <c r="AF28"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8" s="95"/>
      <c r="AH28" s="155" t="str">
        <f>IFERROR(IF(LEEDHVACcheck[[#This Row],[Supply Fan Control]]="VAV",LEEDHVACcheck[[#This Row],[System Supply Design Flow (CFM)]]*0.0015,IF(LEEDHVACcheck[[#This Row],[Supply Fan Control]]="CAV",LEEDHVACcheck[[#This Row],[System Supply Design Flow (CFM)]]*0.0011,"")),"")</f>
        <v/>
      </c>
      <c r="AI28"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8" s="95">
        <f>LEEDHVACcheck[[#This Row],[Sum of Pressure Drop Adjustment
(USE MEPC) '[in. w.c.']]]*LEEDHVACcheck[[#This Row],[System Supply Design Flow (CFM)]]/4131</f>
        <v>0</v>
      </c>
      <c r="AK28" s="155" t="str">
        <f t="shared" si="0"/>
        <v/>
      </c>
      <c r="AL28"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8" s="95"/>
      <c r="AN28" s="155" t="str">
        <f>IFERROR(IF(LEEDHVACcheck[[#This Row],[Exhaust Fan Control]]="VAV",LEEDHVACcheck[[#This Row],[System Exhaust Design Flow
'[CFM']]]*0.0015,IF(LEEDHVACcheck[[#This Row],[Exhaust Fan Control]]="CAV",LEEDHVACcheck[[#This Row],[System Exhaust Design Flow
'[CFM']]]*0.0011,"")),"")</f>
        <v/>
      </c>
      <c r="AO28"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8" s="95">
        <f>LEEDHVACcheck[[#This Row],[Sum of Pressure Drop Adjustment
(USE MEPC) '[in. w.c.']]]*LEEDHVACcheck[[#This Row],[System Exhaust Design Flow
'[CFM']]]/4131</f>
        <v>0</v>
      </c>
      <c r="AQ28" s="95"/>
      <c r="AR28" s="19"/>
      <c r="AS28" s="19"/>
    </row>
    <row r="29" spans="1:45" x14ac:dyDescent="0.25">
      <c r="A29" s="227"/>
      <c r="B29" s="227"/>
      <c r="C29" s="226"/>
      <c r="D29" s="226"/>
      <c r="E29" s="226"/>
      <c r="F29" s="226"/>
      <c r="G29" s="226"/>
      <c r="H29" s="226"/>
      <c r="I29" s="227"/>
      <c r="J29" s="172" t="str">
        <f>IF(LEEDHVACcheck[[#This Row],[System Name]]="","",0.15)</f>
        <v/>
      </c>
      <c r="K29" s="227"/>
      <c r="L29" s="227"/>
      <c r="M29" s="227"/>
      <c r="N29" s="227"/>
      <c r="O29" s="227"/>
      <c r="P29" s="172" t="str">
        <f>IF(LEEDHVACcheck[[#This Row],[System Name]]="","",0.25)</f>
        <v/>
      </c>
      <c r="Q29" s="227"/>
      <c r="R29" s="227"/>
      <c r="S29" s="227"/>
      <c r="T29" s="228"/>
      <c r="U29" s="228"/>
      <c r="V29" s="227"/>
      <c r="W29" s="228"/>
      <c r="X29" s="227"/>
      <c r="Y29" s="19" t="str">
        <f>IF(LEEDHVACcheck[[#This Row],[System Name]]="","",5)</f>
        <v/>
      </c>
      <c r="Z29" s="172" t="str">
        <f>IF(LEEDHVACcheck[[#This Row],[System Name]]="","",0.3)</f>
        <v/>
      </c>
      <c r="AA29" s="19"/>
      <c r="AB29" s="19"/>
      <c r="AC29" s="19"/>
      <c r="AD29" s="178"/>
      <c r="AE29" s="178" t="str">
        <f t="shared" si="1"/>
        <v/>
      </c>
      <c r="AF29"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9" s="95"/>
      <c r="AH29" s="155" t="str">
        <f>IFERROR(IF(LEEDHVACcheck[[#This Row],[Supply Fan Control]]="VAV",LEEDHVACcheck[[#This Row],[System Supply Design Flow (CFM)]]*0.0015,IF(LEEDHVACcheck[[#This Row],[Supply Fan Control]]="CAV",LEEDHVACcheck[[#This Row],[System Supply Design Flow (CFM)]]*0.0011,"")),"")</f>
        <v/>
      </c>
      <c r="AI29"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9" s="95">
        <f>LEEDHVACcheck[[#This Row],[Sum of Pressure Drop Adjustment
(USE MEPC) '[in. w.c.']]]*LEEDHVACcheck[[#This Row],[System Supply Design Flow (CFM)]]/4131</f>
        <v>0</v>
      </c>
      <c r="AK29" s="155" t="str">
        <f t="shared" si="0"/>
        <v/>
      </c>
      <c r="AL29"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9" s="95"/>
      <c r="AN29" s="155" t="str">
        <f>IFERROR(IF(LEEDHVACcheck[[#This Row],[Exhaust Fan Control]]="VAV",LEEDHVACcheck[[#This Row],[System Exhaust Design Flow
'[CFM']]]*0.0015,IF(LEEDHVACcheck[[#This Row],[Exhaust Fan Control]]="CAV",LEEDHVACcheck[[#This Row],[System Exhaust Design Flow
'[CFM']]]*0.0011,"")),"")</f>
        <v/>
      </c>
      <c r="AO29"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9" s="95">
        <f>LEEDHVACcheck[[#This Row],[Sum of Pressure Drop Adjustment
(USE MEPC) '[in. w.c.']]]*LEEDHVACcheck[[#This Row],[System Exhaust Design Flow
'[CFM']]]/4131</f>
        <v>0</v>
      </c>
      <c r="AQ29" s="95"/>
      <c r="AR29" s="19"/>
      <c r="AS29" s="19"/>
    </row>
    <row r="30" spans="1:45" x14ac:dyDescent="0.25">
      <c r="A30" s="227"/>
      <c r="B30" s="227"/>
      <c r="C30" s="226"/>
      <c r="D30" s="226"/>
      <c r="E30" s="226"/>
      <c r="F30" s="226"/>
      <c r="G30" s="226"/>
      <c r="H30" s="226"/>
      <c r="I30" s="227"/>
      <c r="J30" s="172" t="str">
        <f>IF(LEEDHVACcheck[[#This Row],[System Name]]="","",0.15)</f>
        <v/>
      </c>
      <c r="K30" s="227"/>
      <c r="L30" s="227"/>
      <c r="M30" s="227"/>
      <c r="N30" s="227"/>
      <c r="O30" s="227"/>
      <c r="P30" s="172" t="str">
        <f>IF(LEEDHVACcheck[[#This Row],[System Name]]="","",0.25)</f>
        <v/>
      </c>
      <c r="Q30" s="227"/>
      <c r="R30" s="227"/>
      <c r="S30" s="227"/>
      <c r="T30" s="228"/>
      <c r="U30" s="228"/>
      <c r="V30" s="227"/>
      <c r="W30" s="228"/>
      <c r="X30" s="227"/>
      <c r="Y30" s="19" t="str">
        <f>IF(LEEDHVACcheck[[#This Row],[System Name]]="","",5)</f>
        <v/>
      </c>
      <c r="Z30" s="172" t="str">
        <f>IF(LEEDHVACcheck[[#This Row],[System Name]]="","",0.3)</f>
        <v/>
      </c>
      <c r="AA30" s="19"/>
      <c r="AB30" s="19"/>
      <c r="AC30" s="19"/>
      <c r="AD30" s="178"/>
      <c r="AE30" s="178" t="str">
        <f t="shared" si="1"/>
        <v/>
      </c>
      <c r="AF30"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0" s="95"/>
      <c r="AH30" s="155" t="str">
        <f>IFERROR(IF(LEEDHVACcheck[[#This Row],[Supply Fan Control]]="VAV",LEEDHVACcheck[[#This Row],[System Supply Design Flow (CFM)]]*0.0015,IF(LEEDHVACcheck[[#This Row],[Supply Fan Control]]="CAV",LEEDHVACcheck[[#This Row],[System Supply Design Flow (CFM)]]*0.0011,"")),"")</f>
        <v/>
      </c>
      <c r="AI30"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0" s="95">
        <f>LEEDHVACcheck[[#This Row],[Sum of Pressure Drop Adjustment
(USE MEPC) '[in. w.c.']]]*LEEDHVACcheck[[#This Row],[System Supply Design Flow (CFM)]]/4131</f>
        <v>0</v>
      </c>
      <c r="AK30" s="155" t="str">
        <f t="shared" si="0"/>
        <v/>
      </c>
      <c r="AL30"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0" s="95"/>
      <c r="AN30" s="155" t="str">
        <f>IFERROR(IF(LEEDHVACcheck[[#This Row],[Exhaust Fan Control]]="VAV",LEEDHVACcheck[[#This Row],[System Exhaust Design Flow
'[CFM']]]*0.0015,IF(LEEDHVACcheck[[#This Row],[Exhaust Fan Control]]="CAV",LEEDHVACcheck[[#This Row],[System Exhaust Design Flow
'[CFM']]]*0.0011,"")),"")</f>
        <v/>
      </c>
      <c r="AO30"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0" s="95">
        <f>LEEDHVACcheck[[#This Row],[Sum of Pressure Drop Adjustment
(USE MEPC) '[in. w.c.']]]*LEEDHVACcheck[[#This Row],[System Exhaust Design Flow
'[CFM']]]/4131</f>
        <v>0</v>
      </c>
      <c r="AQ30" s="95"/>
      <c r="AR30" s="19"/>
      <c r="AS30" s="19"/>
    </row>
    <row r="31" spans="1:45" x14ac:dyDescent="0.25">
      <c r="A31" s="227"/>
      <c r="B31" s="227"/>
      <c r="C31" s="226"/>
      <c r="D31" s="226"/>
      <c r="E31" s="226"/>
      <c r="F31" s="226"/>
      <c r="G31" s="226"/>
      <c r="H31" s="226"/>
      <c r="I31" s="227"/>
      <c r="J31" s="172" t="str">
        <f>IF(LEEDHVACcheck[[#This Row],[System Name]]="","",0.15)</f>
        <v/>
      </c>
      <c r="K31" s="227"/>
      <c r="L31" s="227"/>
      <c r="M31" s="227"/>
      <c r="N31" s="227"/>
      <c r="O31" s="227"/>
      <c r="P31" s="172" t="str">
        <f>IF(LEEDHVACcheck[[#This Row],[System Name]]="","",0.25)</f>
        <v/>
      </c>
      <c r="Q31" s="227"/>
      <c r="R31" s="227"/>
      <c r="S31" s="227"/>
      <c r="T31" s="228"/>
      <c r="U31" s="228"/>
      <c r="V31" s="227"/>
      <c r="W31" s="228"/>
      <c r="X31" s="227"/>
      <c r="Y31" s="19" t="str">
        <f>IF(LEEDHVACcheck[[#This Row],[System Name]]="","",5)</f>
        <v/>
      </c>
      <c r="Z31" s="172" t="str">
        <f>IF(LEEDHVACcheck[[#This Row],[System Name]]="","",0.3)</f>
        <v/>
      </c>
      <c r="AA31" s="19"/>
      <c r="AB31" s="19"/>
      <c r="AC31" s="19"/>
      <c r="AD31" s="178"/>
      <c r="AE31" s="178" t="str">
        <f t="shared" si="1"/>
        <v/>
      </c>
      <c r="AF31"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1" s="95"/>
      <c r="AH31" s="155" t="str">
        <f>IFERROR(IF(LEEDHVACcheck[[#This Row],[Supply Fan Control]]="VAV",LEEDHVACcheck[[#This Row],[System Supply Design Flow (CFM)]]*0.0015,IF(LEEDHVACcheck[[#This Row],[Supply Fan Control]]="CAV",LEEDHVACcheck[[#This Row],[System Supply Design Flow (CFM)]]*0.0011,"")),"")</f>
        <v/>
      </c>
      <c r="AI31"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1" s="95">
        <f>LEEDHVACcheck[[#This Row],[Sum of Pressure Drop Adjustment
(USE MEPC) '[in. w.c.']]]*LEEDHVACcheck[[#This Row],[System Supply Design Flow (CFM)]]/4131</f>
        <v>0</v>
      </c>
      <c r="AK31" s="155" t="str">
        <f t="shared" si="0"/>
        <v/>
      </c>
      <c r="AL31"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1" s="95"/>
      <c r="AN31" s="155" t="str">
        <f>IFERROR(IF(LEEDHVACcheck[[#This Row],[Exhaust Fan Control]]="VAV",LEEDHVACcheck[[#This Row],[System Exhaust Design Flow
'[CFM']]]*0.0015,IF(LEEDHVACcheck[[#This Row],[Exhaust Fan Control]]="CAV",LEEDHVACcheck[[#This Row],[System Exhaust Design Flow
'[CFM']]]*0.0011,"")),"")</f>
        <v/>
      </c>
      <c r="AO31"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1" s="95">
        <f>LEEDHVACcheck[[#This Row],[Sum of Pressure Drop Adjustment
(USE MEPC) '[in. w.c.']]]*LEEDHVACcheck[[#This Row],[System Exhaust Design Flow
'[CFM']]]/4131</f>
        <v>0</v>
      </c>
      <c r="AQ31" s="95"/>
      <c r="AR31" s="19"/>
      <c r="AS31" s="19"/>
    </row>
    <row r="32" spans="1:45" x14ac:dyDescent="0.25">
      <c r="A32" s="227"/>
      <c r="B32" s="227"/>
      <c r="C32" s="226"/>
      <c r="D32" s="226"/>
      <c r="E32" s="226"/>
      <c r="F32" s="226"/>
      <c r="G32" s="226"/>
      <c r="H32" s="226"/>
      <c r="I32" s="227"/>
      <c r="J32" s="172" t="str">
        <f>IF(LEEDHVACcheck[[#This Row],[System Name]]="","",0.15)</f>
        <v/>
      </c>
      <c r="K32" s="227"/>
      <c r="L32" s="227"/>
      <c r="M32" s="227"/>
      <c r="N32" s="227"/>
      <c r="O32" s="227"/>
      <c r="P32" s="172" t="str">
        <f>IF(LEEDHVACcheck[[#This Row],[System Name]]="","",0.25)</f>
        <v/>
      </c>
      <c r="Q32" s="227"/>
      <c r="R32" s="227"/>
      <c r="S32" s="227"/>
      <c r="T32" s="228"/>
      <c r="U32" s="228"/>
      <c r="V32" s="227"/>
      <c r="W32" s="228"/>
      <c r="X32" s="227"/>
      <c r="Y32" s="19" t="str">
        <f>IF(LEEDHVACcheck[[#This Row],[System Name]]="","",5)</f>
        <v/>
      </c>
      <c r="Z32" s="172" t="str">
        <f>IF(LEEDHVACcheck[[#This Row],[System Name]]="","",0.3)</f>
        <v/>
      </c>
      <c r="AA32" s="19"/>
      <c r="AB32" s="19"/>
      <c r="AC32" s="19"/>
      <c r="AD32" s="178"/>
      <c r="AE32" s="178" t="str">
        <f t="shared" si="1"/>
        <v/>
      </c>
      <c r="AF32"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2" s="95"/>
      <c r="AH32" s="155" t="str">
        <f>IFERROR(IF(LEEDHVACcheck[[#This Row],[Supply Fan Control]]="VAV",LEEDHVACcheck[[#This Row],[System Supply Design Flow (CFM)]]*0.0015,IF(LEEDHVACcheck[[#This Row],[Supply Fan Control]]="CAV",LEEDHVACcheck[[#This Row],[System Supply Design Flow (CFM)]]*0.0011,"")),"")</f>
        <v/>
      </c>
      <c r="AI32"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2" s="95">
        <f>LEEDHVACcheck[[#This Row],[Sum of Pressure Drop Adjustment
(USE MEPC) '[in. w.c.']]]*LEEDHVACcheck[[#This Row],[System Supply Design Flow (CFM)]]/4131</f>
        <v>0</v>
      </c>
      <c r="AK32" s="155" t="str">
        <f t="shared" si="0"/>
        <v/>
      </c>
      <c r="AL32"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2" s="95"/>
      <c r="AN32" s="155" t="str">
        <f>IFERROR(IF(LEEDHVACcheck[[#This Row],[Exhaust Fan Control]]="VAV",LEEDHVACcheck[[#This Row],[System Exhaust Design Flow
'[CFM']]]*0.0015,IF(LEEDHVACcheck[[#This Row],[Exhaust Fan Control]]="CAV",LEEDHVACcheck[[#This Row],[System Exhaust Design Flow
'[CFM']]]*0.0011,"")),"")</f>
        <v/>
      </c>
      <c r="AO32"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2" s="95">
        <f>LEEDHVACcheck[[#This Row],[Sum of Pressure Drop Adjustment
(USE MEPC) '[in. w.c.']]]*LEEDHVACcheck[[#This Row],[System Exhaust Design Flow
'[CFM']]]/4131</f>
        <v>0</v>
      </c>
      <c r="AQ32" s="95"/>
      <c r="AR32" s="19"/>
      <c r="AS32" s="19"/>
    </row>
    <row r="33" spans="1:45" x14ac:dyDescent="0.25">
      <c r="A33" s="227"/>
      <c r="B33" s="227"/>
      <c r="C33" s="226"/>
      <c r="D33" s="226"/>
      <c r="E33" s="226"/>
      <c r="F33" s="226"/>
      <c r="G33" s="226"/>
      <c r="H33" s="226"/>
      <c r="I33" s="227"/>
      <c r="J33" s="172" t="str">
        <f>IF(LEEDHVACcheck[[#This Row],[System Name]]="","",0.15)</f>
        <v/>
      </c>
      <c r="K33" s="227"/>
      <c r="L33" s="227"/>
      <c r="M33" s="227"/>
      <c r="N33" s="227"/>
      <c r="O33" s="227"/>
      <c r="P33" s="172" t="str">
        <f>IF(LEEDHVACcheck[[#This Row],[System Name]]="","",0.25)</f>
        <v/>
      </c>
      <c r="Q33" s="227"/>
      <c r="R33" s="227"/>
      <c r="S33" s="227"/>
      <c r="T33" s="228"/>
      <c r="U33" s="228"/>
      <c r="V33" s="227"/>
      <c r="W33" s="228"/>
      <c r="X33" s="227"/>
      <c r="Y33" s="19" t="str">
        <f>IF(LEEDHVACcheck[[#This Row],[System Name]]="","",5)</f>
        <v/>
      </c>
      <c r="Z33" s="172" t="str">
        <f>IF(LEEDHVACcheck[[#This Row],[System Name]]="","",0.3)</f>
        <v/>
      </c>
      <c r="AA33" s="19"/>
      <c r="AB33" s="19"/>
      <c r="AC33" s="19"/>
      <c r="AD33" s="178"/>
      <c r="AE33" s="178" t="str">
        <f t="shared" si="1"/>
        <v/>
      </c>
      <c r="AF33"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3" s="95"/>
      <c r="AH33" s="155" t="str">
        <f>IFERROR(IF(LEEDHVACcheck[[#This Row],[Supply Fan Control]]="VAV",LEEDHVACcheck[[#This Row],[System Supply Design Flow (CFM)]]*0.0015,IF(LEEDHVACcheck[[#This Row],[Supply Fan Control]]="CAV",LEEDHVACcheck[[#This Row],[System Supply Design Flow (CFM)]]*0.0011,"")),"")</f>
        <v/>
      </c>
      <c r="AI33"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3" s="95">
        <f>LEEDHVACcheck[[#This Row],[Sum of Pressure Drop Adjustment
(USE MEPC) '[in. w.c.']]]*LEEDHVACcheck[[#This Row],[System Supply Design Flow (CFM)]]/4131</f>
        <v>0</v>
      </c>
      <c r="AK33" s="155" t="str">
        <f t="shared" si="0"/>
        <v/>
      </c>
      <c r="AL33"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3" s="95"/>
      <c r="AN33" s="155" t="str">
        <f>IFERROR(IF(LEEDHVACcheck[[#This Row],[Exhaust Fan Control]]="VAV",LEEDHVACcheck[[#This Row],[System Exhaust Design Flow
'[CFM']]]*0.0015,IF(LEEDHVACcheck[[#This Row],[Exhaust Fan Control]]="CAV",LEEDHVACcheck[[#This Row],[System Exhaust Design Flow
'[CFM']]]*0.0011,"")),"")</f>
        <v/>
      </c>
      <c r="AO33"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3" s="95">
        <f>LEEDHVACcheck[[#This Row],[Sum of Pressure Drop Adjustment
(USE MEPC) '[in. w.c.']]]*LEEDHVACcheck[[#This Row],[System Exhaust Design Flow
'[CFM']]]/4131</f>
        <v>0</v>
      </c>
      <c r="AQ33" s="95"/>
      <c r="AR33" s="19"/>
      <c r="AS33" s="19"/>
    </row>
    <row r="34" spans="1:45" x14ac:dyDescent="0.25">
      <c r="A34" s="227"/>
      <c r="B34" s="227"/>
      <c r="C34" s="226"/>
      <c r="D34" s="226"/>
      <c r="E34" s="226"/>
      <c r="F34" s="226"/>
      <c r="G34" s="226"/>
      <c r="H34" s="226"/>
      <c r="I34" s="227"/>
      <c r="J34" s="172" t="str">
        <f>IF(LEEDHVACcheck[[#This Row],[System Name]]="","",0.15)</f>
        <v/>
      </c>
      <c r="K34" s="227"/>
      <c r="L34" s="227"/>
      <c r="M34" s="227"/>
      <c r="N34" s="227"/>
      <c r="O34" s="227"/>
      <c r="P34" s="172" t="str">
        <f>IF(LEEDHVACcheck[[#This Row],[System Name]]="","",0.25)</f>
        <v/>
      </c>
      <c r="Q34" s="227"/>
      <c r="R34" s="227"/>
      <c r="S34" s="227"/>
      <c r="T34" s="228"/>
      <c r="U34" s="228"/>
      <c r="V34" s="227"/>
      <c r="W34" s="228"/>
      <c r="X34" s="227"/>
      <c r="Y34" s="19" t="str">
        <f>IF(LEEDHVACcheck[[#This Row],[System Name]]="","",5)</f>
        <v/>
      </c>
      <c r="Z34" s="172" t="str">
        <f>IF(LEEDHVACcheck[[#This Row],[System Name]]="","",0.3)</f>
        <v/>
      </c>
      <c r="AA34" s="19"/>
      <c r="AB34" s="19"/>
      <c r="AC34" s="19"/>
      <c r="AD34" s="178"/>
      <c r="AE34" s="178" t="str">
        <f t="shared" si="1"/>
        <v/>
      </c>
      <c r="AF34"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4" s="95"/>
      <c r="AH34" s="155" t="str">
        <f>IFERROR(IF(LEEDHVACcheck[[#This Row],[Supply Fan Control]]="VAV",LEEDHVACcheck[[#This Row],[System Supply Design Flow (CFM)]]*0.0015,IF(LEEDHVACcheck[[#This Row],[Supply Fan Control]]="CAV",LEEDHVACcheck[[#This Row],[System Supply Design Flow (CFM)]]*0.0011,"")),"")</f>
        <v/>
      </c>
      <c r="AI34"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4" s="95">
        <f>LEEDHVACcheck[[#This Row],[Sum of Pressure Drop Adjustment
(USE MEPC) '[in. w.c.']]]*LEEDHVACcheck[[#This Row],[System Supply Design Flow (CFM)]]/4131</f>
        <v>0</v>
      </c>
      <c r="AK34" s="155" t="str">
        <f t="shared" si="0"/>
        <v/>
      </c>
      <c r="AL34"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4" s="95"/>
      <c r="AN34" s="155" t="str">
        <f>IFERROR(IF(LEEDHVACcheck[[#This Row],[Exhaust Fan Control]]="VAV",LEEDHVACcheck[[#This Row],[System Exhaust Design Flow
'[CFM']]]*0.0015,IF(LEEDHVACcheck[[#This Row],[Exhaust Fan Control]]="CAV",LEEDHVACcheck[[#This Row],[System Exhaust Design Flow
'[CFM']]]*0.0011,"")),"")</f>
        <v/>
      </c>
      <c r="AO34"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4" s="95">
        <f>LEEDHVACcheck[[#This Row],[Sum of Pressure Drop Adjustment
(USE MEPC) '[in. w.c.']]]*LEEDHVACcheck[[#This Row],[System Exhaust Design Flow
'[CFM']]]/4131</f>
        <v>0</v>
      </c>
      <c r="AQ34" s="95"/>
      <c r="AR34" s="19"/>
      <c r="AS34" s="19"/>
    </row>
    <row r="35" spans="1:45" x14ac:dyDescent="0.25">
      <c r="A35" s="227"/>
      <c r="B35" s="227"/>
      <c r="C35" s="226"/>
      <c r="D35" s="226"/>
      <c r="E35" s="226"/>
      <c r="F35" s="226"/>
      <c r="G35" s="226"/>
      <c r="H35" s="226"/>
      <c r="I35" s="227"/>
      <c r="J35" s="172" t="str">
        <f>IF(LEEDHVACcheck[[#This Row],[System Name]]="","",0.15)</f>
        <v/>
      </c>
      <c r="K35" s="227"/>
      <c r="L35" s="227"/>
      <c r="M35" s="227"/>
      <c r="N35" s="227"/>
      <c r="O35" s="227"/>
      <c r="P35" s="172" t="str">
        <f>IF(LEEDHVACcheck[[#This Row],[System Name]]="","",0.25)</f>
        <v/>
      </c>
      <c r="Q35" s="227"/>
      <c r="R35" s="227"/>
      <c r="S35" s="227"/>
      <c r="T35" s="228"/>
      <c r="U35" s="228"/>
      <c r="V35" s="227"/>
      <c r="W35" s="228"/>
      <c r="X35" s="227"/>
      <c r="Y35" s="19" t="str">
        <f>IF(LEEDHVACcheck[[#This Row],[System Name]]="","",5)</f>
        <v/>
      </c>
      <c r="Z35" s="172" t="str">
        <f>IF(LEEDHVACcheck[[#This Row],[System Name]]="","",0.3)</f>
        <v/>
      </c>
      <c r="AA35" s="19"/>
      <c r="AB35" s="19"/>
      <c r="AC35" s="19"/>
      <c r="AD35" s="178"/>
      <c r="AE35" s="178" t="str">
        <f t="shared" si="1"/>
        <v/>
      </c>
      <c r="AF35"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5" s="95"/>
      <c r="AH35" s="155" t="str">
        <f>IFERROR(IF(LEEDHVACcheck[[#This Row],[Supply Fan Control]]="VAV",LEEDHVACcheck[[#This Row],[System Supply Design Flow (CFM)]]*0.0015,IF(LEEDHVACcheck[[#This Row],[Supply Fan Control]]="CAV",LEEDHVACcheck[[#This Row],[System Supply Design Flow (CFM)]]*0.0011,"")),"")</f>
        <v/>
      </c>
      <c r="AI35"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5" s="95">
        <f>LEEDHVACcheck[[#This Row],[Sum of Pressure Drop Adjustment
(USE MEPC) '[in. w.c.']]]*LEEDHVACcheck[[#This Row],[System Supply Design Flow (CFM)]]/4131</f>
        <v>0</v>
      </c>
      <c r="AK35" s="155" t="str">
        <f t="shared" si="0"/>
        <v/>
      </c>
      <c r="AL35"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5" s="95"/>
      <c r="AN35" s="155" t="str">
        <f>IFERROR(IF(LEEDHVACcheck[[#This Row],[Exhaust Fan Control]]="VAV",LEEDHVACcheck[[#This Row],[System Exhaust Design Flow
'[CFM']]]*0.0015,IF(LEEDHVACcheck[[#This Row],[Exhaust Fan Control]]="CAV",LEEDHVACcheck[[#This Row],[System Exhaust Design Flow
'[CFM']]]*0.0011,"")),"")</f>
        <v/>
      </c>
      <c r="AO35"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5" s="95">
        <f>LEEDHVACcheck[[#This Row],[Sum of Pressure Drop Adjustment
(USE MEPC) '[in. w.c.']]]*LEEDHVACcheck[[#This Row],[System Exhaust Design Flow
'[CFM']]]/4131</f>
        <v>0</v>
      </c>
      <c r="AQ35" s="95"/>
      <c r="AR35" s="19"/>
      <c r="AS35" s="19"/>
    </row>
    <row r="36" spans="1:45" x14ac:dyDescent="0.25">
      <c r="A36" s="227"/>
      <c r="B36" s="227"/>
      <c r="C36" s="226"/>
      <c r="D36" s="226"/>
      <c r="E36" s="226"/>
      <c r="F36" s="226"/>
      <c r="G36" s="226"/>
      <c r="H36" s="226"/>
      <c r="I36" s="227"/>
      <c r="J36" s="172" t="str">
        <f>IF(LEEDHVACcheck[[#This Row],[System Name]]="","",0.15)</f>
        <v/>
      </c>
      <c r="K36" s="227"/>
      <c r="L36" s="227"/>
      <c r="M36" s="227"/>
      <c r="N36" s="227"/>
      <c r="O36" s="227"/>
      <c r="P36" s="172" t="str">
        <f>IF(LEEDHVACcheck[[#This Row],[System Name]]="","",0.25)</f>
        <v/>
      </c>
      <c r="Q36" s="227"/>
      <c r="R36" s="227"/>
      <c r="S36" s="227"/>
      <c r="T36" s="228"/>
      <c r="U36" s="228"/>
      <c r="V36" s="227"/>
      <c r="W36" s="228"/>
      <c r="X36" s="227"/>
      <c r="Y36" s="19" t="str">
        <f>IF(LEEDHVACcheck[[#This Row],[System Name]]="","",5)</f>
        <v/>
      </c>
      <c r="Z36" s="172" t="str">
        <f>IF(LEEDHVACcheck[[#This Row],[System Name]]="","",0.3)</f>
        <v/>
      </c>
      <c r="AA36" s="19"/>
      <c r="AB36" s="19"/>
      <c r="AC36" s="19"/>
      <c r="AD36" s="178"/>
      <c r="AE36" s="178" t="str">
        <f t="shared" si="1"/>
        <v/>
      </c>
      <c r="AF36"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6" s="95"/>
      <c r="AH36" s="155" t="str">
        <f>IFERROR(IF(LEEDHVACcheck[[#This Row],[Supply Fan Control]]="VAV",LEEDHVACcheck[[#This Row],[System Supply Design Flow (CFM)]]*0.0015,IF(LEEDHVACcheck[[#This Row],[Supply Fan Control]]="CAV",LEEDHVACcheck[[#This Row],[System Supply Design Flow (CFM)]]*0.0011,"")),"")</f>
        <v/>
      </c>
      <c r="AI36"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6" s="95">
        <f>LEEDHVACcheck[[#This Row],[Sum of Pressure Drop Adjustment
(USE MEPC) '[in. w.c.']]]*LEEDHVACcheck[[#This Row],[System Supply Design Flow (CFM)]]/4131</f>
        <v>0</v>
      </c>
      <c r="AK36" s="155" t="str">
        <f t="shared" si="0"/>
        <v/>
      </c>
      <c r="AL36"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6" s="95"/>
      <c r="AN36" s="155" t="str">
        <f>IFERROR(IF(LEEDHVACcheck[[#This Row],[Exhaust Fan Control]]="VAV",LEEDHVACcheck[[#This Row],[System Exhaust Design Flow
'[CFM']]]*0.0015,IF(LEEDHVACcheck[[#This Row],[Exhaust Fan Control]]="CAV",LEEDHVACcheck[[#This Row],[System Exhaust Design Flow
'[CFM']]]*0.0011,"")),"")</f>
        <v/>
      </c>
      <c r="AO36"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6" s="95">
        <f>LEEDHVACcheck[[#This Row],[Sum of Pressure Drop Adjustment
(USE MEPC) '[in. w.c.']]]*LEEDHVACcheck[[#This Row],[System Exhaust Design Flow
'[CFM']]]/4131</f>
        <v>0</v>
      </c>
      <c r="AQ36" s="95"/>
      <c r="AR36" s="19"/>
      <c r="AS36" s="19"/>
    </row>
    <row r="37" spans="1:45" x14ac:dyDescent="0.25">
      <c r="A37" s="227"/>
      <c r="B37" s="227"/>
      <c r="C37" s="226"/>
      <c r="D37" s="226"/>
      <c r="E37" s="226"/>
      <c r="F37" s="226"/>
      <c r="G37" s="226"/>
      <c r="H37" s="226"/>
      <c r="I37" s="227"/>
      <c r="J37" s="172" t="str">
        <f>IF(LEEDHVACcheck[[#This Row],[System Name]]="","",0.15)</f>
        <v/>
      </c>
      <c r="K37" s="227"/>
      <c r="L37" s="227"/>
      <c r="M37" s="227"/>
      <c r="N37" s="227"/>
      <c r="O37" s="227"/>
      <c r="P37" s="172" t="str">
        <f>IF(LEEDHVACcheck[[#This Row],[System Name]]="","",0.25)</f>
        <v/>
      </c>
      <c r="Q37" s="227"/>
      <c r="R37" s="227"/>
      <c r="S37" s="227"/>
      <c r="T37" s="228"/>
      <c r="U37" s="228"/>
      <c r="V37" s="227"/>
      <c r="W37" s="228"/>
      <c r="X37" s="227"/>
      <c r="Y37" s="19" t="str">
        <f>IF(LEEDHVACcheck[[#This Row],[System Name]]="","",5)</f>
        <v/>
      </c>
      <c r="Z37" s="172" t="str">
        <f>IF(LEEDHVACcheck[[#This Row],[System Name]]="","",0.3)</f>
        <v/>
      </c>
      <c r="AA37" s="19"/>
      <c r="AB37" s="19"/>
      <c r="AC37" s="19"/>
      <c r="AD37" s="178"/>
      <c r="AE37" s="178" t="str">
        <f t="shared" si="1"/>
        <v/>
      </c>
      <c r="AF37"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7" s="95"/>
      <c r="AH37" s="155" t="str">
        <f>IFERROR(IF(LEEDHVACcheck[[#This Row],[Supply Fan Control]]="VAV",LEEDHVACcheck[[#This Row],[System Supply Design Flow (CFM)]]*0.0015,IF(LEEDHVACcheck[[#This Row],[Supply Fan Control]]="CAV",LEEDHVACcheck[[#This Row],[System Supply Design Flow (CFM)]]*0.0011,"")),"")</f>
        <v/>
      </c>
      <c r="AI37"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7" s="95">
        <f>LEEDHVACcheck[[#This Row],[Sum of Pressure Drop Adjustment
(USE MEPC) '[in. w.c.']]]*LEEDHVACcheck[[#This Row],[System Supply Design Flow (CFM)]]/4131</f>
        <v>0</v>
      </c>
      <c r="AK37" s="155" t="str">
        <f t="shared" si="0"/>
        <v/>
      </c>
      <c r="AL37"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7" s="95"/>
      <c r="AN37" s="155" t="str">
        <f>IFERROR(IF(LEEDHVACcheck[[#This Row],[Exhaust Fan Control]]="VAV",LEEDHVACcheck[[#This Row],[System Exhaust Design Flow
'[CFM']]]*0.0015,IF(LEEDHVACcheck[[#This Row],[Exhaust Fan Control]]="CAV",LEEDHVACcheck[[#This Row],[System Exhaust Design Flow
'[CFM']]]*0.0011,"")),"")</f>
        <v/>
      </c>
      <c r="AO37"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7" s="95">
        <f>LEEDHVACcheck[[#This Row],[Sum of Pressure Drop Adjustment
(USE MEPC) '[in. w.c.']]]*LEEDHVACcheck[[#This Row],[System Exhaust Design Flow
'[CFM']]]/4131</f>
        <v>0</v>
      </c>
      <c r="AQ37" s="95"/>
      <c r="AR37" s="19"/>
      <c r="AS37" s="19"/>
    </row>
    <row r="38" spans="1:45" x14ac:dyDescent="0.25">
      <c r="A38" s="227"/>
      <c r="B38" s="227"/>
      <c r="C38" s="226"/>
      <c r="D38" s="226"/>
      <c r="E38" s="226"/>
      <c r="F38" s="226"/>
      <c r="G38" s="226"/>
      <c r="H38" s="226"/>
      <c r="I38" s="227"/>
      <c r="J38" s="172" t="str">
        <f>IF(LEEDHVACcheck[[#This Row],[System Name]]="","",0.15)</f>
        <v/>
      </c>
      <c r="K38" s="227"/>
      <c r="L38" s="227"/>
      <c r="M38" s="227"/>
      <c r="N38" s="227"/>
      <c r="O38" s="227"/>
      <c r="P38" s="172" t="str">
        <f>IF(LEEDHVACcheck[[#This Row],[System Name]]="","",0.25)</f>
        <v/>
      </c>
      <c r="Q38" s="227"/>
      <c r="R38" s="227"/>
      <c r="S38" s="227"/>
      <c r="T38" s="228"/>
      <c r="U38" s="228"/>
      <c r="V38" s="227"/>
      <c r="W38" s="228"/>
      <c r="X38" s="227"/>
      <c r="Y38" s="19" t="str">
        <f>IF(LEEDHVACcheck[[#This Row],[System Name]]="","",5)</f>
        <v/>
      </c>
      <c r="Z38" s="172" t="str">
        <f>IF(LEEDHVACcheck[[#This Row],[System Name]]="","",0.3)</f>
        <v/>
      </c>
      <c r="AA38" s="19"/>
      <c r="AB38" s="19"/>
      <c r="AC38" s="19"/>
      <c r="AD38" s="178"/>
      <c r="AE38" s="178" t="str">
        <f t="shared" si="1"/>
        <v/>
      </c>
      <c r="AF38"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8" s="95"/>
      <c r="AH38" s="155" t="str">
        <f>IFERROR(IF(LEEDHVACcheck[[#This Row],[Supply Fan Control]]="VAV",LEEDHVACcheck[[#This Row],[System Supply Design Flow (CFM)]]*0.0015,IF(LEEDHVACcheck[[#This Row],[Supply Fan Control]]="CAV",LEEDHVACcheck[[#This Row],[System Supply Design Flow (CFM)]]*0.0011,"")),"")</f>
        <v/>
      </c>
      <c r="AI38"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8" s="95">
        <f>LEEDHVACcheck[[#This Row],[Sum of Pressure Drop Adjustment
(USE MEPC) '[in. w.c.']]]*LEEDHVACcheck[[#This Row],[System Supply Design Flow (CFM)]]/4131</f>
        <v>0</v>
      </c>
      <c r="AK38" s="155" t="str">
        <f t="shared" si="0"/>
        <v/>
      </c>
      <c r="AL38"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8" s="95"/>
      <c r="AN38" s="155" t="str">
        <f>IFERROR(IF(LEEDHVACcheck[[#This Row],[Exhaust Fan Control]]="VAV",LEEDHVACcheck[[#This Row],[System Exhaust Design Flow
'[CFM']]]*0.0015,IF(LEEDHVACcheck[[#This Row],[Exhaust Fan Control]]="CAV",LEEDHVACcheck[[#This Row],[System Exhaust Design Flow
'[CFM']]]*0.0011,"")),"")</f>
        <v/>
      </c>
      <c r="AO38"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8" s="95">
        <f>LEEDHVACcheck[[#This Row],[Sum of Pressure Drop Adjustment
(USE MEPC) '[in. w.c.']]]*LEEDHVACcheck[[#This Row],[System Exhaust Design Flow
'[CFM']]]/4131</f>
        <v>0</v>
      </c>
      <c r="AQ38" s="95"/>
      <c r="AR38" s="19"/>
      <c r="AS38" s="19"/>
    </row>
    <row r="39" spans="1:45" x14ac:dyDescent="0.25">
      <c r="A39" s="227"/>
      <c r="B39" s="227"/>
      <c r="C39" s="226"/>
      <c r="D39" s="226"/>
      <c r="E39" s="226"/>
      <c r="F39" s="226"/>
      <c r="G39" s="226"/>
      <c r="H39" s="226"/>
      <c r="I39" s="227"/>
      <c r="J39" s="172" t="str">
        <f>IF(LEEDHVACcheck[[#This Row],[System Name]]="","",0.15)</f>
        <v/>
      </c>
      <c r="K39" s="227"/>
      <c r="L39" s="227"/>
      <c r="M39" s="227"/>
      <c r="N39" s="227"/>
      <c r="O39" s="227"/>
      <c r="P39" s="172" t="str">
        <f>IF(LEEDHVACcheck[[#This Row],[System Name]]="","",0.25)</f>
        <v/>
      </c>
      <c r="Q39" s="227"/>
      <c r="R39" s="227"/>
      <c r="S39" s="227"/>
      <c r="T39" s="228"/>
      <c r="U39" s="228"/>
      <c r="V39" s="227"/>
      <c r="W39" s="228"/>
      <c r="X39" s="227"/>
      <c r="Y39" s="19" t="str">
        <f>IF(LEEDHVACcheck[[#This Row],[System Name]]="","",5)</f>
        <v/>
      </c>
      <c r="Z39" s="172" t="str">
        <f>IF(LEEDHVACcheck[[#This Row],[System Name]]="","",0.3)</f>
        <v/>
      </c>
      <c r="AA39" s="19"/>
      <c r="AB39" s="19"/>
      <c r="AC39" s="19"/>
      <c r="AD39" s="178"/>
      <c r="AE39" s="178" t="str">
        <f t="shared" si="1"/>
        <v/>
      </c>
      <c r="AF39"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9" s="95"/>
      <c r="AH39" s="155" t="str">
        <f>IFERROR(IF(LEEDHVACcheck[[#This Row],[Supply Fan Control]]="VAV",LEEDHVACcheck[[#This Row],[System Supply Design Flow (CFM)]]*0.0015,IF(LEEDHVACcheck[[#This Row],[Supply Fan Control]]="CAV",LEEDHVACcheck[[#This Row],[System Supply Design Flow (CFM)]]*0.0011,"")),"")</f>
        <v/>
      </c>
      <c r="AI39"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9" s="95">
        <f>LEEDHVACcheck[[#This Row],[Sum of Pressure Drop Adjustment
(USE MEPC) '[in. w.c.']]]*LEEDHVACcheck[[#This Row],[System Supply Design Flow (CFM)]]/4131</f>
        <v>0</v>
      </c>
      <c r="AK39" s="155" t="str">
        <f t="shared" si="0"/>
        <v/>
      </c>
      <c r="AL39"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9" s="95"/>
      <c r="AN39" s="155" t="str">
        <f>IFERROR(IF(LEEDHVACcheck[[#This Row],[Exhaust Fan Control]]="VAV",LEEDHVACcheck[[#This Row],[System Exhaust Design Flow
'[CFM']]]*0.0015,IF(LEEDHVACcheck[[#This Row],[Exhaust Fan Control]]="CAV",LEEDHVACcheck[[#This Row],[System Exhaust Design Flow
'[CFM']]]*0.0011,"")),"")</f>
        <v/>
      </c>
      <c r="AO39"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9" s="95">
        <f>LEEDHVACcheck[[#This Row],[Sum of Pressure Drop Adjustment
(USE MEPC) '[in. w.c.']]]*LEEDHVACcheck[[#This Row],[System Exhaust Design Flow
'[CFM']]]/4131</f>
        <v>0</v>
      </c>
      <c r="AQ39" s="95"/>
      <c r="AR39" s="19"/>
      <c r="AS39" s="19"/>
    </row>
    <row r="40" spans="1:45" x14ac:dyDescent="0.25">
      <c r="A40" s="227"/>
      <c r="B40" s="227"/>
      <c r="C40" s="226"/>
      <c r="D40" s="226"/>
      <c r="E40" s="226"/>
      <c r="F40" s="226"/>
      <c r="G40" s="226"/>
      <c r="H40" s="226"/>
      <c r="I40" s="227"/>
      <c r="J40" s="172" t="str">
        <f>IF(LEEDHVACcheck[[#This Row],[System Name]]="","",0.15)</f>
        <v/>
      </c>
      <c r="K40" s="227"/>
      <c r="L40" s="227"/>
      <c r="M40" s="227"/>
      <c r="N40" s="227"/>
      <c r="O40" s="227"/>
      <c r="P40" s="172" t="str">
        <f>IF(LEEDHVACcheck[[#This Row],[System Name]]="","",0.25)</f>
        <v/>
      </c>
      <c r="Q40" s="227"/>
      <c r="R40" s="227"/>
      <c r="S40" s="227"/>
      <c r="T40" s="228"/>
      <c r="U40" s="228"/>
      <c r="V40" s="227"/>
      <c r="W40" s="228"/>
      <c r="X40" s="227"/>
      <c r="Y40" s="19" t="str">
        <f>IF(LEEDHVACcheck[[#This Row],[System Name]]="","",5)</f>
        <v/>
      </c>
      <c r="Z40" s="172" t="str">
        <f>IF(LEEDHVACcheck[[#This Row],[System Name]]="","",0.3)</f>
        <v/>
      </c>
      <c r="AA40" s="19"/>
      <c r="AB40" s="19"/>
      <c r="AC40" s="19"/>
      <c r="AD40" s="178"/>
      <c r="AE40" s="178" t="str">
        <f t="shared" si="1"/>
        <v/>
      </c>
      <c r="AF40"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40" s="95"/>
      <c r="AH40" s="155" t="str">
        <f>IFERROR(IF(LEEDHVACcheck[[#This Row],[Supply Fan Control]]="VAV",LEEDHVACcheck[[#This Row],[System Supply Design Flow (CFM)]]*0.0015,IF(LEEDHVACcheck[[#This Row],[Supply Fan Control]]="CAV",LEEDHVACcheck[[#This Row],[System Supply Design Flow (CFM)]]*0.0011,"")),"")</f>
        <v/>
      </c>
      <c r="AI40"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40" s="95">
        <f>LEEDHVACcheck[[#This Row],[Sum of Pressure Drop Adjustment
(USE MEPC) '[in. w.c.']]]*LEEDHVACcheck[[#This Row],[System Supply Design Flow (CFM)]]/4131</f>
        <v>0</v>
      </c>
      <c r="AK40" s="155" t="str">
        <f t="shared" si="0"/>
        <v/>
      </c>
      <c r="AL40"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40" s="95"/>
      <c r="AN40" s="155" t="str">
        <f>IFERROR(IF(LEEDHVACcheck[[#This Row],[Exhaust Fan Control]]="VAV",LEEDHVACcheck[[#This Row],[System Exhaust Design Flow
'[CFM']]]*0.0015,IF(LEEDHVACcheck[[#This Row],[Exhaust Fan Control]]="CAV",LEEDHVACcheck[[#This Row],[System Exhaust Design Flow
'[CFM']]]*0.0011,"")),"")</f>
        <v/>
      </c>
      <c r="AO40"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40" s="95">
        <f>LEEDHVACcheck[[#This Row],[Sum of Pressure Drop Adjustment
(USE MEPC) '[in. w.c.']]]*LEEDHVACcheck[[#This Row],[System Exhaust Design Flow
'[CFM']]]/4131</f>
        <v>0</v>
      </c>
      <c r="AQ40" s="95"/>
      <c r="AR40" s="19"/>
      <c r="AS40" s="19"/>
    </row>
    <row r="41" spans="1:45" x14ac:dyDescent="0.25">
      <c r="A41" s="227"/>
      <c r="B41" s="227"/>
      <c r="C41" s="226"/>
      <c r="D41" s="226"/>
      <c r="E41" s="226"/>
      <c r="F41" s="226"/>
      <c r="G41" s="226"/>
      <c r="H41" s="226"/>
      <c r="I41" s="227"/>
      <c r="J41" s="172" t="str">
        <f>IF(LEEDHVACcheck[[#This Row],[System Name]]="","",0.15)</f>
        <v/>
      </c>
      <c r="K41" s="227"/>
      <c r="L41" s="227"/>
      <c r="M41" s="227"/>
      <c r="N41" s="227"/>
      <c r="O41" s="227"/>
      <c r="P41" s="172" t="str">
        <f>IF(LEEDHVACcheck[[#This Row],[System Name]]="","",0.25)</f>
        <v/>
      </c>
      <c r="Q41" s="227"/>
      <c r="R41" s="227"/>
      <c r="S41" s="227"/>
      <c r="T41" s="228"/>
      <c r="U41" s="228"/>
      <c r="V41" s="227"/>
      <c r="W41" s="228"/>
      <c r="X41" s="227"/>
      <c r="Y41" s="19" t="str">
        <f>IF(LEEDHVACcheck[[#This Row],[System Name]]="","",5)</f>
        <v/>
      </c>
      <c r="Z41" s="172" t="str">
        <f>IF(LEEDHVACcheck[[#This Row],[System Name]]="","",0.3)</f>
        <v/>
      </c>
      <c r="AA41" s="19"/>
      <c r="AB41" s="19"/>
      <c r="AC41" s="19"/>
      <c r="AD41" s="178"/>
      <c r="AE41" s="178" t="str">
        <f t="shared" si="1"/>
        <v/>
      </c>
      <c r="AF41"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41" s="95"/>
      <c r="AH41" s="155" t="str">
        <f>IFERROR(IF(LEEDHVACcheck[[#This Row],[Supply Fan Control]]="VAV",LEEDHVACcheck[[#This Row],[System Supply Design Flow (CFM)]]*0.0015,IF(LEEDHVACcheck[[#This Row],[Supply Fan Control]]="CAV",LEEDHVACcheck[[#This Row],[System Supply Design Flow (CFM)]]*0.0011,"")),"")</f>
        <v/>
      </c>
      <c r="AI41"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41" s="95">
        <f>LEEDHVACcheck[[#This Row],[Sum of Pressure Drop Adjustment
(USE MEPC) '[in. w.c.']]]*LEEDHVACcheck[[#This Row],[System Supply Design Flow (CFM)]]/4131</f>
        <v>0</v>
      </c>
      <c r="AK41" s="155" t="str">
        <f t="shared" si="0"/>
        <v/>
      </c>
      <c r="AL41"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41" s="95"/>
      <c r="AN41" s="155" t="str">
        <f>IFERROR(IF(LEEDHVACcheck[[#This Row],[Exhaust Fan Control]]="VAV",LEEDHVACcheck[[#This Row],[System Exhaust Design Flow
'[CFM']]]*0.0015,IF(LEEDHVACcheck[[#This Row],[Exhaust Fan Control]]="CAV",LEEDHVACcheck[[#This Row],[System Exhaust Design Flow
'[CFM']]]*0.0011,"")),"")</f>
        <v/>
      </c>
      <c r="AO41"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41" s="95">
        <f>LEEDHVACcheck[[#This Row],[Sum of Pressure Drop Adjustment
(USE MEPC) '[in. w.c.']]]*LEEDHVACcheck[[#This Row],[System Exhaust Design Flow
'[CFM']]]/4131</f>
        <v>0</v>
      </c>
      <c r="AQ41" s="95"/>
      <c r="AR41" s="19"/>
      <c r="AS41" s="19"/>
    </row>
    <row r="42" spans="1:45" x14ac:dyDescent="0.25">
      <c r="A42" s="227"/>
      <c r="B42" s="227"/>
      <c r="C42" s="226"/>
      <c r="D42" s="226"/>
      <c r="E42" s="226"/>
      <c r="F42" s="226"/>
      <c r="G42" s="226"/>
      <c r="H42" s="226"/>
      <c r="I42" s="227"/>
      <c r="J42" s="172" t="str">
        <f>IF(LEEDHVACcheck[[#This Row],[System Name]]="","",0.15)</f>
        <v/>
      </c>
      <c r="K42" s="227"/>
      <c r="L42" s="227"/>
      <c r="M42" s="227"/>
      <c r="N42" s="227"/>
      <c r="O42" s="227"/>
      <c r="P42" s="172" t="str">
        <f>IF(LEEDHVACcheck[[#This Row],[System Name]]="","",0.25)</f>
        <v/>
      </c>
      <c r="Q42" s="227"/>
      <c r="R42" s="227"/>
      <c r="S42" s="227"/>
      <c r="T42" s="228"/>
      <c r="U42" s="228"/>
      <c r="V42" s="227"/>
      <c r="W42" s="228"/>
      <c r="X42" s="227"/>
      <c r="Y42" s="19" t="str">
        <f>IF(LEEDHVACcheck[[#This Row],[System Name]]="","",5)</f>
        <v/>
      </c>
      <c r="Z42" s="172" t="str">
        <f>IF(LEEDHVACcheck[[#This Row],[System Name]]="","",0.3)</f>
        <v/>
      </c>
      <c r="AA42" s="19"/>
      <c r="AB42" s="19"/>
      <c r="AC42" s="19"/>
      <c r="AD42" s="178"/>
      <c r="AE42" s="178" t="str">
        <f t="shared" si="1"/>
        <v/>
      </c>
      <c r="AF42"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42" s="95"/>
      <c r="AH42" s="155" t="str">
        <f>IFERROR(IF(LEEDHVACcheck[[#This Row],[Supply Fan Control]]="VAV",LEEDHVACcheck[[#This Row],[System Supply Design Flow (CFM)]]*0.0015,IF(LEEDHVACcheck[[#This Row],[Supply Fan Control]]="CAV",LEEDHVACcheck[[#This Row],[System Supply Design Flow (CFM)]]*0.0011,"")),"")</f>
        <v/>
      </c>
      <c r="AI42"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42" s="95">
        <f>LEEDHVACcheck[[#This Row],[Sum of Pressure Drop Adjustment
(USE MEPC) '[in. w.c.']]]*LEEDHVACcheck[[#This Row],[System Supply Design Flow (CFM)]]/4131</f>
        <v>0</v>
      </c>
      <c r="AK42" s="155" t="str">
        <f t="shared" si="0"/>
        <v/>
      </c>
      <c r="AL42"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42" s="95"/>
      <c r="AN42" s="155" t="str">
        <f>IFERROR(IF(LEEDHVACcheck[[#This Row],[Exhaust Fan Control]]="VAV",LEEDHVACcheck[[#This Row],[System Exhaust Design Flow
'[CFM']]]*0.0015,IF(LEEDHVACcheck[[#This Row],[Exhaust Fan Control]]="CAV",LEEDHVACcheck[[#This Row],[System Exhaust Design Flow
'[CFM']]]*0.0011,"")),"")</f>
        <v/>
      </c>
      <c r="AO42"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42" s="95">
        <f>LEEDHVACcheck[[#This Row],[Sum of Pressure Drop Adjustment
(USE MEPC) '[in. w.c.']]]*LEEDHVACcheck[[#This Row],[System Exhaust Design Flow
'[CFM']]]/4131</f>
        <v>0</v>
      </c>
      <c r="AQ42" s="95"/>
      <c r="AR42" s="19"/>
      <c r="AS42" s="19"/>
    </row>
    <row r="43" spans="1:45" x14ac:dyDescent="0.25">
      <c r="A43" s="227"/>
      <c r="B43" s="227"/>
      <c r="C43" s="226"/>
      <c r="D43" s="226"/>
      <c r="E43" s="226"/>
      <c r="F43" s="226"/>
      <c r="G43" s="226"/>
      <c r="H43" s="226"/>
      <c r="I43" s="227"/>
      <c r="J43" s="172" t="str">
        <f>IF(LEEDHVACcheck[[#This Row],[System Name]]="","",0.15)</f>
        <v/>
      </c>
      <c r="K43" s="227"/>
      <c r="L43" s="227"/>
      <c r="M43" s="227"/>
      <c r="N43" s="227"/>
      <c r="O43" s="227"/>
      <c r="P43" s="172" t="str">
        <f>IF(LEEDHVACcheck[[#This Row],[System Name]]="","",0.25)</f>
        <v/>
      </c>
      <c r="Q43" s="227"/>
      <c r="R43" s="227"/>
      <c r="S43" s="227"/>
      <c r="T43" s="228"/>
      <c r="U43" s="228"/>
      <c r="V43" s="227"/>
      <c r="W43" s="228"/>
      <c r="X43" s="227"/>
      <c r="Y43" s="19" t="str">
        <f>IF(LEEDHVACcheck[[#This Row],[System Name]]="","",5)</f>
        <v/>
      </c>
      <c r="Z43" s="172" t="str">
        <f>IF(LEEDHVACcheck[[#This Row],[System Name]]="","",0.3)</f>
        <v/>
      </c>
      <c r="AA43" s="19"/>
      <c r="AB43" s="19"/>
      <c r="AC43" s="19"/>
      <c r="AD43" s="178"/>
      <c r="AE43" s="178" t="str">
        <f t="shared" si="1"/>
        <v/>
      </c>
      <c r="AF43" s="153"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43" s="95"/>
      <c r="AH43" s="155" t="str">
        <f>IFERROR(IF(LEEDHVACcheck[[#This Row],[Supply Fan Control]]="VAV",LEEDHVACcheck[[#This Row],[System Supply Design Flow (CFM)]]*0.0015,IF(LEEDHVACcheck[[#This Row],[Supply Fan Control]]="CAV",LEEDHVACcheck[[#This Row],[System Supply Design Flow (CFM)]]*0.0011,"")),"")</f>
        <v/>
      </c>
      <c r="AI43" s="155"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43" s="95">
        <f>LEEDHVACcheck[[#This Row],[Sum of Pressure Drop Adjustment
(USE MEPC) '[in. w.c.']]]*LEEDHVACcheck[[#This Row],[System Supply Design Flow (CFM)]]/4131</f>
        <v>0</v>
      </c>
      <c r="AK43" s="155" t="str">
        <f t="shared" si="0"/>
        <v/>
      </c>
      <c r="AL43" s="155"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43" s="95"/>
      <c r="AN43" s="155" t="str">
        <f>IFERROR(IF(LEEDHVACcheck[[#This Row],[Exhaust Fan Control]]="VAV",LEEDHVACcheck[[#This Row],[System Exhaust Design Flow
'[CFM']]]*0.0015,IF(LEEDHVACcheck[[#This Row],[Exhaust Fan Control]]="CAV",LEEDHVACcheck[[#This Row],[System Exhaust Design Flow
'[CFM']]]*0.0011,"")),"")</f>
        <v/>
      </c>
      <c r="AO43" s="155"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43" s="95">
        <f>LEEDHVACcheck[[#This Row],[Sum of Pressure Drop Adjustment
(USE MEPC) '[in. w.c.']]]*LEEDHVACcheck[[#This Row],[System Exhaust Design Flow
'[CFM']]]/4131</f>
        <v>0</v>
      </c>
      <c r="AQ43" s="95"/>
      <c r="AR43" s="19"/>
      <c r="AS43" s="19"/>
    </row>
    <row r="45" spans="1:45" ht="15.75" thickBot="1" x14ac:dyDescent="0.3"/>
    <row r="46" spans="1:45" ht="15.75" thickBot="1" x14ac:dyDescent="0.3">
      <c r="A46" s="180" t="s">
        <v>1211</v>
      </c>
    </row>
    <row r="47" spans="1:45" ht="45" x14ac:dyDescent="0.25">
      <c r="A47" s="629" t="s">
        <v>922</v>
      </c>
      <c r="B47" s="630" t="s">
        <v>1212</v>
      </c>
      <c r="C47" s="171" t="s">
        <v>1213</v>
      </c>
      <c r="D47" s="171" t="s">
        <v>1214</v>
      </c>
      <c r="E47" s="170" t="s">
        <v>1215</v>
      </c>
      <c r="F47" s="170" t="s">
        <v>1216</v>
      </c>
      <c r="G47" s="170" t="s">
        <v>1217</v>
      </c>
      <c r="H47" s="170" t="s">
        <v>1218</v>
      </c>
      <c r="I47" s="170" t="s">
        <v>1219</v>
      </c>
      <c r="J47" s="171" t="s">
        <v>1220</v>
      </c>
      <c r="K47" s="171" t="s">
        <v>1221</v>
      </c>
      <c r="L47" s="170" t="s">
        <v>1222</v>
      </c>
      <c r="M47" s="170" t="s">
        <v>1223</v>
      </c>
    </row>
    <row r="48" spans="1:45" ht="75" x14ac:dyDescent="0.25">
      <c r="A48" s="227" t="s">
        <v>6</v>
      </c>
      <c r="B48" s="227" t="s">
        <v>1123</v>
      </c>
      <c r="C48" s="227" t="s">
        <v>1224</v>
      </c>
      <c r="D48" s="227" t="s">
        <v>1224</v>
      </c>
      <c r="E48" s="27"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f>
        <v>Natural Draft</v>
      </c>
      <c r="F48" s="27"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f>
        <v>180</v>
      </c>
      <c r="G48" s="27"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f>
        <v>50</v>
      </c>
      <c r="H48" s="27"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f>
        <v>130</v>
      </c>
      <c r="I48" s="27"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f>
        <v>Based on outdoor dry-bulb temperature using the following schedule: 
180°F @ T ≤ 20°F, 150°F @ T ≥ 50°F, ramped linearly</v>
      </c>
      <c r="J48" s="19"/>
      <c r="K48" s="19"/>
      <c r="L48" s="27"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f>
        <v>19</v>
      </c>
      <c r="M48" s="27"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f>
        <v>80</v>
      </c>
    </row>
    <row r="49" spans="1:13" x14ac:dyDescent="0.25">
      <c r="A49" s="227"/>
      <c r="B49" s="227"/>
      <c r="C49" s="227"/>
      <c r="D49" s="227"/>
      <c r="E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f>
        <v/>
      </c>
      <c r="F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f>
        <v/>
      </c>
      <c r="G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f>
        <v/>
      </c>
      <c r="H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f>
        <v/>
      </c>
      <c r="I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f>
        <v/>
      </c>
      <c r="J49" s="19"/>
      <c r="K49" s="19"/>
      <c r="L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f>
        <v/>
      </c>
      <c r="M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f>
        <v/>
      </c>
    </row>
    <row r="50" spans="1:13" x14ac:dyDescent="0.25">
      <c r="A50" s="227"/>
      <c r="B50" s="227"/>
      <c r="C50" s="227"/>
      <c r="D50" s="227"/>
      <c r="E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f>
        <v/>
      </c>
      <c r="F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f>
        <v/>
      </c>
      <c r="G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f>
        <v/>
      </c>
      <c r="H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f>
        <v/>
      </c>
      <c r="I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f>
        <v/>
      </c>
      <c r="J50" s="19"/>
      <c r="K50" s="19"/>
      <c r="L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f>
        <v/>
      </c>
      <c r="M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f>
        <v/>
      </c>
    </row>
    <row r="51" spans="1:13" x14ac:dyDescent="0.25">
      <c r="A51" s="227"/>
      <c r="B51" s="227"/>
      <c r="C51" s="227"/>
      <c r="D51" s="227"/>
      <c r="E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f>
        <v/>
      </c>
      <c r="F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f>
        <v/>
      </c>
      <c r="G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f>
        <v/>
      </c>
      <c r="H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f>
        <v/>
      </c>
      <c r="I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f>
        <v/>
      </c>
      <c r="J51" s="19"/>
      <c r="K51" s="19"/>
      <c r="L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f>
        <v/>
      </c>
      <c r="M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f>
        <v/>
      </c>
    </row>
    <row r="52" spans="1:13" x14ac:dyDescent="0.25">
      <c r="A52" s="227"/>
      <c r="B52" s="227"/>
      <c r="C52" s="227"/>
      <c r="D52" s="227"/>
      <c r="E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f>
        <v/>
      </c>
      <c r="F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f>
        <v/>
      </c>
      <c r="G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f>
        <v/>
      </c>
      <c r="H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f>
        <v/>
      </c>
      <c r="I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f>
        <v/>
      </c>
      <c r="J52" s="19"/>
      <c r="K52" s="19"/>
      <c r="L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f>
        <v/>
      </c>
      <c r="M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f>
        <v/>
      </c>
    </row>
    <row r="55" spans="1:13" ht="15.75" thickBot="1" x14ac:dyDescent="0.3"/>
    <row r="56" spans="1:13" ht="15.75" thickBot="1" x14ac:dyDescent="0.3">
      <c r="A56" s="180" t="s">
        <v>1225</v>
      </c>
    </row>
    <row r="57" spans="1:13" x14ac:dyDescent="0.25">
      <c r="A57" s="631" t="s">
        <v>922</v>
      </c>
      <c r="B57" s="632" t="s">
        <v>1212</v>
      </c>
      <c r="C57" s="633" t="s">
        <v>1226</v>
      </c>
      <c r="D57" s="633" t="s">
        <v>1214</v>
      </c>
    </row>
    <row r="58" spans="1:13" x14ac:dyDescent="0.25">
      <c r="A58" s="197"/>
    </row>
    <row r="59" spans="1:13" x14ac:dyDescent="0.25">
      <c r="A59" s="197"/>
    </row>
    <row r="60" spans="1:13" x14ac:dyDescent="0.25">
      <c r="A60" s="197"/>
    </row>
    <row r="61" spans="1:13" x14ac:dyDescent="0.25">
      <c r="A61" s="197"/>
    </row>
    <row r="62" spans="1:13" ht="15.75" thickBot="1" x14ac:dyDescent="0.3">
      <c r="A62" s="202"/>
    </row>
    <row r="74" spans="1:7" ht="15.75" thickBot="1" x14ac:dyDescent="0.3">
      <c r="A74" s="793" t="s">
        <v>1227</v>
      </c>
      <c r="B74" s="793"/>
      <c r="C74" s="793"/>
      <c r="D74" s="793"/>
      <c r="E74" s="793"/>
      <c r="F74" s="793"/>
      <c r="G74" s="793"/>
    </row>
    <row r="75" spans="1:7" ht="16.5" thickTop="1" thickBot="1" x14ac:dyDescent="0.3">
      <c r="A75" s="794" t="s">
        <v>1228</v>
      </c>
      <c r="B75" s="795"/>
      <c r="C75" s="795"/>
      <c r="D75" s="795"/>
      <c r="E75" s="795"/>
      <c r="F75" s="796"/>
      <c r="G75" s="229"/>
    </row>
    <row r="76" spans="1:7" ht="60.75" customHeight="1" thickBot="1" x14ac:dyDescent="0.3">
      <c r="A76" s="230"/>
      <c r="B76" s="231" t="s">
        <v>1229</v>
      </c>
      <c r="C76" s="231" t="s">
        <v>1229</v>
      </c>
      <c r="D76" s="231" t="s">
        <v>1229</v>
      </c>
      <c r="E76" s="231" t="s">
        <v>1230</v>
      </c>
      <c r="F76" s="231" t="s">
        <v>1230</v>
      </c>
      <c r="G76" s="231" t="s">
        <v>1230</v>
      </c>
    </row>
    <row r="77" spans="1:7" ht="15.75" thickBot="1" x14ac:dyDescent="0.3">
      <c r="A77" s="230" t="s">
        <v>1231</v>
      </c>
      <c r="B77" s="232">
        <v>2</v>
      </c>
      <c r="C77" s="232">
        <v>4</v>
      </c>
      <c r="D77" s="232">
        <v>6</v>
      </c>
      <c r="E77" s="232">
        <v>2</v>
      </c>
      <c r="F77" s="232">
        <v>4</v>
      </c>
      <c r="G77" s="233">
        <v>6</v>
      </c>
    </row>
    <row r="78" spans="1:7" ht="15.75" thickBot="1" x14ac:dyDescent="0.3">
      <c r="A78" s="230" t="s">
        <v>1232</v>
      </c>
      <c r="B78" s="232">
        <v>3600</v>
      </c>
      <c r="C78" s="232">
        <v>1800</v>
      </c>
      <c r="D78" s="232">
        <v>1200</v>
      </c>
      <c r="E78" s="232">
        <v>3600</v>
      </c>
      <c r="F78" s="232">
        <v>1800</v>
      </c>
      <c r="G78" s="233">
        <v>1200</v>
      </c>
    </row>
    <row r="79" spans="1:7" ht="15.75" thickBot="1" x14ac:dyDescent="0.3">
      <c r="A79" s="234" t="s">
        <v>1233</v>
      </c>
      <c r="B79" s="235"/>
      <c r="C79" s="235"/>
      <c r="D79" s="235"/>
      <c r="E79" s="235"/>
      <c r="F79" s="235"/>
      <c r="G79" s="236"/>
    </row>
    <row r="80" spans="1:7" ht="15.75" thickBot="1" x14ac:dyDescent="0.3">
      <c r="A80" s="237">
        <v>1</v>
      </c>
      <c r="B80" s="238" t="s">
        <v>240</v>
      </c>
      <c r="C80" s="238">
        <v>82.5</v>
      </c>
      <c r="D80" s="238">
        <v>80</v>
      </c>
      <c r="E80" s="238">
        <v>75.5</v>
      </c>
      <c r="F80" s="238">
        <v>82.5</v>
      </c>
      <c r="G80" s="239">
        <v>80</v>
      </c>
    </row>
    <row r="81" spans="1:7" ht="15.75" thickBot="1" x14ac:dyDescent="0.3">
      <c r="A81" s="237">
        <v>1.5</v>
      </c>
      <c r="B81" s="238">
        <v>82.5</v>
      </c>
      <c r="C81" s="238">
        <v>84</v>
      </c>
      <c r="D81" s="238">
        <v>84</v>
      </c>
      <c r="E81" s="238">
        <v>82.5</v>
      </c>
      <c r="F81" s="238">
        <v>84</v>
      </c>
      <c r="G81" s="239">
        <v>85.5</v>
      </c>
    </row>
    <row r="82" spans="1:7" ht="15.75" thickBot="1" x14ac:dyDescent="0.3">
      <c r="A82" s="237">
        <v>2</v>
      </c>
      <c r="B82" s="238">
        <v>84</v>
      </c>
      <c r="C82" s="238">
        <v>84</v>
      </c>
      <c r="D82" s="238">
        <v>85.5</v>
      </c>
      <c r="E82" s="238">
        <v>84</v>
      </c>
      <c r="F82" s="238">
        <v>84</v>
      </c>
      <c r="G82" s="239">
        <v>86.5</v>
      </c>
    </row>
    <row r="83" spans="1:7" ht="15.75" thickBot="1" x14ac:dyDescent="0.3">
      <c r="A83" s="237">
        <v>3</v>
      </c>
      <c r="B83" s="238">
        <v>84</v>
      </c>
      <c r="C83" s="238">
        <v>86.5</v>
      </c>
      <c r="D83" s="238">
        <v>86.5</v>
      </c>
      <c r="E83" s="238">
        <v>85.5</v>
      </c>
      <c r="F83" s="238">
        <v>87.5</v>
      </c>
      <c r="G83" s="239">
        <v>87.5</v>
      </c>
    </row>
    <row r="84" spans="1:7" ht="15.75" thickBot="1" x14ac:dyDescent="0.3">
      <c r="A84" s="237">
        <v>5</v>
      </c>
      <c r="B84" s="238">
        <v>85.5</v>
      </c>
      <c r="C84" s="238">
        <v>87.5</v>
      </c>
      <c r="D84" s="238">
        <v>87.5</v>
      </c>
      <c r="E84" s="238">
        <v>87.5</v>
      </c>
      <c r="F84" s="238">
        <v>87.5</v>
      </c>
      <c r="G84" s="239">
        <v>87.5</v>
      </c>
    </row>
    <row r="85" spans="1:7" ht="15.75" thickBot="1" x14ac:dyDescent="0.3">
      <c r="A85" s="237">
        <v>7.5</v>
      </c>
      <c r="B85" s="238">
        <v>87.5</v>
      </c>
      <c r="C85" s="238">
        <v>88.5</v>
      </c>
      <c r="D85" s="238">
        <v>88.5</v>
      </c>
      <c r="E85" s="238">
        <v>88.5</v>
      </c>
      <c r="F85" s="238">
        <v>89.5</v>
      </c>
      <c r="G85" s="239">
        <v>89.5</v>
      </c>
    </row>
    <row r="86" spans="1:7" ht="15.75" thickBot="1" x14ac:dyDescent="0.3">
      <c r="A86" s="237">
        <v>10</v>
      </c>
      <c r="B86" s="238">
        <v>88.5</v>
      </c>
      <c r="C86" s="238">
        <v>89.5</v>
      </c>
      <c r="D86" s="238">
        <v>90.2</v>
      </c>
      <c r="E86" s="238">
        <v>89.5</v>
      </c>
      <c r="F86" s="238">
        <v>89.5</v>
      </c>
      <c r="G86" s="239">
        <v>89.5</v>
      </c>
    </row>
    <row r="87" spans="1:7" ht="15.75" thickBot="1" x14ac:dyDescent="0.3">
      <c r="A87" s="237">
        <v>15</v>
      </c>
      <c r="B87" s="238">
        <v>89.5</v>
      </c>
      <c r="C87" s="238">
        <v>91</v>
      </c>
      <c r="D87" s="238">
        <v>90.2</v>
      </c>
      <c r="E87" s="238">
        <v>90.2</v>
      </c>
      <c r="F87" s="238">
        <v>91</v>
      </c>
      <c r="G87" s="239">
        <v>90.2</v>
      </c>
    </row>
    <row r="88" spans="1:7" ht="15.75" thickBot="1" x14ac:dyDescent="0.3">
      <c r="A88" s="237">
        <v>20</v>
      </c>
      <c r="B88" s="238">
        <v>90.2</v>
      </c>
      <c r="C88" s="238">
        <v>91</v>
      </c>
      <c r="D88" s="238">
        <v>91</v>
      </c>
      <c r="E88" s="238">
        <v>90.2</v>
      </c>
      <c r="F88" s="238">
        <v>91</v>
      </c>
      <c r="G88" s="239">
        <v>90.2</v>
      </c>
    </row>
    <row r="89" spans="1:7" ht="15.75" thickBot="1" x14ac:dyDescent="0.3">
      <c r="A89" s="237">
        <v>25</v>
      </c>
      <c r="B89" s="238">
        <v>91</v>
      </c>
      <c r="C89" s="238">
        <v>91.7</v>
      </c>
      <c r="D89" s="238">
        <v>91.7</v>
      </c>
      <c r="E89" s="238">
        <v>91</v>
      </c>
      <c r="F89" s="238">
        <v>92.4</v>
      </c>
      <c r="G89" s="239">
        <v>91.7</v>
      </c>
    </row>
    <row r="90" spans="1:7" ht="15.75" thickBot="1" x14ac:dyDescent="0.3">
      <c r="A90" s="237">
        <v>30</v>
      </c>
      <c r="B90" s="238">
        <v>91</v>
      </c>
      <c r="C90" s="238">
        <v>92.4</v>
      </c>
      <c r="D90" s="238">
        <v>92.4</v>
      </c>
      <c r="E90" s="238">
        <v>91</v>
      </c>
      <c r="F90" s="238">
        <v>92.4</v>
      </c>
      <c r="G90" s="239">
        <v>91.7</v>
      </c>
    </row>
    <row r="91" spans="1:7" ht="15.75" thickBot="1" x14ac:dyDescent="0.3">
      <c r="A91" s="237">
        <v>40</v>
      </c>
      <c r="B91" s="238">
        <v>91.7</v>
      </c>
      <c r="C91" s="238">
        <v>93</v>
      </c>
      <c r="D91" s="238">
        <v>93</v>
      </c>
      <c r="E91" s="238">
        <v>91.7</v>
      </c>
      <c r="F91" s="238">
        <v>93</v>
      </c>
      <c r="G91" s="239">
        <v>93</v>
      </c>
    </row>
    <row r="92" spans="1:7" ht="15.75" thickBot="1" x14ac:dyDescent="0.3">
      <c r="A92" s="237">
        <v>50</v>
      </c>
      <c r="B92" s="238">
        <v>92.4</v>
      </c>
      <c r="C92" s="238">
        <v>93</v>
      </c>
      <c r="D92" s="238">
        <v>93</v>
      </c>
      <c r="E92" s="238">
        <v>92.4</v>
      </c>
      <c r="F92" s="238">
        <v>93</v>
      </c>
      <c r="G92" s="239">
        <v>93</v>
      </c>
    </row>
    <row r="93" spans="1:7" ht="15.75" thickBot="1" x14ac:dyDescent="0.3">
      <c r="A93" s="237">
        <v>60</v>
      </c>
      <c r="B93" s="238">
        <v>93</v>
      </c>
      <c r="C93" s="238">
        <v>93.6</v>
      </c>
      <c r="D93" s="238">
        <v>93.6</v>
      </c>
      <c r="E93" s="238">
        <v>93</v>
      </c>
      <c r="F93" s="238">
        <v>93.6</v>
      </c>
      <c r="G93" s="239">
        <v>93.6</v>
      </c>
    </row>
    <row r="94" spans="1:7" ht="15.75" thickBot="1" x14ac:dyDescent="0.3">
      <c r="A94" s="237">
        <v>75</v>
      </c>
      <c r="B94" s="238">
        <v>93</v>
      </c>
      <c r="C94" s="238">
        <v>94.1</v>
      </c>
      <c r="D94" s="238">
        <v>93.6</v>
      </c>
      <c r="E94" s="238">
        <v>93</v>
      </c>
      <c r="F94" s="238">
        <v>94.1</v>
      </c>
      <c r="G94" s="239">
        <v>93.6</v>
      </c>
    </row>
    <row r="95" spans="1:7" ht="15.75" thickBot="1" x14ac:dyDescent="0.3">
      <c r="A95" s="237">
        <v>100</v>
      </c>
      <c r="B95" s="238">
        <v>93</v>
      </c>
      <c r="C95" s="238">
        <v>94.1</v>
      </c>
      <c r="D95" s="238">
        <v>94.1</v>
      </c>
      <c r="E95" s="238">
        <v>93.6</v>
      </c>
      <c r="F95" s="238">
        <v>94.5</v>
      </c>
      <c r="G95" s="239">
        <v>94.1</v>
      </c>
    </row>
    <row r="96" spans="1:7" ht="15.75" thickBot="1" x14ac:dyDescent="0.3">
      <c r="A96" s="237">
        <v>125</v>
      </c>
      <c r="B96" s="238">
        <v>93.6</v>
      </c>
      <c r="C96" s="238">
        <v>94.5</v>
      </c>
      <c r="D96" s="238">
        <v>94.1</v>
      </c>
      <c r="E96" s="238">
        <v>94.5</v>
      </c>
      <c r="F96" s="238">
        <v>94.5</v>
      </c>
      <c r="G96" s="239">
        <v>94.1</v>
      </c>
    </row>
    <row r="97" spans="1:7" ht="15.75" thickBot="1" x14ac:dyDescent="0.3">
      <c r="A97" s="237">
        <v>150</v>
      </c>
      <c r="B97" s="238">
        <v>93.6</v>
      </c>
      <c r="C97" s="238">
        <v>95</v>
      </c>
      <c r="D97" s="238">
        <v>94.5</v>
      </c>
      <c r="E97" s="238">
        <v>94.5</v>
      </c>
      <c r="F97" s="238">
        <v>95</v>
      </c>
      <c r="G97" s="239">
        <v>95</v>
      </c>
    </row>
    <row r="98" spans="1:7" ht="15.75" thickBot="1" x14ac:dyDescent="0.3">
      <c r="A98" s="240">
        <v>200</v>
      </c>
      <c r="B98" s="241">
        <v>94.5</v>
      </c>
      <c r="C98" s="241">
        <v>95</v>
      </c>
      <c r="D98" s="241">
        <v>94.5</v>
      </c>
      <c r="E98" s="241">
        <v>95</v>
      </c>
      <c r="F98" s="241">
        <v>95</v>
      </c>
      <c r="G98" s="242">
        <v>95</v>
      </c>
    </row>
    <row r="99" spans="1:7" ht="15.75" thickTop="1" x14ac:dyDescent="0.25"/>
    <row r="100" spans="1:7" x14ac:dyDescent="0.25">
      <c r="A100" t="s">
        <v>1234</v>
      </c>
    </row>
    <row r="101" spans="1:7" x14ac:dyDescent="0.25">
      <c r="A101" t="s">
        <v>1112</v>
      </c>
    </row>
    <row r="102" spans="1:7" x14ac:dyDescent="0.25">
      <c r="A102" t="s">
        <v>1113</v>
      </c>
    </row>
    <row r="103" spans="1:7" x14ac:dyDescent="0.25">
      <c r="A103" t="s">
        <v>1117</v>
      </c>
    </row>
    <row r="104" spans="1:7" x14ac:dyDescent="0.25">
      <c r="A104" t="s">
        <v>1118</v>
      </c>
    </row>
    <row r="105" spans="1:7" x14ac:dyDescent="0.25">
      <c r="A105" t="s">
        <v>1120</v>
      </c>
    </row>
    <row r="106" spans="1:7" x14ac:dyDescent="0.25">
      <c r="A106" t="s">
        <v>1121</v>
      </c>
    </row>
    <row r="107" spans="1:7" x14ac:dyDescent="0.25">
      <c r="A107" t="s">
        <v>1123</v>
      </c>
    </row>
    <row r="108" spans="1:7" x14ac:dyDescent="0.25">
      <c r="A108" t="s">
        <v>1124</v>
      </c>
    </row>
    <row r="109" spans="1:7" x14ac:dyDescent="0.25">
      <c r="A109" t="s">
        <v>1127</v>
      </c>
    </row>
    <row r="110" spans="1:7" x14ac:dyDescent="0.25">
      <c r="A110" t="s">
        <v>1128</v>
      </c>
    </row>
    <row r="113" spans="1:7" ht="15.75" thickBot="1" x14ac:dyDescent="0.3">
      <c r="A113" s="793" t="s">
        <v>1235</v>
      </c>
      <c r="B113" s="793"/>
      <c r="C113" s="793"/>
      <c r="D113" s="793"/>
      <c r="E113" s="793"/>
      <c r="F113" s="614"/>
      <c r="G113" s="614"/>
    </row>
    <row r="114" spans="1:7" ht="26.25" thickTop="1" x14ac:dyDescent="0.25">
      <c r="A114" s="605" t="s">
        <v>1236</v>
      </c>
      <c r="B114" s="627" t="s">
        <v>1237</v>
      </c>
      <c r="C114" s="606" t="s">
        <v>1238</v>
      </c>
      <c r="D114" s="606" t="s">
        <v>1239</v>
      </c>
      <c r="E114" s="613" t="s">
        <v>911</v>
      </c>
    </row>
    <row r="115" spans="1:7" ht="15.75" thickBot="1" x14ac:dyDescent="0.3">
      <c r="A115" s="607" t="s">
        <v>977</v>
      </c>
      <c r="B115" s="628"/>
      <c r="C115" s="601" t="s">
        <v>1240</v>
      </c>
      <c r="D115" s="601" t="s">
        <v>1241</v>
      </c>
      <c r="E115" s="608" t="s">
        <v>1242</v>
      </c>
    </row>
    <row r="116" spans="1:7" ht="25.5" x14ac:dyDescent="0.25">
      <c r="A116" s="609" t="s">
        <v>1243</v>
      </c>
      <c r="B116" s="618" t="s">
        <v>1244</v>
      </c>
      <c r="C116" s="602" t="s">
        <v>1245</v>
      </c>
      <c r="D116" s="621" t="s">
        <v>1246</v>
      </c>
      <c r="E116" s="624" t="s">
        <v>1247</v>
      </c>
    </row>
    <row r="117" spans="1:7" x14ac:dyDescent="0.25">
      <c r="A117" s="610" t="s">
        <v>1248</v>
      </c>
      <c r="B117" s="619"/>
      <c r="C117" s="603" t="s">
        <v>1249</v>
      </c>
      <c r="D117" s="622"/>
      <c r="E117" s="625"/>
    </row>
    <row r="118" spans="1:7" ht="15.75" thickBot="1" x14ac:dyDescent="0.3">
      <c r="A118" s="611"/>
      <c r="B118" s="620"/>
      <c r="C118" s="604" t="s">
        <v>1250</v>
      </c>
      <c r="D118" s="623"/>
      <c r="E118" s="626"/>
    </row>
    <row r="119" spans="1:7" ht="25.5" x14ac:dyDescent="0.25">
      <c r="A119" s="609" t="s">
        <v>1251</v>
      </c>
      <c r="B119" s="618" t="s">
        <v>1244</v>
      </c>
      <c r="C119" s="602" t="s">
        <v>1245</v>
      </c>
      <c r="D119" s="621" t="s">
        <v>1252</v>
      </c>
      <c r="E119" s="624" t="s">
        <v>1247</v>
      </c>
    </row>
    <row r="120" spans="1:7" x14ac:dyDescent="0.25">
      <c r="A120" s="610" t="s">
        <v>1248</v>
      </c>
      <c r="B120" s="619"/>
      <c r="C120" s="603" t="s">
        <v>1249</v>
      </c>
      <c r="D120" s="622"/>
      <c r="E120" s="625"/>
    </row>
    <row r="121" spans="1:7" ht="15.75" thickBot="1" x14ac:dyDescent="0.3">
      <c r="A121" s="611"/>
      <c r="B121" s="620"/>
      <c r="C121" s="604" t="s">
        <v>1250</v>
      </c>
      <c r="D121" s="623"/>
      <c r="E121" s="626"/>
    </row>
    <row r="122" spans="1:7" ht="25.5" x14ac:dyDescent="0.25">
      <c r="A122" s="615" t="s">
        <v>1253</v>
      </c>
      <c r="B122" s="618" t="s">
        <v>1244</v>
      </c>
      <c r="C122" s="602" t="s">
        <v>1254</v>
      </c>
      <c r="D122" s="621" t="s">
        <v>1255</v>
      </c>
      <c r="E122" s="624" t="s">
        <v>1256</v>
      </c>
    </row>
    <row r="123" spans="1:7" x14ac:dyDescent="0.25">
      <c r="A123" s="616"/>
      <c r="B123" s="619"/>
      <c r="C123" s="603" t="s">
        <v>1257</v>
      </c>
      <c r="D123" s="622"/>
      <c r="E123" s="625"/>
    </row>
    <row r="124" spans="1:7" ht="15.75" thickBot="1" x14ac:dyDescent="0.3">
      <c r="A124" s="617"/>
      <c r="B124" s="620"/>
      <c r="C124" s="604" t="s">
        <v>1250</v>
      </c>
      <c r="D124" s="623"/>
      <c r="E124" s="626"/>
    </row>
    <row r="125" spans="1:7" ht="25.5" x14ac:dyDescent="0.25">
      <c r="A125" s="615" t="s">
        <v>1258</v>
      </c>
      <c r="B125" s="618" t="s">
        <v>1244</v>
      </c>
      <c r="C125" s="602" t="s">
        <v>1254</v>
      </c>
      <c r="D125" s="621" t="s">
        <v>1259</v>
      </c>
      <c r="E125" s="624" t="s">
        <v>1256</v>
      </c>
    </row>
    <row r="126" spans="1:7" x14ac:dyDescent="0.25">
      <c r="A126" s="616"/>
      <c r="B126" s="619"/>
      <c r="C126" s="603" t="s">
        <v>1257</v>
      </c>
      <c r="D126" s="622"/>
      <c r="E126" s="625"/>
    </row>
    <row r="127" spans="1:7" ht="15.75" thickBot="1" x14ac:dyDescent="0.3">
      <c r="A127" s="617"/>
      <c r="B127" s="620"/>
      <c r="C127" s="604" t="s">
        <v>1250</v>
      </c>
      <c r="D127" s="623"/>
      <c r="E127" s="626"/>
    </row>
    <row r="128" spans="1:7" ht="25.5" x14ac:dyDescent="0.25">
      <c r="A128" s="609" t="s">
        <v>1260</v>
      </c>
      <c r="B128" s="618" t="s">
        <v>1244</v>
      </c>
      <c r="C128" s="602" t="s">
        <v>1261</v>
      </c>
      <c r="D128" s="621" t="s">
        <v>1262</v>
      </c>
      <c r="E128" s="624" t="s">
        <v>1263</v>
      </c>
    </row>
    <row r="129" spans="1:5" x14ac:dyDescent="0.25">
      <c r="A129" s="610" t="s">
        <v>1264</v>
      </c>
      <c r="B129" s="619"/>
      <c r="C129" s="603" t="s">
        <v>1265</v>
      </c>
      <c r="D129" s="622"/>
      <c r="E129" s="625"/>
    </row>
    <row r="130" spans="1:5" ht="25.5" x14ac:dyDescent="0.25">
      <c r="A130" s="612"/>
      <c r="B130" s="619"/>
      <c r="C130" s="603" t="s">
        <v>1266</v>
      </c>
      <c r="D130" s="622"/>
      <c r="E130" s="625"/>
    </row>
    <row r="131" spans="1:5" x14ac:dyDescent="0.25">
      <c r="A131" s="612"/>
      <c r="B131" s="619"/>
      <c r="C131" s="603" t="s">
        <v>1267</v>
      </c>
      <c r="D131" s="622"/>
      <c r="E131" s="625"/>
    </row>
    <row r="132" spans="1:5" ht="15.75" thickBot="1" x14ac:dyDescent="0.3">
      <c r="A132" s="611"/>
      <c r="B132" s="620"/>
      <c r="C132" s="604" t="s">
        <v>1268</v>
      </c>
      <c r="D132" s="623"/>
      <c r="E132" s="626"/>
    </row>
    <row r="133" spans="1:5" ht="25.5" customHeight="1" x14ac:dyDescent="0.25">
      <c r="A133" s="784" t="s">
        <v>1269</v>
      </c>
      <c r="B133" s="785"/>
      <c r="C133" s="785"/>
      <c r="D133" s="785"/>
      <c r="E133" s="786"/>
    </row>
    <row r="134" spans="1:5" ht="25.5" customHeight="1" x14ac:dyDescent="0.25">
      <c r="A134" s="787" t="s">
        <v>1270</v>
      </c>
      <c r="B134" s="788"/>
      <c r="C134" s="788"/>
      <c r="D134" s="788"/>
      <c r="E134" s="789"/>
    </row>
    <row r="135" spans="1:5" x14ac:dyDescent="0.25">
      <c r="A135" s="787" t="s">
        <v>1271</v>
      </c>
      <c r="B135" s="788"/>
      <c r="C135" s="788"/>
      <c r="D135" s="788"/>
      <c r="E135" s="789"/>
    </row>
    <row r="136" spans="1:5" x14ac:dyDescent="0.25">
      <c r="A136" s="787" t="s">
        <v>1272</v>
      </c>
      <c r="B136" s="788"/>
      <c r="C136" s="788"/>
      <c r="D136" s="788"/>
      <c r="E136" s="789"/>
    </row>
    <row r="137" spans="1:5" ht="25.5" customHeight="1" thickBot="1" x14ac:dyDescent="0.3">
      <c r="A137" s="790" t="s">
        <v>1273</v>
      </c>
      <c r="B137" s="791"/>
      <c r="C137" s="791"/>
      <c r="D137" s="791"/>
      <c r="E137" s="792"/>
    </row>
    <row r="138" spans="1:5" ht="15.75" thickTop="1" x14ac:dyDescent="0.25"/>
  </sheetData>
  <mergeCells count="13">
    <mergeCell ref="A113:E113"/>
    <mergeCell ref="A74:G74"/>
    <mergeCell ref="A75:F75"/>
    <mergeCell ref="AE9:AJ9"/>
    <mergeCell ref="AK9:AP9"/>
    <mergeCell ref="A9:B9"/>
    <mergeCell ref="C9:I9"/>
    <mergeCell ref="J9:S9"/>
    <mergeCell ref="A133:E133"/>
    <mergeCell ref="A134:E134"/>
    <mergeCell ref="A135:E135"/>
    <mergeCell ref="A136:E136"/>
    <mergeCell ref="A137:E137"/>
  </mergeCells>
  <phoneticPr fontId="49" type="noConversion"/>
  <dataValidations count="9">
    <dataValidation type="list" allowBlank="1" showInputMessage="1" showErrorMessage="1" sqref="AS11:AS43" xr:uid="{34746DF7-3ADA-4CA1-A663-703058FCA376}">
      <formula1>$A$58:$A$62</formula1>
    </dataValidation>
    <dataValidation type="list" allowBlank="1" showInputMessage="1" showErrorMessage="1" sqref="AR11:AR43" xr:uid="{0741258D-A6BA-4ABE-9B9F-296CF5D16715}">
      <formula1>$A$48:$A$52</formula1>
    </dataValidation>
    <dataValidation type="list" allowBlank="1" showInputMessage="1" showErrorMessage="1" sqref="AG11:AG43 AM11:AM43" xr:uid="{FDF9E178-9E21-48EC-BBF7-564BF84B2003}">
      <formula1>"VAV, CAV"</formula1>
    </dataValidation>
    <dataValidation type="list" allowBlank="1" showInputMessage="1" showErrorMessage="1" sqref="S11:S43" xr:uid="{2A9FA459-049C-4963-9A5C-263203B77FCE}">
      <formula1>"COP, HSPF, AFUE, %Et, %Et, N/A"</formula1>
    </dataValidation>
    <dataValidation type="list" allowBlank="1" showInputMessage="1" showErrorMessage="1" sqref="O11:O43" xr:uid="{B93A2761-EF4A-4B3F-AD76-496B08B04F9E}">
      <formula1>"IEER, IPLV, N/A"</formula1>
    </dataValidation>
    <dataValidation type="list" allowBlank="1" showInputMessage="1" showErrorMessage="1" sqref="M11:M43" xr:uid="{F24CCAB0-D411-46B8-8730-53EF613D469F}">
      <formula1>"EER, SEER, N/A"</formula1>
    </dataValidation>
    <dataValidation type="list" allowBlank="1" showInputMessage="1" showErrorMessage="1" sqref="I11:I43" xr:uid="{2F11F630-E735-4324-96A1-5CF46F1A6C4D}">
      <formula1>"Yes, No"</formula1>
    </dataValidation>
    <dataValidation type="list" allowBlank="1" showInputMessage="1" showErrorMessage="1" sqref="B11:B43 B48:B52" xr:uid="{47197094-A81D-4B9C-BB42-FCE25D964446}">
      <formula1>$A$101:$A$110</formula1>
    </dataValidation>
    <dataValidation type="list" allowBlank="1" showInputMessage="1" showErrorMessage="1" sqref="C48:D52" xr:uid="{511ADF70-75BA-48BC-B4C2-721892D58B0D}">
      <formula1>"Yes,No"</formula1>
    </dataValidation>
  </dataValidations>
  <pageMargins left="0.7" right="0.7" top="0.75" bottom="0.75" header="0.3" footer="0.3"/>
  <pageSetup orientation="portrait" horizontalDpi="4294967293" verticalDpi="0" r:id="rId1"/>
  <legacyDrawing r:id="rId2"/>
  <tableParts count="4">
    <tablePart r:id="rId3"/>
    <tablePart r:id="rId4"/>
    <tablePart r:id="rId5"/>
    <tablePart r:id="rId6"/>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227BA-C01C-4F46-BDEE-455A2A37BB8B}">
  <sheetPr codeName="Sheet13">
    <tabColor theme="9" tint="0.79998168889431442"/>
  </sheetPr>
  <dimension ref="B1:AI88"/>
  <sheetViews>
    <sheetView workbookViewId="0">
      <selection activeCell="P66" sqref="P66"/>
    </sheetView>
  </sheetViews>
  <sheetFormatPr defaultRowHeight="15" x14ac:dyDescent="0.25"/>
  <cols>
    <col min="1" max="1" width="2.7109375" customWidth="1"/>
    <col min="3" max="3" width="24.7109375" customWidth="1"/>
    <col min="4" max="9" width="12.7109375" customWidth="1"/>
    <col min="10" max="10" width="2.7109375" customWidth="1"/>
    <col min="11" max="16" width="12.7109375" customWidth="1"/>
    <col min="17" max="17" width="2.7109375" customWidth="1"/>
    <col min="18" max="19" width="12.7109375" customWidth="1"/>
    <col min="20" max="20" width="3.7109375" customWidth="1"/>
    <col min="21" max="22" width="12.7109375" customWidth="1"/>
    <col min="26" max="26" width="9.140625" customWidth="1"/>
    <col min="27" max="27" width="38.7109375" customWidth="1"/>
    <col min="28" max="28" width="27.85546875" bestFit="1" customWidth="1"/>
    <col min="29" max="30" width="9.140625" customWidth="1"/>
    <col min="31" max="35" width="10" customWidth="1"/>
  </cols>
  <sheetData>
    <row r="1" spans="2:35" ht="15.75" thickBot="1" x14ac:dyDescent="0.3">
      <c r="B1" s="243"/>
      <c r="C1" s="434" t="s">
        <v>1274</v>
      </c>
      <c r="D1" s="244"/>
      <c r="E1" s="244"/>
      <c r="F1" s="244"/>
      <c r="G1" s="244"/>
      <c r="H1" s="244"/>
      <c r="I1" s="244"/>
      <c r="J1" s="244"/>
      <c r="K1" s="244"/>
      <c r="L1" s="244"/>
      <c r="M1" s="185" t="s">
        <v>12</v>
      </c>
      <c r="N1" s="245"/>
      <c r="O1" s="245"/>
      <c r="P1" s="245"/>
      <c r="Q1" s="245"/>
      <c r="R1" s="245"/>
      <c r="S1" s="245"/>
      <c r="T1" s="246"/>
      <c r="U1" s="244"/>
      <c r="V1" s="247"/>
      <c r="AA1" s="2" t="s">
        <v>1275</v>
      </c>
    </row>
    <row r="2" spans="2:35" ht="15" customHeight="1" x14ac:dyDescent="0.25">
      <c r="B2" s="432"/>
      <c r="C2" s="769" t="s">
        <v>1276</v>
      </c>
      <c r="D2" s="769"/>
      <c r="E2" s="769"/>
      <c r="F2" s="769"/>
      <c r="G2" s="769"/>
      <c r="H2" s="769"/>
      <c r="I2" s="769"/>
      <c r="J2" s="433"/>
      <c r="K2" s="433"/>
      <c r="M2" s="248" t="s">
        <v>1277</v>
      </c>
      <c r="N2" s="249"/>
      <c r="O2" s="249"/>
      <c r="P2" s="249"/>
      <c r="Q2" s="249"/>
      <c r="R2" s="249"/>
      <c r="S2" s="249"/>
      <c r="T2" s="250"/>
      <c r="V2" s="251"/>
      <c r="AA2" s="252"/>
      <c r="AB2" s="253"/>
      <c r="AC2" s="253"/>
      <c r="AD2" s="254"/>
      <c r="AE2" s="253"/>
      <c r="AF2" s="253"/>
      <c r="AG2" s="253"/>
      <c r="AH2" s="253"/>
      <c r="AI2" s="253"/>
    </row>
    <row r="3" spans="2:35" ht="15" customHeight="1" x14ac:dyDescent="0.25">
      <c r="B3" s="255"/>
      <c r="C3" s="769"/>
      <c r="D3" s="769"/>
      <c r="E3" s="769"/>
      <c r="F3" s="769"/>
      <c r="G3" s="769"/>
      <c r="H3" s="769"/>
      <c r="I3" s="769"/>
      <c r="M3" s="256" t="s">
        <v>1278</v>
      </c>
      <c r="N3" s="257"/>
      <c r="O3" s="257"/>
      <c r="P3" s="257"/>
      <c r="Q3" s="257"/>
      <c r="R3" s="257"/>
      <c r="S3" s="257"/>
      <c r="T3" s="258"/>
      <c r="V3" s="251"/>
      <c r="AA3" s="845" t="s">
        <v>1279</v>
      </c>
      <c r="AB3" s="437" t="s">
        <v>1280</v>
      </c>
      <c r="AC3" s="818" t="s">
        <v>1281</v>
      </c>
      <c r="AD3" s="44"/>
      <c r="AE3" s="820" t="s">
        <v>1282</v>
      </c>
      <c r="AF3" s="821"/>
      <c r="AG3" s="821"/>
      <c r="AH3" s="821"/>
      <c r="AI3" s="822"/>
    </row>
    <row r="4" spans="2:35" ht="22.5" x14ac:dyDescent="0.25">
      <c r="B4" s="255"/>
      <c r="C4" s="835"/>
      <c r="D4" s="835"/>
      <c r="E4" s="835"/>
      <c r="F4" s="835"/>
      <c r="G4" s="835"/>
      <c r="H4" s="835"/>
      <c r="I4" s="835"/>
      <c r="M4" s="256" t="s">
        <v>1283</v>
      </c>
      <c r="N4" s="257"/>
      <c r="O4" s="257"/>
      <c r="P4" s="257"/>
      <c r="Q4" s="257"/>
      <c r="R4" s="257"/>
      <c r="S4" s="257"/>
      <c r="T4" s="258"/>
      <c r="V4" s="251"/>
      <c r="AA4" s="846"/>
      <c r="AB4" s="436" t="s">
        <v>1284</v>
      </c>
      <c r="AC4" s="819"/>
      <c r="AD4" s="44"/>
      <c r="AE4" s="259" t="s">
        <v>1285</v>
      </c>
      <c r="AF4" s="260" t="s">
        <v>1286</v>
      </c>
      <c r="AG4" s="260" t="s">
        <v>1287</v>
      </c>
      <c r="AH4" s="260" t="s">
        <v>1288</v>
      </c>
      <c r="AI4" s="261" t="s">
        <v>1111</v>
      </c>
    </row>
    <row r="5" spans="2:35" ht="26.25" thickBot="1" x14ac:dyDescent="0.3">
      <c r="B5" s="825" t="s">
        <v>1289</v>
      </c>
      <c r="C5" s="826"/>
      <c r="D5" s="262" t="s">
        <v>1290</v>
      </c>
      <c r="E5" s="263" t="s">
        <v>1286</v>
      </c>
      <c r="F5" s="263" t="s">
        <v>1287</v>
      </c>
      <c r="G5" s="263" t="s">
        <v>1291</v>
      </c>
      <c r="H5" s="263" t="s">
        <v>1111</v>
      </c>
      <c r="I5" s="264" t="s">
        <v>1292</v>
      </c>
      <c r="J5" s="265"/>
      <c r="K5" s="266" t="s">
        <v>1293</v>
      </c>
      <c r="M5" s="267" t="s">
        <v>1294</v>
      </c>
      <c r="N5" s="268"/>
      <c r="O5" s="268"/>
      <c r="P5" s="268"/>
      <c r="Q5" s="268"/>
      <c r="R5" s="268"/>
      <c r="S5" s="268"/>
      <c r="T5" s="269"/>
      <c r="V5" s="251"/>
      <c r="AA5" s="438" t="s">
        <v>1295</v>
      </c>
      <c r="AB5" s="441">
        <v>1</v>
      </c>
      <c r="AC5" s="270" t="s">
        <v>789</v>
      </c>
      <c r="AD5" s="271"/>
      <c r="AE5" s="272">
        <v>1</v>
      </c>
      <c r="AF5" s="273">
        <v>0.1</v>
      </c>
      <c r="AG5" s="273">
        <v>0.1</v>
      </c>
      <c r="AH5" s="273">
        <v>1</v>
      </c>
      <c r="AI5" s="274">
        <v>5</v>
      </c>
    </row>
    <row r="6" spans="2:35" ht="15" customHeight="1" x14ac:dyDescent="0.25">
      <c r="B6" s="827" t="s">
        <v>206</v>
      </c>
      <c r="C6" s="828"/>
      <c r="D6" s="275">
        <v>527</v>
      </c>
      <c r="E6" s="276"/>
      <c r="F6" s="276"/>
      <c r="G6" s="276"/>
      <c r="H6" s="276"/>
      <c r="I6" s="277"/>
      <c r="J6" s="278"/>
      <c r="K6" s="279">
        <f>SUM(K7:K8)</f>
        <v>1</v>
      </c>
      <c r="V6" s="251"/>
      <c r="AA6" s="439" t="s">
        <v>1296</v>
      </c>
      <c r="AB6" s="442">
        <v>1.6</v>
      </c>
      <c r="AC6" s="280" t="s">
        <v>789</v>
      </c>
      <c r="AD6" s="271"/>
      <c r="AE6" s="281">
        <v>3</v>
      </c>
      <c r="AF6" s="282">
        <v>0.5</v>
      </c>
      <c r="AG6" s="282">
        <v>0.2</v>
      </c>
      <c r="AH6" s="282">
        <v>3</v>
      </c>
      <c r="AI6" s="283">
        <v>5</v>
      </c>
    </row>
    <row r="7" spans="2:35" x14ac:dyDescent="0.25">
      <c r="B7" s="829" t="s">
        <v>1297</v>
      </c>
      <c r="C7" s="830"/>
      <c r="D7" s="284">
        <f>IF(ISODD(D$6)=TRUE,INT(D$6/2)+1,D$6/2)</f>
        <v>264</v>
      </c>
      <c r="E7" s="284">
        <f t="shared" ref="E7:I7" si="0">IF(ISODD(E$6)=TRUE,INT(E$6/2)+1,E$6/2)</f>
        <v>0</v>
      </c>
      <c r="F7" s="284">
        <f t="shared" si="0"/>
        <v>0</v>
      </c>
      <c r="G7" s="284">
        <f t="shared" si="0"/>
        <v>0</v>
      </c>
      <c r="H7" s="284">
        <f t="shared" si="0"/>
        <v>0</v>
      </c>
      <c r="I7" s="285">
        <f t="shared" si="0"/>
        <v>0</v>
      </c>
      <c r="J7" s="278"/>
      <c r="K7" s="286">
        <f>IFERROR(SUM(D7:I7)/SUM(D6:I6),0)</f>
        <v>0.50094876660341559</v>
      </c>
      <c r="V7" s="251"/>
      <c r="AA7" s="439" t="s">
        <v>1298</v>
      </c>
      <c r="AB7" s="442">
        <v>1</v>
      </c>
      <c r="AC7" s="280" t="s">
        <v>789</v>
      </c>
      <c r="AD7" s="271"/>
      <c r="AE7" s="281">
        <v>2</v>
      </c>
      <c r="AF7" s="282">
        <v>0.4</v>
      </c>
      <c r="AG7" s="282">
        <v>0.1</v>
      </c>
      <c r="AH7" s="282">
        <v>2</v>
      </c>
      <c r="AI7" s="283">
        <v>0</v>
      </c>
    </row>
    <row r="8" spans="2:35" ht="15" customHeight="1" x14ac:dyDescent="0.25">
      <c r="B8" s="831" t="s">
        <v>1299</v>
      </c>
      <c r="C8" s="832"/>
      <c r="D8" s="287">
        <f>INT(D$6/2)</f>
        <v>263</v>
      </c>
      <c r="E8" s="287">
        <f t="shared" ref="E8:I8" si="1">INT(E$6/2)</f>
        <v>0</v>
      </c>
      <c r="F8" s="287">
        <f t="shared" si="1"/>
        <v>0</v>
      </c>
      <c r="G8" s="287">
        <f t="shared" si="1"/>
        <v>0</v>
      </c>
      <c r="H8" s="287">
        <f t="shared" si="1"/>
        <v>0</v>
      </c>
      <c r="I8" s="288">
        <f t="shared" si="1"/>
        <v>0</v>
      </c>
      <c r="J8" s="278"/>
      <c r="K8" s="286">
        <f>IFERROR(SUM(D8:I8)/SUM(D6:I6),0)</f>
        <v>0.49905123339658441</v>
      </c>
      <c r="V8" s="251"/>
      <c r="AA8" s="439" t="s">
        <v>1300</v>
      </c>
      <c r="AB8" s="442">
        <v>0.5</v>
      </c>
      <c r="AC8" s="283">
        <v>30</v>
      </c>
      <c r="AD8" s="271"/>
      <c r="AE8" s="281">
        <v>3</v>
      </c>
      <c r="AF8" s="282">
        <v>0.5</v>
      </c>
      <c r="AG8" s="282">
        <v>0.2</v>
      </c>
      <c r="AH8" s="282">
        <v>3</v>
      </c>
      <c r="AI8" s="283">
        <v>0</v>
      </c>
    </row>
    <row r="9" spans="2:35" ht="15" customHeight="1" x14ac:dyDescent="0.25">
      <c r="B9" s="255"/>
      <c r="V9" s="251"/>
      <c r="AA9" s="439" t="s">
        <v>1301</v>
      </c>
      <c r="AB9" s="442">
        <v>2.2000000000000002</v>
      </c>
      <c r="AC9" s="283">
        <v>60</v>
      </c>
      <c r="AD9" s="271"/>
      <c r="AE9" s="281">
        <v>0</v>
      </c>
      <c r="AF9" s="282">
        <v>0</v>
      </c>
      <c r="AG9" s="282">
        <v>0</v>
      </c>
      <c r="AH9" s="282">
        <v>0</v>
      </c>
      <c r="AI9" s="283">
        <v>5</v>
      </c>
    </row>
    <row r="10" spans="2:35" ht="15" customHeight="1" x14ac:dyDescent="0.25">
      <c r="B10" s="833" t="s">
        <v>1302</v>
      </c>
      <c r="C10" s="834"/>
      <c r="D10" s="834"/>
      <c r="E10" s="834"/>
      <c r="F10" s="834"/>
      <c r="G10" s="834"/>
      <c r="H10" s="834"/>
      <c r="I10" s="834"/>
      <c r="J10" s="834"/>
      <c r="K10" s="834"/>
      <c r="V10" s="251"/>
      <c r="AA10" s="439" t="s">
        <v>1303</v>
      </c>
      <c r="AB10" s="442">
        <v>2.2000000000000002</v>
      </c>
      <c r="AC10" s="283">
        <v>15</v>
      </c>
      <c r="AD10" s="271"/>
      <c r="AE10" s="281">
        <v>1</v>
      </c>
      <c r="AF10" s="282">
        <v>0</v>
      </c>
      <c r="AG10" s="282">
        <v>0</v>
      </c>
      <c r="AH10" s="282">
        <v>0</v>
      </c>
      <c r="AI10" s="283">
        <v>0</v>
      </c>
    </row>
    <row r="11" spans="2:35" ht="15" customHeight="1" x14ac:dyDescent="0.25">
      <c r="B11" s="289" t="s">
        <v>1304</v>
      </c>
      <c r="C11" s="290"/>
      <c r="D11" s="290"/>
      <c r="E11" s="290"/>
      <c r="F11" s="290"/>
      <c r="G11" s="290"/>
      <c r="H11" s="290"/>
      <c r="I11" s="291">
        <v>1</v>
      </c>
      <c r="J11" s="292"/>
      <c r="K11" s="278"/>
      <c r="V11" s="251"/>
      <c r="AA11" s="439" t="s">
        <v>1305</v>
      </c>
      <c r="AB11" s="442">
        <v>2.2000000000000002</v>
      </c>
      <c r="AC11" s="283">
        <v>60</v>
      </c>
      <c r="AD11" s="271"/>
      <c r="AE11" s="281">
        <v>0</v>
      </c>
      <c r="AF11" s="282">
        <v>0</v>
      </c>
      <c r="AG11" s="282">
        <v>0</v>
      </c>
      <c r="AH11" s="282">
        <v>0</v>
      </c>
      <c r="AI11" s="283">
        <v>4</v>
      </c>
    </row>
    <row r="12" spans="2:35" ht="15" customHeight="1" x14ac:dyDescent="0.25">
      <c r="B12" s="293"/>
      <c r="C12" s="294"/>
      <c r="D12" s="294"/>
      <c r="E12" s="294"/>
      <c r="F12" s="294"/>
      <c r="G12" s="294"/>
      <c r="H12" s="294"/>
      <c r="I12" s="294"/>
      <c r="J12" s="278"/>
      <c r="K12" s="278"/>
      <c r="V12" s="251"/>
      <c r="AA12" s="439" t="s">
        <v>1306</v>
      </c>
      <c r="AB12" s="442">
        <v>2.5</v>
      </c>
      <c r="AC12" s="283">
        <v>300</v>
      </c>
      <c r="AD12" s="271"/>
      <c r="AE12" s="281">
        <v>0.1</v>
      </c>
      <c r="AF12" s="282">
        <v>0</v>
      </c>
      <c r="AG12" s="282">
        <v>0</v>
      </c>
      <c r="AH12" s="282">
        <v>0</v>
      </c>
      <c r="AI12" s="283">
        <v>0</v>
      </c>
    </row>
    <row r="13" spans="2:35" ht="15" customHeight="1" x14ac:dyDescent="0.25">
      <c r="B13" s="295" t="s">
        <v>1307</v>
      </c>
      <c r="C13" s="296"/>
      <c r="D13" s="296"/>
      <c r="E13" s="296"/>
      <c r="F13" s="296"/>
      <c r="G13" s="296"/>
      <c r="H13" s="296"/>
      <c r="I13" s="296"/>
      <c r="J13" s="278"/>
      <c r="K13" s="278"/>
      <c r="V13" s="251"/>
      <c r="AA13" s="440" t="s">
        <v>1308</v>
      </c>
      <c r="AB13" s="443">
        <v>2.5</v>
      </c>
      <c r="AC13" s="297">
        <v>480</v>
      </c>
      <c r="AD13" s="271"/>
      <c r="AE13" s="298">
        <v>0</v>
      </c>
      <c r="AF13" s="299">
        <v>0</v>
      </c>
      <c r="AG13" s="299">
        <v>0</v>
      </c>
      <c r="AH13" s="299">
        <v>0</v>
      </c>
      <c r="AI13" s="297">
        <v>1</v>
      </c>
    </row>
    <row r="14" spans="2:35" x14ac:dyDescent="0.25">
      <c r="B14" s="289" t="s">
        <v>1309</v>
      </c>
      <c r="C14" s="290"/>
      <c r="D14" s="290"/>
      <c r="E14" s="290"/>
      <c r="F14" s="290"/>
      <c r="G14" s="290"/>
      <c r="H14" s="290"/>
      <c r="I14" s="300">
        <v>365</v>
      </c>
      <c r="J14" s="278"/>
      <c r="K14" s="278"/>
      <c r="V14" s="251"/>
    </row>
    <row r="15" spans="2:35" x14ac:dyDescent="0.25">
      <c r="B15" s="255"/>
      <c r="V15" s="251"/>
      <c r="AA15" t="s">
        <v>1310</v>
      </c>
    </row>
    <row r="16" spans="2:35" x14ac:dyDescent="0.25">
      <c r="B16" s="301" t="s">
        <v>1311</v>
      </c>
      <c r="C16" s="278"/>
      <c r="D16" s="278"/>
      <c r="E16" s="278"/>
      <c r="V16" s="251"/>
      <c r="AA16" t="s">
        <v>1312</v>
      </c>
    </row>
    <row r="17" spans="2:27" x14ac:dyDescent="0.25">
      <c r="B17" s="302" t="s">
        <v>1313</v>
      </c>
      <c r="C17" s="278"/>
      <c r="D17" s="278"/>
      <c r="E17" s="278"/>
      <c r="V17" s="251"/>
      <c r="AA17" t="s">
        <v>1314</v>
      </c>
    </row>
    <row r="18" spans="2:27" x14ac:dyDescent="0.25">
      <c r="B18" s="303" t="s">
        <v>1315</v>
      </c>
      <c r="C18" s="304"/>
      <c r="D18" s="305"/>
      <c r="E18" s="306">
        <v>1.1000000000000001</v>
      </c>
      <c r="V18" s="251"/>
      <c r="AA18" t="s">
        <v>1316</v>
      </c>
    </row>
    <row r="19" spans="2:27" x14ac:dyDescent="0.25">
      <c r="B19" s="307" t="s">
        <v>1317</v>
      </c>
      <c r="C19" s="308"/>
      <c r="D19" s="309"/>
      <c r="E19" s="310">
        <v>1.45</v>
      </c>
      <c r="V19" s="251"/>
    </row>
    <row r="20" spans="2:27" x14ac:dyDescent="0.25">
      <c r="B20" s="311" t="s">
        <v>1318</v>
      </c>
      <c r="C20" s="312"/>
      <c r="D20" s="313"/>
      <c r="E20" s="314">
        <f>IFERROR(((K7*E18* (2-(I11*2)) )+(K8*2*E18)+(K7*E19)+(K8*E19))/((K7*(1+ (2-(I11*2)) )+(K8*(1+2)))),0)</f>
        <v>1.2751661918328585</v>
      </c>
      <c r="V20" s="251"/>
    </row>
    <row r="21" spans="2:27" x14ac:dyDescent="0.25">
      <c r="B21" s="255"/>
      <c r="V21" s="251"/>
    </row>
    <row r="22" spans="2:27" x14ac:dyDescent="0.25">
      <c r="B22" s="435" t="s">
        <v>1319</v>
      </c>
      <c r="V22" s="251"/>
    </row>
    <row r="23" spans="2:27" x14ac:dyDescent="0.25">
      <c r="B23" s="255" t="s">
        <v>1320</v>
      </c>
      <c r="V23" s="251"/>
    </row>
    <row r="24" spans="2:27" x14ac:dyDescent="0.25">
      <c r="B24" s="255" t="s">
        <v>1321</v>
      </c>
      <c r="V24" s="251"/>
    </row>
    <row r="25" spans="2:27" x14ac:dyDescent="0.25">
      <c r="B25" s="255" t="s">
        <v>1322</v>
      </c>
      <c r="V25" s="251"/>
    </row>
    <row r="26" spans="2:27" x14ac:dyDescent="0.25">
      <c r="B26" s="255" t="s">
        <v>1323</v>
      </c>
      <c r="V26" s="251"/>
    </row>
    <row r="27" spans="2:27" x14ac:dyDescent="0.25">
      <c r="B27" s="255" t="s">
        <v>1324</v>
      </c>
      <c r="V27" s="251"/>
    </row>
    <row r="28" spans="2:27" x14ac:dyDescent="0.25">
      <c r="B28" s="823"/>
      <c r="C28" s="824"/>
      <c r="D28" s="824"/>
      <c r="E28" s="824"/>
      <c r="F28" s="824"/>
      <c r="G28" s="824"/>
      <c r="H28" s="824"/>
      <c r="I28" s="824"/>
      <c r="J28" s="824"/>
      <c r="K28" s="316"/>
      <c r="L28" s="317"/>
      <c r="M28" s="317"/>
      <c r="N28" s="317"/>
      <c r="O28" s="317"/>
      <c r="P28" s="317"/>
      <c r="Q28" s="317"/>
      <c r="R28" s="317"/>
      <c r="S28" s="317"/>
      <c r="T28" s="317"/>
      <c r="U28" s="317"/>
      <c r="V28" s="318"/>
    </row>
    <row r="29" spans="2:27" x14ac:dyDescent="0.25">
      <c r="B29" s="813" t="s">
        <v>1325</v>
      </c>
      <c r="C29" s="809"/>
      <c r="D29" s="809"/>
      <c r="E29" s="809"/>
      <c r="F29" s="810"/>
      <c r="G29" s="808" t="s">
        <v>1326</v>
      </c>
      <c r="H29" s="810"/>
      <c r="I29" s="849" t="s">
        <v>1327</v>
      </c>
      <c r="J29" s="319"/>
      <c r="K29" s="808" t="s">
        <v>1328</v>
      </c>
      <c r="L29" s="809"/>
      <c r="M29" s="809"/>
      <c r="N29" s="809"/>
      <c r="O29" s="809"/>
      <c r="P29" s="810"/>
      <c r="Q29" s="319"/>
      <c r="R29" s="808" t="s">
        <v>1329</v>
      </c>
      <c r="S29" s="810"/>
      <c r="T29" s="320"/>
      <c r="U29" s="808" t="s">
        <v>1330</v>
      </c>
      <c r="V29" s="847"/>
    </row>
    <row r="30" spans="2:27" ht="38.25" x14ac:dyDescent="0.25">
      <c r="B30" s="321" t="s">
        <v>1331</v>
      </c>
      <c r="C30" s="322" t="s">
        <v>1332</v>
      </c>
      <c r="D30" s="851" t="s">
        <v>1279</v>
      </c>
      <c r="E30" s="852"/>
      <c r="F30" s="852"/>
      <c r="G30" s="323" t="s">
        <v>1333</v>
      </c>
      <c r="H30" s="324" t="s">
        <v>1334</v>
      </c>
      <c r="I30" s="850"/>
      <c r="J30" s="325"/>
      <c r="K30" s="323" t="s">
        <v>1285</v>
      </c>
      <c r="L30" s="322" t="s">
        <v>1286</v>
      </c>
      <c r="M30" s="322" t="s">
        <v>1287</v>
      </c>
      <c r="N30" s="322" t="s">
        <v>1291</v>
      </c>
      <c r="O30" s="322" t="s">
        <v>1111</v>
      </c>
      <c r="P30" s="322" t="s">
        <v>1335</v>
      </c>
      <c r="Q30" s="325"/>
      <c r="R30" s="323" t="s">
        <v>1336</v>
      </c>
      <c r="S30" s="326" t="s">
        <v>1337</v>
      </c>
      <c r="T30" s="327"/>
      <c r="U30" s="328" t="s">
        <v>1338</v>
      </c>
      <c r="V30" s="329" t="s">
        <v>1339</v>
      </c>
    </row>
    <row r="31" spans="2:27" x14ac:dyDescent="0.25">
      <c r="B31" s="330"/>
      <c r="C31" s="331"/>
      <c r="D31" s="848"/>
      <c r="E31" s="848"/>
      <c r="F31" s="848"/>
      <c r="G31" s="444" t="str">
        <f>IFERROR(VLOOKUP($C31,$AA$5:$AI$13,2,FALSE),"")</f>
        <v/>
      </c>
      <c r="H31" s="445"/>
      <c r="I31" s="446"/>
      <c r="J31" s="333"/>
      <c r="K31" s="334">
        <f>IF($D$7&gt;0,IF($C31="Toilet (male)",1+(2*(1-$I$11)),IF($C31="Toilet (female)",$AE$6,IF($C31="Urinal",2*$I$11,0))),0)</f>
        <v>0</v>
      </c>
      <c r="L31" s="335">
        <f>IF($E$7&gt;0,IF($C31="Toilet (male)",0.1+(0.4*(1-$I$11)),IF($C31="Toilet (female)",$AF$6,IF($C31="Urinal",0.4*$I$11,0))),0)</f>
        <v>0</v>
      </c>
      <c r="M31" s="336">
        <f>IF($F$7&gt;0,IF($C31="Toilet (male)",0.1+(0.1*(1-$I$11)),IF($C31="Toilet (female)",$AG$6,IF($C31="Urinal",0.1*$I$11,0))),0)</f>
        <v>0</v>
      </c>
      <c r="N31" s="335">
        <f>IF($G$7&gt;0,IF($C31="Toilet (male)",1+(2*(1-$I$11)),IF($C31="Toilet (female)",$AH$6,IF($C31="Urinal",2*$I$11,0))),0)</f>
        <v>0</v>
      </c>
      <c r="O31" s="335">
        <f>IF($H$7&gt;0,IF($C31="Toilet (male)",$AI$5,IF($C31="Toilet (female)",$AI$6,IF($C31="Urinal",$AI$7,0))),0)</f>
        <v>0</v>
      </c>
      <c r="P31" s="337"/>
      <c r="Q31" s="333"/>
      <c r="R31" s="338">
        <f>IFERROR(IF(C31="Toilet (female)",(($D$8*K31)+($E$8*L31)+($F$8*M31)+($G$8*N31)+($H$8*O31)+($I$8*P31)),(($D$7*K31)+($E$7*L31)+($F$7*M31)+($G$7*N31)+($H$7*O31)+($I$7*P31))),0)</f>
        <v>0</v>
      </c>
      <c r="S31" s="337"/>
      <c r="T31" s="339"/>
      <c r="U31" s="340">
        <f>IFERROR(IF($S31&gt;0,G31*(S31*(I31/100)),G31*(R31*(I31/100))),0)</f>
        <v>0</v>
      </c>
      <c r="V31" s="341">
        <f>IFERROR(IF($S31&gt;0,H31*(S31*(I31/100)),H31*(R31*(I31/100))),0)</f>
        <v>0</v>
      </c>
    </row>
    <row r="32" spans="2:27" x14ac:dyDescent="0.25">
      <c r="B32" s="342"/>
      <c r="C32" s="343"/>
      <c r="D32" s="817"/>
      <c r="E32" s="817"/>
      <c r="F32" s="817"/>
      <c r="G32" s="444" t="str">
        <f t="shared" ref="G32:G35" si="2">IFERROR(VLOOKUP($C32,$AA$5:$AI$13,2,FALSE),"")</f>
        <v/>
      </c>
      <c r="H32" s="447"/>
      <c r="I32" s="448"/>
      <c r="J32" s="333"/>
      <c r="K32" s="344">
        <f t="shared" ref="K32:K35" si="3">IF($D$7&gt;0,IF($C32="Toilet (male)",1+(2*(1-$I$11)),IF($C32="Toilet (female)",$AE$6,IF($C32="Urinal",2*$I$11,0))),0)</f>
        <v>0</v>
      </c>
      <c r="L32" s="345">
        <f t="shared" ref="L32:L35" si="4">IF($E$7&gt;0,IF($C32="Toilet (male)",0.1+(0.4*(1-$I$11)),IF($C32="Toilet (female)",$AF$6,IF($C32="Urinal",0.4*$I$11,0))),0)</f>
        <v>0</v>
      </c>
      <c r="M32" s="346">
        <f t="shared" ref="M32:M35" si="5">IF($F$7&gt;0,IF($C32="Toilet (male)",0.1+(0.1*(1-$I$11)),IF($C32="Toilet (female)",$AG$6,IF($C32="Urinal",0.1*$I$11,0))),0)</f>
        <v>0</v>
      </c>
      <c r="N32" s="345">
        <f t="shared" ref="N32:N35" si="6">IF($G$7&gt;0,IF($C32="Toilet (male)",1+(2*(1-$I$11)),IF($C32="Toilet (female)",$AH$6,IF($C32="Urinal",2*$I$11,0))),0)</f>
        <v>0</v>
      </c>
      <c r="O32" s="345">
        <f t="shared" ref="O32:O35" si="7">IF($H$7&gt;0,IF($C32="Toilet (male)",$AI$5,IF($C32="Toilet (female)",$AI$6,IF($C32="Urinal",$AI$7,0))),0)</f>
        <v>0</v>
      </c>
      <c r="P32" s="347"/>
      <c r="Q32" s="333"/>
      <c r="R32" s="348">
        <f t="shared" ref="R32:R35" si="8">IFERROR(IF(C32="Toilet (female)",(($D$8*K32)+($E$8*L32)+($F$8*M32)+($G$8*N32)+($H$8*O32)+($I$8*P32)),(($D$7*K32)+($E$7*L32)+($F$7*M32)+($G$7*N32)+($H$7*O32)+($I$7*P32))),0)</f>
        <v>0</v>
      </c>
      <c r="S32" s="347"/>
      <c r="T32" s="339"/>
      <c r="U32" s="349">
        <f>IFERROR(IF($S32&gt;0,G32*(S32*(I32/100)),G32*(R32*(I32/100))),0)</f>
        <v>0</v>
      </c>
      <c r="V32" s="350">
        <f>IFERROR(IF($S32&gt;0,H32*(S32*(I32/100)),H32*(R32*(I32/100))),0)</f>
        <v>0</v>
      </c>
    </row>
    <row r="33" spans="2:22" x14ac:dyDescent="0.25">
      <c r="B33" s="342"/>
      <c r="C33" s="343"/>
      <c r="D33" s="817"/>
      <c r="E33" s="817"/>
      <c r="F33" s="817"/>
      <c r="G33" s="444" t="str">
        <f t="shared" si="2"/>
        <v/>
      </c>
      <c r="H33" s="447"/>
      <c r="I33" s="448"/>
      <c r="J33" s="333"/>
      <c r="K33" s="344">
        <f t="shared" si="3"/>
        <v>0</v>
      </c>
      <c r="L33" s="345">
        <f t="shared" si="4"/>
        <v>0</v>
      </c>
      <c r="M33" s="346">
        <f t="shared" si="5"/>
        <v>0</v>
      </c>
      <c r="N33" s="345">
        <f t="shared" si="6"/>
        <v>0</v>
      </c>
      <c r="O33" s="345">
        <f t="shared" si="7"/>
        <v>0</v>
      </c>
      <c r="P33" s="347"/>
      <c r="Q33" s="333"/>
      <c r="R33" s="348">
        <f t="shared" si="8"/>
        <v>0</v>
      </c>
      <c r="S33" s="347"/>
      <c r="T33" s="339"/>
      <c r="U33" s="349">
        <f>IFERROR(IF($S33&gt;0,G33*(S33*(I33/100)),G33*(R33*(I33/100))),0)</f>
        <v>0</v>
      </c>
      <c r="V33" s="350">
        <f>IFERROR(IF($S33&gt;0,H33*(S33*(I33/100)),H33*(R33*(I33/100))),0)</f>
        <v>0</v>
      </c>
    </row>
    <row r="34" spans="2:22" x14ac:dyDescent="0.25">
      <c r="B34" s="342"/>
      <c r="C34" s="343"/>
      <c r="D34" s="817"/>
      <c r="E34" s="817"/>
      <c r="F34" s="817"/>
      <c r="G34" s="444" t="str">
        <f t="shared" si="2"/>
        <v/>
      </c>
      <c r="H34" s="447"/>
      <c r="I34" s="448"/>
      <c r="J34" s="333"/>
      <c r="K34" s="344">
        <f t="shared" si="3"/>
        <v>0</v>
      </c>
      <c r="L34" s="345">
        <f t="shared" si="4"/>
        <v>0</v>
      </c>
      <c r="M34" s="346">
        <f t="shared" si="5"/>
        <v>0</v>
      </c>
      <c r="N34" s="345">
        <f t="shared" si="6"/>
        <v>0</v>
      </c>
      <c r="O34" s="345">
        <f t="shared" si="7"/>
        <v>0</v>
      </c>
      <c r="P34" s="347"/>
      <c r="Q34" s="333"/>
      <c r="R34" s="348">
        <f t="shared" si="8"/>
        <v>0</v>
      </c>
      <c r="S34" s="347"/>
      <c r="T34" s="339"/>
      <c r="U34" s="349">
        <f>IFERROR(IF($S34&gt;0,G34*(S34*(I34/100)),G34*(R34*(I34/100))),0)</f>
        <v>0</v>
      </c>
      <c r="V34" s="350">
        <f>IFERROR(IF($S34&gt;0,H34*(S34*(I34/100)),H34*(R34*(I34/100))),0)</f>
        <v>0</v>
      </c>
    </row>
    <row r="35" spans="2:22" x14ac:dyDescent="0.25">
      <c r="B35" s="351"/>
      <c r="C35" s="352"/>
      <c r="D35" s="836"/>
      <c r="E35" s="836"/>
      <c r="F35" s="836"/>
      <c r="G35" s="444" t="str">
        <f t="shared" si="2"/>
        <v/>
      </c>
      <c r="H35" s="449"/>
      <c r="I35" s="450"/>
      <c r="J35" s="353"/>
      <c r="K35" s="354">
        <f t="shared" si="3"/>
        <v>0</v>
      </c>
      <c r="L35" s="355">
        <f t="shared" si="4"/>
        <v>0</v>
      </c>
      <c r="M35" s="356">
        <f t="shared" si="5"/>
        <v>0</v>
      </c>
      <c r="N35" s="355">
        <f t="shared" si="6"/>
        <v>0</v>
      </c>
      <c r="O35" s="355">
        <f t="shared" si="7"/>
        <v>0</v>
      </c>
      <c r="P35" s="357"/>
      <c r="Q35" s="353"/>
      <c r="R35" s="358">
        <f t="shared" si="8"/>
        <v>0</v>
      </c>
      <c r="S35" s="357"/>
      <c r="T35" s="359"/>
      <c r="U35" s="360">
        <f>IFERROR(IF($S35&gt;0,G35*(S35*(I35/100)),G35*(R35*(I35/100))),0)</f>
        <v>0</v>
      </c>
      <c r="V35" s="361">
        <f>IFERROR(IF($S35&gt;0,H35*(S35*(I35/100)),H35*(R35*(I35/100))),0)</f>
        <v>0</v>
      </c>
    </row>
    <row r="36" spans="2:22" x14ac:dyDescent="0.25">
      <c r="B36" s="303" t="s">
        <v>1340</v>
      </c>
      <c r="C36" s="362"/>
      <c r="D36" s="362"/>
      <c r="E36" s="362"/>
      <c r="F36" s="362"/>
      <c r="G36" s="362"/>
      <c r="H36" s="362"/>
      <c r="I36" s="363">
        <f>SUM($U$31:$U$35)*I14</f>
        <v>0</v>
      </c>
      <c r="J36" s="364"/>
      <c r="K36" s="365"/>
      <c r="L36" s="362"/>
      <c r="M36" s="362"/>
      <c r="N36" s="362"/>
      <c r="O36" s="362"/>
      <c r="P36" s="362"/>
      <c r="Q36" s="364"/>
      <c r="R36" s="365"/>
      <c r="S36" s="366"/>
      <c r="T36" s="364"/>
      <c r="U36" s="365"/>
      <c r="V36" s="367"/>
    </row>
    <row r="37" spans="2:22" x14ac:dyDescent="0.25">
      <c r="B37" s="311" t="s">
        <v>1341</v>
      </c>
      <c r="C37" s="368"/>
      <c r="D37" s="368"/>
      <c r="E37" s="368"/>
      <c r="F37" s="368"/>
      <c r="G37" s="368"/>
      <c r="H37" s="368"/>
      <c r="I37" s="369">
        <f>SUM($V$31:$V$35)*I14</f>
        <v>0</v>
      </c>
      <c r="J37" s="370"/>
      <c r="K37" s="371"/>
      <c r="L37" s="368"/>
      <c r="M37" s="368"/>
      <c r="N37" s="368"/>
      <c r="O37" s="368"/>
      <c r="P37" s="368"/>
      <c r="Q37" s="370"/>
      <c r="R37" s="371"/>
      <c r="S37" s="372"/>
      <c r="T37" s="370"/>
      <c r="U37" s="371"/>
      <c r="V37" s="373"/>
    </row>
    <row r="38" spans="2:22" x14ac:dyDescent="0.25">
      <c r="B38" s="374"/>
      <c r="C38" s="278"/>
      <c r="D38" s="278"/>
      <c r="E38" s="278"/>
      <c r="F38" s="278"/>
      <c r="G38" s="278"/>
      <c r="H38" s="278"/>
      <c r="I38" s="375"/>
      <c r="J38" s="375"/>
      <c r="K38" s="375"/>
      <c r="L38" s="278"/>
      <c r="M38" s="278"/>
      <c r="N38" s="278"/>
      <c r="O38" s="376"/>
      <c r="P38" s="278"/>
      <c r="Q38" s="278"/>
      <c r="R38" s="278"/>
      <c r="S38" s="278"/>
      <c r="T38" s="278"/>
      <c r="U38" s="278"/>
      <c r="V38" s="315"/>
    </row>
    <row r="39" spans="2:22" x14ac:dyDescent="0.25">
      <c r="B39" s="455" t="s">
        <v>1342</v>
      </c>
      <c r="C39" s="278"/>
      <c r="D39" s="278"/>
      <c r="E39" s="278"/>
      <c r="F39" s="278"/>
      <c r="G39" s="278"/>
      <c r="H39" s="278"/>
      <c r="I39" s="375"/>
      <c r="J39" s="375"/>
      <c r="K39" s="375"/>
      <c r="L39" s="278"/>
      <c r="M39" s="278"/>
      <c r="N39" s="278"/>
      <c r="O39" s="376"/>
      <c r="P39" s="278"/>
      <c r="Q39" s="278"/>
      <c r="R39" s="278"/>
      <c r="S39" s="278"/>
      <c r="T39" s="278"/>
      <c r="U39" s="278"/>
      <c r="V39" s="315"/>
    </row>
    <row r="40" spans="2:22" ht="15" customHeight="1" x14ac:dyDescent="0.25">
      <c r="B40" s="454" t="s">
        <v>1320</v>
      </c>
      <c r="C40" s="452"/>
      <c r="D40" s="452"/>
      <c r="E40" s="452"/>
      <c r="F40" s="452"/>
      <c r="G40" s="452"/>
      <c r="H40" s="452"/>
      <c r="I40" s="452"/>
      <c r="J40" s="452"/>
      <c r="K40" s="452"/>
      <c r="L40" s="278"/>
      <c r="M40" s="278"/>
      <c r="N40" s="278"/>
      <c r="O40" s="376"/>
      <c r="P40" s="278"/>
      <c r="Q40" s="278"/>
      <c r="R40" s="278"/>
      <c r="S40" s="278"/>
      <c r="T40" s="278"/>
      <c r="U40" s="278"/>
      <c r="V40" s="315"/>
    </row>
    <row r="41" spans="2:22" x14ac:dyDescent="0.25">
      <c r="B41" s="453" t="s">
        <v>1343</v>
      </c>
      <c r="C41" s="278"/>
      <c r="D41" s="278"/>
      <c r="E41" s="278"/>
      <c r="F41" s="278"/>
      <c r="G41" s="278"/>
      <c r="H41" s="278"/>
      <c r="I41" s="375"/>
      <c r="J41" s="375"/>
      <c r="K41" s="375"/>
      <c r="L41" s="278"/>
      <c r="M41" s="278"/>
      <c r="N41" s="278"/>
      <c r="O41" s="376"/>
      <c r="P41" s="278"/>
      <c r="Q41" s="278"/>
      <c r="R41" s="278"/>
      <c r="S41" s="278"/>
      <c r="T41" s="278"/>
      <c r="U41" s="278"/>
      <c r="V41" s="315"/>
    </row>
    <row r="42" spans="2:22" x14ac:dyDescent="0.25">
      <c r="B42" s="453" t="s">
        <v>1344</v>
      </c>
      <c r="C42" s="278"/>
      <c r="D42" s="278"/>
      <c r="E42" s="278"/>
      <c r="F42" s="278"/>
      <c r="G42" s="278"/>
      <c r="H42" s="278"/>
      <c r="I42" s="375"/>
      <c r="J42" s="375"/>
      <c r="K42" s="375"/>
      <c r="L42" s="278"/>
      <c r="M42" s="278"/>
      <c r="N42" s="278"/>
      <c r="O42" s="376"/>
      <c r="P42" s="278"/>
      <c r="Q42" s="278"/>
      <c r="R42" s="278"/>
      <c r="S42" s="278"/>
      <c r="T42" s="278"/>
      <c r="U42" s="278"/>
      <c r="V42" s="315"/>
    </row>
    <row r="43" spans="2:22" x14ac:dyDescent="0.25">
      <c r="B43" s="453" t="s">
        <v>1345</v>
      </c>
      <c r="C43" s="278"/>
      <c r="D43" s="278"/>
      <c r="E43" s="278"/>
      <c r="F43" s="278"/>
      <c r="G43" s="278"/>
      <c r="H43" s="278"/>
      <c r="I43" s="375"/>
      <c r="J43" s="375"/>
      <c r="K43" s="375"/>
      <c r="L43" s="278"/>
      <c r="M43" s="278"/>
      <c r="N43" s="278"/>
      <c r="O43" s="376"/>
      <c r="P43" s="278"/>
      <c r="Q43" s="278"/>
      <c r="R43" s="278"/>
      <c r="S43" s="278"/>
      <c r="T43" s="278"/>
      <c r="U43" s="278"/>
      <c r="V43" s="315"/>
    </row>
    <row r="44" spans="2:22" x14ac:dyDescent="0.25">
      <c r="B44" s="453" t="s">
        <v>1346</v>
      </c>
      <c r="C44" s="278"/>
      <c r="D44" s="278"/>
      <c r="E44" s="278"/>
      <c r="F44" s="278"/>
      <c r="G44" s="278"/>
      <c r="H44" s="278"/>
      <c r="I44" s="375"/>
      <c r="J44" s="375"/>
      <c r="K44" s="375"/>
      <c r="L44" s="278"/>
      <c r="M44" s="278"/>
      <c r="N44" s="278"/>
      <c r="O44" s="376"/>
      <c r="P44" s="278"/>
      <c r="Q44" s="278"/>
      <c r="R44" s="278"/>
      <c r="S44" s="278"/>
      <c r="T44" s="278"/>
      <c r="U44" s="278"/>
      <c r="V44" s="315"/>
    </row>
    <row r="45" spans="2:22" x14ac:dyDescent="0.25">
      <c r="B45" s="454" t="s">
        <v>1347</v>
      </c>
      <c r="C45" s="278"/>
      <c r="D45" s="278"/>
      <c r="E45" s="278"/>
      <c r="F45" s="278"/>
      <c r="G45" s="278"/>
      <c r="H45" s="278"/>
      <c r="I45" s="278"/>
      <c r="J45" s="278"/>
      <c r="K45" s="278"/>
      <c r="L45" s="278"/>
      <c r="M45" s="278"/>
      <c r="N45" s="278"/>
      <c r="O45" s="278"/>
      <c r="P45" s="278"/>
      <c r="Q45" s="278"/>
      <c r="R45" s="278"/>
      <c r="S45" s="278"/>
      <c r="T45" s="278"/>
      <c r="U45" s="278"/>
      <c r="V45" s="315"/>
    </row>
    <row r="46" spans="2:22" x14ac:dyDescent="0.25">
      <c r="B46" s="451"/>
      <c r="C46" s="316"/>
      <c r="D46" s="316"/>
      <c r="E46" s="316"/>
      <c r="F46" s="316"/>
      <c r="G46" s="316"/>
      <c r="H46" s="316"/>
      <c r="I46" s="316"/>
      <c r="J46" s="316"/>
      <c r="K46" s="316"/>
      <c r="L46" s="316"/>
      <c r="M46" s="316"/>
      <c r="N46" s="316"/>
      <c r="O46" s="316"/>
      <c r="P46" s="316"/>
      <c r="Q46" s="316"/>
      <c r="R46" s="316"/>
      <c r="S46" s="316"/>
      <c r="T46" s="316"/>
      <c r="U46" s="316"/>
      <c r="V46" s="377"/>
    </row>
    <row r="47" spans="2:22" x14ac:dyDescent="0.25">
      <c r="B47" s="813" t="s">
        <v>1325</v>
      </c>
      <c r="C47" s="809"/>
      <c r="D47" s="810"/>
      <c r="E47" s="808" t="s">
        <v>1348</v>
      </c>
      <c r="F47" s="810"/>
      <c r="G47" s="808" t="s">
        <v>1349</v>
      </c>
      <c r="H47" s="810"/>
      <c r="I47" s="811" t="s">
        <v>1350</v>
      </c>
      <c r="J47" s="319"/>
      <c r="K47" s="808" t="s">
        <v>1328</v>
      </c>
      <c r="L47" s="809"/>
      <c r="M47" s="809"/>
      <c r="N47" s="809"/>
      <c r="O47" s="809"/>
      <c r="P47" s="810"/>
      <c r="Q47" s="378"/>
      <c r="R47" s="808" t="s">
        <v>1329</v>
      </c>
      <c r="S47" s="810"/>
      <c r="T47" s="378"/>
      <c r="U47" s="808" t="s">
        <v>1330</v>
      </c>
      <c r="V47" s="847"/>
    </row>
    <row r="48" spans="2:22" ht="38.25" x14ac:dyDescent="0.25">
      <c r="B48" s="321" t="s">
        <v>1331</v>
      </c>
      <c r="C48" s="837" t="s">
        <v>1279</v>
      </c>
      <c r="D48" s="838"/>
      <c r="E48" s="323" t="s">
        <v>1351</v>
      </c>
      <c r="F48" s="324" t="s">
        <v>1352</v>
      </c>
      <c r="G48" s="323" t="s">
        <v>1333</v>
      </c>
      <c r="H48" s="326" t="s">
        <v>1334</v>
      </c>
      <c r="I48" s="812"/>
      <c r="J48" s="325"/>
      <c r="K48" s="323" t="s">
        <v>1285</v>
      </c>
      <c r="L48" s="322" t="s">
        <v>1286</v>
      </c>
      <c r="M48" s="322" t="s">
        <v>1287</v>
      </c>
      <c r="N48" s="322" t="s">
        <v>1291</v>
      </c>
      <c r="O48" s="322" t="s">
        <v>1111</v>
      </c>
      <c r="P48" s="322" t="s">
        <v>1335</v>
      </c>
      <c r="Q48" s="325"/>
      <c r="R48" s="323" t="s">
        <v>1336</v>
      </c>
      <c r="S48" s="326" t="s">
        <v>1337</v>
      </c>
      <c r="T48" s="325"/>
      <c r="U48" s="328" t="s">
        <v>1338</v>
      </c>
      <c r="V48" s="329" t="s">
        <v>1339</v>
      </c>
    </row>
    <row r="49" spans="2:22" x14ac:dyDescent="0.25">
      <c r="B49" s="379"/>
      <c r="C49" s="848" t="s">
        <v>1300</v>
      </c>
      <c r="D49" s="848"/>
      <c r="E49" s="380">
        <f>IFERROR(VLOOKUP(C49,$AA$5:$AI$13,3,FALSE),"")</f>
        <v>30</v>
      </c>
      <c r="F49" s="381"/>
      <c r="G49" s="332">
        <f>IFERROR(VLOOKUP($C49,$AA$5:$AI$13,2,FALSE),"")</f>
        <v>0.5</v>
      </c>
      <c r="H49" s="382">
        <v>0.5</v>
      </c>
      <c r="I49" s="383">
        <v>100</v>
      </c>
      <c r="J49" s="333"/>
      <c r="K49" s="338">
        <f>IF($D$8&gt;0,IFERROR(VLOOKUP($C49,$AA$5:$AI$13,5,FALSE),0),0)</f>
        <v>3</v>
      </c>
      <c r="L49" s="335">
        <f>IF($E$8&gt;0,IFERROR(VLOOKUP($C49,$AA$5:$AO$13,6,FALSE),0),0)</f>
        <v>0</v>
      </c>
      <c r="M49" s="335">
        <f>IF($F$8&gt;0,IFERROR(VLOOKUP($C49,$AA$5:$AO$13,7,FALSE),0),0)</f>
        <v>0</v>
      </c>
      <c r="N49" s="335">
        <f>IF($G$8&gt;0,IFERROR(VLOOKUP($C49,$AA$5:$AO$13,8,FALSE),0),0)</f>
        <v>0</v>
      </c>
      <c r="O49" s="335">
        <f>IF($H$8&gt;0,IFERROR(VLOOKUP($C49,$AA$5:$AO$13,9,FALSE),0),0)</f>
        <v>0</v>
      </c>
      <c r="P49" s="337"/>
      <c r="Q49" s="384"/>
      <c r="R49" s="338">
        <f>IFERROR(($D$6*K49)+($E$6*L49)+($F$6*M49)+($G$6*N49)+($H$6*O49)+($I$6*P49),0)</f>
        <v>1581</v>
      </c>
      <c r="S49" s="337"/>
      <c r="T49" s="385"/>
      <c r="U49" s="386">
        <f>IFERROR(IF(S49&gt;0,
   IF(E49="n/a",G49*(S49*(I49/100))*(60/60),
       IF(F49&gt;0,G49*(S49*(I49/100))*(F49/60), G49*(S49*(I49/100))*(E49/60))),
   IF(E49="n/a",G49*(R49*(I49/100))*(60/60),
       IF(F49&lt;0,G49*(R49*(I49/100))*(F49/60), G49*(R49*(I49/100))*(E49/60)))
),0)</f>
        <v>395.25</v>
      </c>
      <c r="V49" s="387">
        <f>IFERROR(IF(S49&gt;0,
   IF(E49="n/a",H49*(S49*(I49/100))*(60/60),
       IF(F49&gt;0,H49*(S49*(I49/100))*(F49/60), H49*(S49*(I49/100))*(E49/60))),
   IF(E49="n/a",H49*(R49*(I49/100))*(60/60),
       IF(F49&gt;0,H49*(R49*(I49/100))*(F49/60), H49*(R49*(I49/100))*(E49/60)))
),0)</f>
        <v>395.25</v>
      </c>
    </row>
    <row r="50" spans="2:22" x14ac:dyDescent="0.25">
      <c r="B50" s="388"/>
      <c r="C50" s="817"/>
      <c r="D50" s="817"/>
      <c r="E50" s="389" t="str">
        <f t="shared" ref="E50:E56" si="9">IFERROR(VLOOKUP(C50,$AA$5:$AI$13,3,FALSE),"")</f>
        <v/>
      </c>
      <c r="F50" s="390"/>
      <c r="G50" s="391" t="str">
        <f t="shared" ref="G50:G56" si="10">IFERROR(VLOOKUP($C50,$AA$5:$AI$13,2,FALSE),"")</f>
        <v/>
      </c>
      <c r="H50" s="392"/>
      <c r="I50" s="393"/>
      <c r="J50" s="333"/>
      <c r="K50" s="348">
        <f t="shared" ref="K50:K56" si="11">IF($D$8&gt;0,IFERROR(VLOOKUP($C50,$AA$5:$AI$13,5,FALSE),0),0)</f>
        <v>0</v>
      </c>
      <c r="L50" s="345">
        <f t="shared" ref="L50:L56" si="12">IF($E$8&gt;0,IFERROR(VLOOKUP($C50,$AA$5:$AO$13,6,FALSE),0),0)</f>
        <v>0</v>
      </c>
      <c r="M50" s="345">
        <f t="shared" ref="M50:M56" si="13">IF($F$8&gt;0,IFERROR(VLOOKUP($C50,$AA$5:$AO$13,7,FALSE),0),0)</f>
        <v>0</v>
      </c>
      <c r="N50" s="345">
        <f t="shared" ref="N50:N56" si="14">IF($G$8&gt;0,IFERROR(VLOOKUP($C50,$AA$5:$AO$13,8,FALSE),0),0)</f>
        <v>0</v>
      </c>
      <c r="O50" s="345">
        <f t="shared" ref="O50:O56" si="15">IF($H$8&gt;0,IFERROR(VLOOKUP($C50,$AA$5:$AO$13,9,FALSE),0),0)</f>
        <v>0</v>
      </c>
      <c r="P50" s="347"/>
      <c r="Q50" s="384"/>
      <c r="R50" s="348">
        <f t="shared" ref="R50:R56" si="16">IFERROR(($D$6*K50)+($E$6*L50)+($F$6*M50)+($G$6*N50)+($H$6*O50)+($I$6*P50),0)</f>
        <v>0</v>
      </c>
      <c r="S50" s="347"/>
      <c r="T50" s="385"/>
      <c r="U50" s="394">
        <f>IFERROR(IF(S50&gt;0,
   IF(E50="n/a",G50*(S50*(I50/100))*(60/60),
       IF(F50&gt;0,G50*(S50*(I50/100))*(F50/60), G50*(S50*(I50/100))*(E50/60))),
   IF(E50="n/a",G50*(R50*(I50/100))*(60/60),
       IF(F50&lt;0,G50*(R50*(I50/100))*(F50/60), G50*(R50*(I50/100))*(E50/60)))
),0)</f>
        <v>0</v>
      </c>
      <c r="V50" s="395">
        <f>IFERROR(IF(S50&gt;0,
   IF(E50="n/a",H50*(S50*(I50/100))*(60/60),
       IF(F50&gt;0,H50*(S50*(I50/100))*(F50/60), H50*(S50*(I50/100))*(E50/60))),
   IF(E50="n/a",H50*(R50*(I50/100))*(60/60),
       IF(F50&gt;0,H50*(R50*(I50/100))*(F50/60), H50*(R50*(I50/100))*(E50/60)))
),0)</f>
        <v>0</v>
      </c>
    </row>
    <row r="51" spans="2:22" x14ac:dyDescent="0.25">
      <c r="B51" s="388"/>
      <c r="C51" s="817"/>
      <c r="D51" s="817"/>
      <c r="E51" s="389" t="str">
        <f t="shared" si="9"/>
        <v/>
      </c>
      <c r="F51" s="390"/>
      <c r="G51" s="391" t="str">
        <f t="shared" si="10"/>
        <v/>
      </c>
      <c r="H51" s="392"/>
      <c r="I51" s="393"/>
      <c r="J51" s="333"/>
      <c r="K51" s="348">
        <f t="shared" si="11"/>
        <v>0</v>
      </c>
      <c r="L51" s="345">
        <f t="shared" si="12"/>
        <v>0</v>
      </c>
      <c r="M51" s="345">
        <f t="shared" si="13"/>
        <v>0</v>
      </c>
      <c r="N51" s="345">
        <f t="shared" si="14"/>
        <v>0</v>
      </c>
      <c r="O51" s="345">
        <f t="shared" si="15"/>
        <v>0</v>
      </c>
      <c r="P51" s="347"/>
      <c r="Q51" s="384"/>
      <c r="R51" s="348">
        <f t="shared" si="16"/>
        <v>0</v>
      </c>
      <c r="S51" s="347"/>
      <c r="T51" s="385"/>
      <c r="U51" s="394">
        <f>IFERROR(IF(S51&gt;0,
   IF(E51="n/a",G51*(S51*(I51/100))*(60/60),
       IF(F51&gt;0,G51*(S51*(I51/100))*(F51/60), G51*(S51*(I51/100))*(E51/60))),
   IF(E51="n/a",G51*(R51*(I51/100))*(60/60),
       IF(F51&lt;0,G51*(R51*(I51/100))*(F51/60), G51*(R51*(I51/100))*(E51/60)))
),0)</f>
        <v>0</v>
      </c>
      <c r="V51" s="395">
        <f>IFERROR(IF(S51&gt;0,
   IF(E51="n/a",H51*(S51*(I51/100))*(60/60),
       IF(F51&gt;0,H51*(S51*(I51/100))*(F51/60), H51*(S51*(I51/100))*(E51/60))),
   IF(E51="n/a",H51*(R51*(I51/100))*(60/60),
       IF(F51&gt;0,H51*(R51*(I51/100))*(F51/60), H51*(R51*(I51/100))*(E51/60)))
),0)</f>
        <v>0</v>
      </c>
    </row>
    <row r="52" spans="2:22" x14ac:dyDescent="0.25">
      <c r="B52" s="388"/>
      <c r="C52" s="817"/>
      <c r="D52" s="817"/>
      <c r="E52" s="389" t="str">
        <f t="shared" si="9"/>
        <v/>
      </c>
      <c r="F52" s="390"/>
      <c r="G52" s="391" t="str">
        <f t="shared" si="10"/>
        <v/>
      </c>
      <c r="H52" s="392"/>
      <c r="I52" s="393"/>
      <c r="J52" s="333"/>
      <c r="K52" s="348">
        <f t="shared" si="11"/>
        <v>0</v>
      </c>
      <c r="L52" s="345">
        <f t="shared" si="12"/>
        <v>0</v>
      </c>
      <c r="M52" s="345">
        <f t="shared" si="13"/>
        <v>0</v>
      </c>
      <c r="N52" s="345">
        <f t="shared" si="14"/>
        <v>0</v>
      </c>
      <c r="O52" s="345">
        <f t="shared" si="15"/>
        <v>0</v>
      </c>
      <c r="P52" s="347"/>
      <c r="Q52" s="384"/>
      <c r="R52" s="348">
        <f t="shared" si="16"/>
        <v>0</v>
      </c>
      <c r="S52" s="347"/>
      <c r="T52" s="385"/>
      <c r="U52" s="394">
        <f>IFERROR(IF(S52&gt;0,
   IF(E52="n/a",G52*(S52*(I52/100))*(60/60),
       IF(F52&gt;0,G52*(S52*(I52/100))*(F52/60), G52*(S52*(I52/100))*(E52/60))),
   IF(E52="n/a",G52*(R52*(I52/100))*(60/60),
       IF(F52&lt;0,G52*(R52*(I52/100))*(F52/60), G52*(R52*(I52/100))*(E52/60)))
),0)</f>
        <v>0</v>
      </c>
      <c r="V52" s="395">
        <f>IFERROR(IF(S52&gt;0,
   IF(E52="n/a",H52*(S52*(I52/100))*(60/60),
       IF(F52&gt;0,H52*(S52*(I52/100))*(F52/60), H52*(S52*(I52/100))*(E52/60))),
   IF(E52="n/a",H52*(R52*(I52/100))*(60/60),
       IF(F52&gt;0,H52*(R52*(I52/100))*(F52/60), H52*(R52*(I52/100))*(E52/60)))
),0)</f>
        <v>0</v>
      </c>
    </row>
    <row r="53" spans="2:22" x14ac:dyDescent="0.25">
      <c r="B53" s="388"/>
      <c r="C53" s="817"/>
      <c r="D53" s="817"/>
      <c r="E53" s="389" t="str">
        <f t="shared" si="9"/>
        <v/>
      </c>
      <c r="F53" s="390"/>
      <c r="G53" s="391" t="str">
        <f t="shared" si="10"/>
        <v/>
      </c>
      <c r="H53" s="392"/>
      <c r="I53" s="393"/>
      <c r="J53" s="333"/>
      <c r="K53" s="348">
        <f t="shared" si="11"/>
        <v>0</v>
      </c>
      <c r="L53" s="345">
        <f t="shared" si="12"/>
        <v>0</v>
      </c>
      <c r="M53" s="345">
        <f t="shared" si="13"/>
        <v>0</v>
      </c>
      <c r="N53" s="345">
        <f t="shared" si="14"/>
        <v>0</v>
      </c>
      <c r="O53" s="345">
        <f t="shared" si="15"/>
        <v>0</v>
      </c>
      <c r="P53" s="347"/>
      <c r="Q53" s="384"/>
      <c r="R53" s="348">
        <f t="shared" si="16"/>
        <v>0</v>
      </c>
      <c r="S53" s="347"/>
      <c r="T53" s="385"/>
      <c r="U53" s="394">
        <f t="shared" ref="U53:U56" si="17">IFERROR(IF(S53&gt;0,
   IF(E53="n/a",G53*(S53*(I53/100))*(60/60),
       IF(F53&gt;0,G53*(S53*(I53/100))*(F53/60), G53*(S53*(I53/100))*(E53/60))),
   IF(E53="n/a",G53*(R53*(I53/100))*(60/60),
       IF(F53&lt;0,G53*(R53*(I53/100))*(F53/60), G53*(R53*(I53/100))*(E53/60)))
),0)</f>
        <v>0</v>
      </c>
      <c r="V53" s="395">
        <f t="shared" ref="V53:V56" si="18">IFERROR(IF(S53&gt;0,
   IF(E53="n/a",H53*(S53*(I53/100))*(60/60),
       IF(F53&gt;0,H53*(S53*(I53/100))*(F53/60), H53*(S53*(I53/100))*(E53/60))),
   IF(E53="n/a",H53*(R53*(I53/100))*(60/60),
       IF(F53&gt;0,H53*(R53*(I53/100))*(F53/60), H53*(R53*(I53/100))*(E53/60)))
),0)</f>
        <v>0</v>
      </c>
    </row>
    <row r="54" spans="2:22" x14ac:dyDescent="0.25">
      <c r="B54" s="388"/>
      <c r="C54" s="817"/>
      <c r="D54" s="817"/>
      <c r="E54" s="389" t="str">
        <f t="shared" si="9"/>
        <v/>
      </c>
      <c r="F54" s="390"/>
      <c r="G54" s="391" t="str">
        <f t="shared" si="10"/>
        <v/>
      </c>
      <c r="H54" s="392"/>
      <c r="I54" s="393"/>
      <c r="J54" s="333"/>
      <c r="K54" s="348">
        <f t="shared" si="11"/>
        <v>0</v>
      </c>
      <c r="L54" s="345">
        <f t="shared" si="12"/>
        <v>0</v>
      </c>
      <c r="M54" s="345">
        <f t="shared" si="13"/>
        <v>0</v>
      </c>
      <c r="N54" s="345">
        <f t="shared" si="14"/>
        <v>0</v>
      </c>
      <c r="O54" s="345">
        <f t="shared" si="15"/>
        <v>0</v>
      </c>
      <c r="P54" s="347"/>
      <c r="Q54" s="384"/>
      <c r="R54" s="348">
        <f t="shared" si="16"/>
        <v>0</v>
      </c>
      <c r="S54" s="347"/>
      <c r="T54" s="385"/>
      <c r="U54" s="394">
        <f t="shared" si="17"/>
        <v>0</v>
      </c>
      <c r="V54" s="395">
        <f t="shared" si="18"/>
        <v>0</v>
      </c>
    </row>
    <row r="55" spans="2:22" x14ac:dyDescent="0.25">
      <c r="B55" s="388"/>
      <c r="C55" s="817"/>
      <c r="D55" s="817"/>
      <c r="E55" s="389" t="str">
        <f t="shared" si="9"/>
        <v/>
      </c>
      <c r="F55" s="390"/>
      <c r="G55" s="391" t="str">
        <f t="shared" si="10"/>
        <v/>
      </c>
      <c r="H55" s="392"/>
      <c r="I55" s="393"/>
      <c r="J55" s="333"/>
      <c r="K55" s="348">
        <f t="shared" si="11"/>
        <v>0</v>
      </c>
      <c r="L55" s="345">
        <f t="shared" si="12"/>
        <v>0</v>
      </c>
      <c r="M55" s="345">
        <f t="shared" si="13"/>
        <v>0</v>
      </c>
      <c r="N55" s="345">
        <f t="shared" si="14"/>
        <v>0</v>
      </c>
      <c r="O55" s="345">
        <f t="shared" si="15"/>
        <v>0</v>
      </c>
      <c r="P55" s="347"/>
      <c r="Q55" s="384"/>
      <c r="R55" s="348">
        <f t="shared" si="16"/>
        <v>0</v>
      </c>
      <c r="S55" s="347"/>
      <c r="T55" s="385"/>
      <c r="U55" s="394">
        <f t="shared" si="17"/>
        <v>0</v>
      </c>
      <c r="V55" s="395">
        <f t="shared" si="18"/>
        <v>0</v>
      </c>
    </row>
    <row r="56" spans="2:22" x14ac:dyDescent="0.25">
      <c r="B56" s="388"/>
      <c r="C56" s="817"/>
      <c r="D56" s="817"/>
      <c r="E56" s="389" t="str">
        <f t="shared" si="9"/>
        <v/>
      </c>
      <c r="F56" s="390"/>
      <c r="G56" s="391" t="str">
        <f t="shared" si="10"/>
        <v/>
      </c>
      <c r="H56" s="392"/>
      <c r="I56" s="393"/>
      <c r="J56" s="333"/>
      <c r="K56" s="348">
        <f t="shared" si="11"/>
        <v>0</v>
      </c>
      <c r="L56" s="345">
        <f t="shared" si="12"/>
        <v>0</v>
      </c>
      <c r="M56" s="345">
        <f t="shared" si="13"/>
        <v>0</v>
      </c>
      <c r="N56" s="345">
        <f t="shared" si="14"/>
        <v>0</v>
      </c>
      <c r="O56" s="345">
        <f t="shared" si="15"/>
        <v>0</v>
      </c>
      <c r="P56" s="347"/>
      <c r="Q56" s="384"/>
      <c r="R56" s="348">
        <f t="shared" si="16"/>
        <v>0</v>
      </c>
      <c r="S56" s="347"/>
      <c r="T56" s="385"/>
      <c r="U56" s="394">
        <f t="shared" si="17"/>
        <v>0</v>
      </c>
      <c r="V56" s="395">
        <f t="shared" si="18"/>
        <v>0</v>
      </c>
    </row>
    <row r="57" spans="2:22" x14ac:dyDescent="0.25">
      <c r="B57" s="303" t="s">
        <v>1340</v>
      </c>
      <c r="C57" s="362"/>
      <c r="D57" s="362"/>
      <c r="E57" s="362"/>
      <c r="F57" s="362"/>
      <c r="G57" s="362"/>
      <c r="H57" s="362"/>
      <c r="I57" s="363">
        <f>SUM(U49:U56)*$I$14</f>
        <v>144266.25</v>
      </c>
      <c r="J57" s="364"/>
      <c r="K57" s="365"/>
      <c r="L57" s="362"/>
      <c r="M57" s="362"/>
      <c r="N57" s="362"/>
      <c r="O57" s="362"/>
      <c r="P57" s="362"/>
      <c r="Q57" s="364"/>
      <c r="R57" s="365"/>
      <c r="S57" s="366"/>
      <c r="T57" s="364"/>
      <c r="U57" s="365"/>
      <c r="V57" s="367"/>
    </row>
    <row r="58" spans="2:22" x14ac:dyDescent="0.25">
      <c r="B58" s="456" t="s">
        <v>1341</v>
      </c>
      <c r="C58" s="396"/>
      <c r="D58" s="396"/>
      <c r="E58" s="396"/>
      <c r="F58" s="396"/>
      <c r="G58" s="396"/>
      <c r="H58" s="396"/>
      <c r="I58" s="397">
        <f>SUM(V49:V56)*$I$14</f>
        <v>144266.25</v>
      </c>
      <c r="J58" s="398"/>
      <c r="K58" s="399"/>
      <c r="L58" s="396"/>
      <c r="M58" s="396"/>
      <c r="N58" s="396"/>
      <c r="O58" s="396"/>
      <c r="P58" s="396"/>
      <c r="Q58" s="398"/>
      <c r="R58" s="399"/>
      <c r="S58" s="400"/>
      <c r="T58" s="398"/>
      <c r="U58" s="399"/>
      <c r="V58" s="401"/>
    </row>
    <row r="59" spans="2:22" x14ac:dyDescent="0.25">
      <c r="B59" s="402"/>
      <c r="C59" s="278"/>
      <c r="D59" s="278"/>
      <c r="E59" s="278"/>
      <c r="F59" s="278"/>
      <c r="G59" s="278"/>
      <c r="H59" s="278"/>
      <c r="I59" s="375"/>
      <c r="J59" s="375"/>
      <c r="K59" s="375"/>
      <c r="L59" s="278"/>
      <c r="M59" s="278"/>
      <c r="N59" s="278"/>
      <c r="O59" s="376"/>
      <c r="P59" s="278"/>
      <c r="Q59" s="278"/>
      <c r="R59" s="278"/>
      <c r="S59" s="278"/>
      <c r="T59" s="278"/>
      <c r="U59" s="278"/>
      <c r="V59" s="278"/>
    </row>
    <row r="60" spans="2:22" ht="45" customHeight="1" x14ac:dyDescent="0.25"/>
    <row r="62" spans="2:22" ht="20.25" x14ac:dyDescent="0.25">
      <c r="B62" s="842" t="s">
        <v>1353</v>
      </c>
      <c r="C62" s="843"/>
      <c r="D62" s="843"/>
      <c r="E62" s="843"/>
      <c r="F62" s="843"/>
      <c r="G62" s="843"/>
      <c r="H62" s="844"/>
    </row>
    <row r="63" spans="2:22" ht="15" customHeight="1" x14ac:dyDescent="0.25">
      <c r="B63" s="814" t="s">
        <v>1354</v>
      </c>
      <c r="C63" s="800" t="s">
        <v>1355</v>
      </c>
      <c r="D63" s="801"/>
      <c r="E63" s="802"/>
      <c r="F63" s="800" t="s">
        <v>1356</v>
      </c>
      <c r="G63" s="801"/>
      <c r="H63" s="806"/>
    </row>
    <row r="64" spans="2:22" x14ac:dyDescent="0.25">
      <c r="B64" s="815"/>
      <c r="C64" s="803"/>
      <c r="D64" s="804"/>
      <c r="E64" s="805"/>
      <c r="F64" s="803"/>
      <c r="G64" s="804"/>
      <c r="H64" s="807"/>
    </row>
    <row r="65" spans="2:14" ht="38.25" x14ac:dyDescent="0.25">
      <c r="B65" s="816"/>
      <c r="C65" s="403" t="s">
        <v>1357</v>
      </c>
      <c r="D65" s="404" t="s">
        <v>1358</v>
      </c>
      <c r="E65" s="405" t="s">
        <v>1359</v>
      </c>
      <c r="F65" s="403" t="s">
        <v>1357</v>
      </c>
      <c r="G65" s="404" t="s">
        <v>1358</v>
      </c>
      <c r="H65" s="406" t="s">
        <v>1359</v>
      </c>
      <c r="K65" s="557" t="s">
        <v>1360</v>
      </c>
      <c r="L65" s="557" t="s">
        <v>1361</v>
      </c>
      <c r="M65" s="557" t="s">
        <v>1362</v>
      </c>
      <c r="N65" s="557" t="s">
        <v>1363</v>
      </c>
    </row>
    <row r="66" spans="2:14" x14ac:dyDescent="0.25">
      <c r="B66" s="407" t="s">
        <v>1364</v>
      </c>
      <c r="C66" s="459">
        <f>I42</f>
        <v>0</v>
      </c>
      <c r="D66" s="460">
        <f>I57</f>
        <v>144266.25</v>
      </c>
      <c r="E66" s="461">
        <f t="shared" ref="E66" si="19">C66+D66</f>
        <v>144266.25</v>
      </c>
      <c r="F66" s="460">
        <f>I43</f>
        <v>0</v>
      </c>
      <c r="G66" s="460">
        <f>I58</f>
        <v>144266.25</v>
      </c>
      <c r="H66" s="458">
        <f t="shared" ref="H66" si="20">F66+G66</f>
        <v>144266.25</v>
      </c>
      <c r="K66">
        <f>D66*0.3</f>
        <v>43279.875</v>
      </c>
      <c r="L66">
        <f>G66*0.3</f>
        <v>43279.875</v>
      </c>
      <c r="M66">
        <f>K66/SUM($D$6:$I$6)/(365*24)</f>
        <v>9.3749999999999997E-3</v>
      </c>
      <c r="N66">
        <f>L66/SUM($D$6:$I$6)/(365*24)</f>
        <v>9.3749999999999997E-3</v>
      </c>
    </row>
    <row r="67" spans="2:14" x14ac:dyDescent="0.25">
      <c r="B67" s="408"/>
      <c r="C67" s="409"/>
      <c r="D67" s="409"/>
      <c r="E67" s="410"/>
      <c r="F67" s="409"/>
      <c r="G67" s="409"/>
      <c r="H67" s="411"/>
    </row>
    <row r="68" spans="2:14" x14ac:dyDescent="0.25">
      <c r="B68" s="412" t="s">
        <v>1365</v>
      </c>
      <c r="C68" s="413"/>
      <c r="D68" s="413"/>
      <c r="E68" s="413"/>
      <c r="F68" s="413"/>
      <c r="G68" s="413"/>
      <c r="H68" s="457">
        <f>SUM(E66:E67)</f>
        <v>144266.25</v>
      </c>
    </row>
    <row r="69" spans="2:14" x14ac:dyDescent="0.25">
      <c r="B69" s="414" t="s">
        <v>1366</v>
      </c>
      <c r="C69" s="415"/>
      <c r="D69" s="415"/>
      <c r="E69" s="415"/>
      <c r="F69" s="415"/>
      <c r="G69" s="415"/>
      <c r="H69" s="458">
        <f>SUM(H66:H67)</f>
        <v>144266.25</v>
      </c>
    </row>
    <row r="70" spans="2:14" x14ac:dyDescent="0.25">
      <c r="B70" s="416" t="s">
        <v>1367</v>
      </c>
      <c r="C70" s="417"/>
      <c r="D70" s="417"/>
      <c r="E70" s="417"/>
      <c r="F70" s="417"/>
      <c r="G70" s="417"/>
      <c r="H70" s="418">
        <f>IF(H69=0,0,(H68-H69)/H68)</f>
        <v>0</v>
      </c>
    </row>
    <row r="73" spans="2:14" ht="20.25" x14ac:dyDescent="0.25">
      <c r="B73" s="839" t="s">
        <v>1368</v>
      </c>
      <c r="C73" s="840"/>
      <c r="D73" s="840"/>
      <c r="E73" s="840"/>
      <c r="F73" s="840"/>
      <c r="G73" s="840"/>
      <c r="H73" s="841"/>
    </row>
    <row r="74" spans="2:14" x14ac:dyDescent="0.25">
      <c r="B74" s="255"/>
      <c r="H74" s="251"/>
    </row>
    <row r="75" spans="2:14" x14ac:dyDescent="0.25">
      <c r="B75" s="419" t="s">
        <v>1369</v>
      </c>
      <c r="C75" s="420"/>
      <c r="D75" s="421"/>
      <c r="G75" s="422"/>
      <c r="H75" s="251"/>
    </row>
    <row r="76" spans="2:14" x14ac:dyDescent="0.25">
      <c r="B76" s="423"/>
      <c r="C76" s="420"/>
      <c r="D76" s="421"/>
      <c r="G76" s="424"/>
      <c r="H76" s="251"/>
    </row>
    <row r="77" spans="2:14" x14ac:dyDescent="0.25">
      <c r="B77" s="419" t="s">
        <v>1370</v>
      </c>
      <c r="C77" s="420"/>
      <c r="D77" s="421"/>
      <c r="G77" s="422"/>
      <c r="H77" s="251"/>
    </row>
    <row r="78" spans="2:14" x14ac:dyDescent="0.25">
      <c r="B78" s="255"/>
      <c r="H78" s="251"/>
    </row>
    <row r="79" spans="2:14" x14ac:dyDescent="0.25">
      <c r="B79" s="814" t="s">
        <v>1354</v>
      </c>
      <c r="C79" s="800" t="s">
        <v>1355</v>
      </c>
      <c r="D79" s="801"/>
      <c r="E79" s="802"/>
      <c r="F79" s="800" t="s">
        <v>1356</v>
      </c>
      <c r="G79" s="801"/>
      <c r="H79" s="806"/>
    </row>
    <row r="80" spans="2:14" x14ac:dyDescent="0.25">
      <c r="B80" s="815"/>
      <c r="C80" s="803"/>
      <c r="D80" s="804"/>
      <c r="E80" s="805"/>
      <c r="F80" s="803"/>
      <c r="G80" s="804"/>
      <c r="H80" s="807"/>
    </row>
    <row r="81" spans="2:8" ht="25.5" x14ac:dyDescent="0.25">
      <c r="B81" s="816"/>
      <c r="C81" s="403" t="s">
        <v>1357</v>
      </c>
      <c r="D81" s="404" t="s">
        <v>1358</v>
      </c>
      <c r="E81" s="405" t="s">
        <v>1359</v>
      </c>
      <c r="F81" s="403" t="s">
        <v>1357</v>
      </c>
      <c r="G81" s="404" t="s">
        <v>1358</v>
      </c>
      <c r="H81" s="406" t="s">
        <v>1359</v>
      </c>
    </row>
    <row r="82" spans="2:8" x14ac:dyDescent="0.25">
      <c r="B82" s="407" t="s">
        <v>1364</v>
      </c>
      <c r="C82" s="459">
        <f>I42</f>
        <v>0</v>
      </c>
      <c r="D82" s="460">
        <f>I57</f>
        <v>144266.25</v>
      </c>
      <c r="E82" s="461">
        <f t="shared" ref="E82" si="21">C82+D82</f>
        <v>144266.25</v>
      </c>
      <c r="F82" s="460">
        <f>I43</f>
        <v>0</v>
      </c>
      <c r="G82" s="460">
        <f>I58</f>
        <v>144266.25</v>
      </c>
      <c r="H82" s="458">
        <f t="shared" ref="H82" si="22">F82+G82</f>
        <v>144266.25</v>
      </c>
    </row>
    <row r="83" spans="2:8" x14ac:dyDescent="0.25">
      <c r="B83" s="408"/>
      <c r="C83" s="409"/>
      <c r="D83" s="409"/>
      <c r="E83" s="410"/>
      <c r="F83" s="409"/>
      <c r="G83" s="409"/>
      <c r="H83" s="411"/>
    </row>
    <row r="84" spans="2:8" x14ac:dyDescent="0.25">
      <c r="B84" s="412" t="s">
        <v>1365</v>
      </c>
      <c r="C84" s="425"/>
      <c r="D84" s="425"/>
      <c r="E84" s="425"/>
      <c r="F84" s="425"/>
      <c r="G84" s="426"/>
      <c r="H84" s="457">
        <f>SUM(E82:E83)</f>
        <v>144266.25</v>
      </c>
    </row>
    <row r="85" spans="2:8" x14ac:dyDescent="0.25">
      <c r="B85" s="414" t="s">
        <v>1366</v>
      </c>
      <c r="C85" s="427"/>
      <c r="D85" s="427"/>
      <c r="E85" s="427"/>
      <c r="F85" s="427"/>
      <c r="G85" s="428"/>
      <c r="H85" s="458">
        <f>SUM(H82:H83)</f>
        <v>144266.25</v>
      </c>
    </row>
    <row r="86" spans="2:8" x14ac:dyDescent="0.25">
      <c r="B86" s="414" t="s">
        <v>1371</v>
      </c>
      <c r="C86" s="427"/>
      <c r="D86" s="427"/>
      <c r="E86" s="427"/>
      <c r="F86" s="427"/>
      <c r="G86" s="428"/>
      <c r="H86" s="429">
        <f>((G75*150%)+(G77*120%))</f>
        <v>0</v>
      </c>
    </row>
    <row r="87" spans="2:8" x14ac:dyDescent="0.25">
      <c r="B87" s="414" t="s">
        <v>1372</v>
      </c>
      <c r="C87" s="427"/>
      <c r="D87" s="427"/>
      <c r="E87" s="427"/>
      <c r="F87" s="427"/>
      <c r="G87" s="428"/>
      <c r="H87" s="458">
        <f>H84*H86</f>
        <v>0</v>
      </c>
    </row>
    <row r="88" spans="2:8" x14ac:dyDescent="0.25">
      <c r="B88" s="416" t="s">
        <v>1373</v>
      </c>
      <c r="C88" s="430"/>
      <c r="D88" s="430"/>
      <c r="E88" s="430"/>
      <c r="F88" s="430"/>
      <c r="G88" s="431"/>
      <c r="H88" s="418">
        <f>IF(H87=0,0,(H87-H85)/H87)</f>
        <v>0</v>
      </c>
    </row>
  </sheetData>
  <mergeCells count="46">
    <mergeCell ref="D35:F35"/>
    <mergeCell ref="C48:D48"/>
    <mergeCell ref="B73:H73"/>
    <mergeCell ref="B62:H62"/>
    <mergeCell ref="AA3:AA4"/>
    <mergeCell ref="U47:V47"/>
    <mergeCell ref="C63:E64"/>
    <mergeCell ref="F63:H64"/>
    <mergeCell ref="K29:P29"/>
    <mergeCell ref="R29:S29"/>
    <mergeCell ref="U29:V29"/>
    <mergeCell ref="C49:D49"/>
    <mergeCell ref="C50:D50"/>
    <mergeCell ref="I29:I30"/>
    <mergeCell ref="D30:F30"/>
    <mergeCell ref="D31:F31"/>
    <mergeCell ref="AC3:AC4"/>
    <mergeCell ref="AE3:AI3"/>
    <mergeCell ref="B28:J28"/>
    <mergeCell ref="B5:C5"/>
    <mergeCell ref="B6:C6"/>
    <mergeCell ref="B7:C7"/>
    <mergeCell ref="B8:C8"/>
    <mergeCell ref="B10:K10"/>
    <mergeCell ref="C2:I4"/>
    <mergeCell ref="D32:F32"/>
    <mergeCell ref="D33:F33"/>
    <mergeCell ref="D34:F34"/>
    <mergeCell ref="G29:H29"/>
    <mergeCell ref="B29:F29"/>
    <mergeCell ref="C79:E80"/>
    <mergeCell ref="F79:H80"/>
    <mergeCell ref="K47:P47"/>
    <mergeCell ref="I47:I48"/>
    <mergeCell ref="R47:S47"/>
    <mergeCell ref="B47:D47"/>
    <mergeCell ref="E47:F47"/>
    <mergeCell ref="G47:H47"/>
    <mergeCell ref="B79:B81"/>
    <mergeCell ref="B63:B65"/>
    <mergeCell ref="C51:D51"/>
    <mergeCell ref="C52:D52"/>
    <mergeCell ref="C53:D53"/>
    <mergeCell ref="C54:D54"/>
    <mergeCell ref="C55:D55"/>
    <mergeCell ref="C56:D56"/>
  </mergeCells>
  <conditionalFormatting sqref="D7:I8">
    <cfRule type="expression" dxfId="14" priority="2">
      <formula>IF($Z$7=TRUE,TRUE,FALSE)</formula>
    </cfRule>
  </conditionalFormatting>
  <conditionalFormatting sqref="F49:F56">
    <cfRule type="expression" dxfId="13" priority="1">
      <formula>IF($E49="n/a",TRUE,FALSE)</formula>
    </cfRule>
  </conditionalFormatting>
  <dataValidations count="3">
    <dataValidation type="list" allowBlank="1" showInputMessage="1" showErrorMessage="1" sqref="D31:F35" xr:uid="{199B3F9D-B2DD-455C-8A4F-9397CF3EE84F}">
      <formula1>$AA$15:$AA$18</formula1>
    </dataValidation>
    <dataValidation type="list" allowBlank="1" showInputMessage="1" showErrorMessage="1" sqref="C31:C35" xr:uid="{35CAA3EB-A66D-44A3-985D-C0A2CBAB3329}">
      <formula1>$AA$5:$AA$7</formula1>
    </dataValidation>
    <dataValidation type="list" allowBlank="1" showInputMessage="1" showErrorMessage="1" sqref="C49:D56" xr:uid="{1E4DF9F0-EB8E-4EF1-B8E8-F4E10C659EAF}">
      <formula1>$AA$8:$AA$13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Check Box 2">
              <controlPr defaultSize="0" autoFill="0" autoLine="0" autoPict="0" macro="[0]!GenderCheckBox">
                <anchor moveWithCells="1">
                  <from>
                    <xdr:col>1</xdr:col>
                    <xdr:colOff>314325</xdr:colOff>
                    <xdr:row>0</xdr:row>
                    <xdr:rowOff>0</xdr:rowOff>
                  </from>
                  <to>
                    <xdr:col>2</xdr:col>
                    <xdr:colOff>0</xdr:colOff>
                    <xdr:row>1</xdr:row>
                    <xdr:rowOff>9525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44267-2895-4ADB-BF67-906C7753C09D}">
  <sheetPr codeName="Sheet14"/>
  <dimension ref="A1:AM140"/>
  <sheetViews>
    <sheetView workbookViewId="0">
      <selection activeCell="H51" sqref="H51"/>
    </sheetView>
  </sheetViews>
  <sheetFormatPr defaultRowHeight="15" x14ac:dyDescent="0.25"/>
  <cols>
    <col min="1" max="1" width="39.7109375" bestFit="1" customWidth="1"/>
    <col min="2" max="2" width="45.42578125" bestFit="1" customWidth="1"/>
    <col min="3" max="3" width="82.28515625" hidden="1" customWidth="1"/>
    <col min="4" max="4" width="12.28515625" bestFit="1" customWidth="1"/>
    <col min="5" max="5" width="13.85546875" bestFit="1" customWidth="1"/>
    <col min="7" max="7" width="49.140625" bestFit="1" customWidth="1"/>
    <col min="8" max="8" width="72" bestFit="1" customWidth="1"/>
    <col min="9" max="9" width="109.85546875" hidden="1" customWidth="1"/>
    <col min="10" max="10" width="17.140625" customWidth="1"/>
    <col min="11" max="12" width="17.28515625" customWidth="1"/>
    <col min="13" max="13" width="49.140625" bestFit="1" customWidth="1"/>
    <col min="14" max="14" width="72" bestFit="1" customWidth="1"/>
    <col min="15" max="15" width="109.85546875" hidden="1" customWidth="1"/>
    <col min="16" max="16" width="13.28515625" customWidth="1"/>
    <col min="17" max="17" width="15.28515625" customWidth="1"/>
    <col min="19" max="19" width="49.140625" bestFit="1" customWidth="1"/>
    <col min="20" max="20" width="72" bestFit="1" customWidth="1"/>
    <col min="21" max="21" width="109.85546875" hidden="1" customWidth="1"/>
    <col min="22" max="22" width="13.28515625" customWidth="1"/>
    <col min="23" max="23" width="15.28515625" customWidth="1"/>
    <col min="25" max="25" width="44.7109375" bestFit="1" customWidth="1"/>
    <col min="26" max="26" width="65.28515625" bestFit="1" customWidth="1"/>
    <col min="27" max="27" width="99" hidden="1" customWidth="1"/>
    <col min="28" max="28" width="12.28515625" bestFit="1" customWidth="1"/>
    <col min="29" max="29" width="13.85546875" bestFit="1" customWidth="1"/>
    <col min="31" max="31" width="41.85546875" bestFit="1" customWidth="1"/>
    <col min="32" max="33" width="26.28515625" customWidth="1"/>
    <col min="34" max="34" width="20.85546875" customWidth="1"/>
    <col min="35" max="36" width="30.85546875" bestFit="1" customWidth="1"/>
    <col min="38" max="38" width="36.5703125" bestFit="1" customWidth="1"/>
    <col min="39" max="39" width="27.42578125" customWidth="1"/>
  </cols>
  <sheetData>
    <row r="1" spans="1:39" ht="15.75" thickBot="1" x14ac:dyDescent="0.3">
      <c r="A1" t="s">
        <v>1374</v>
      </c>
    </row>
    <row r="2" spans="1:39" x14ac:dyDescent="0.25">
      <c r="A2" s="22" t="s">
        <v>1375</v>
      </c>
      <c r="B2" s="23" t="s">
        <v>1376</v>
      </c>
      <c r="C2" s="23"/>
      <c r="D2" s="23" t="s">
        <v>1377</v>
      </c>
      <c r="E2" s="24" t="s">
        <v>371</v>
      </c>
      <c r="G2" s="22" t="s">
        <v>1378</v>
      </c>
      <c r="H2" s="23" t="s">
        <v>1376</v>
      </c>
      <c r="I2" s="23"/>
      <c r="J2" s="23" t="s">
        <v>1377</v>
      </c>
      <c r="K2" s="24" t="s">
        <v>371</v>
      </c>
      <c r="M2" s="22" t="s">
        <v>1379</v>
      </c>
      <c r="N2" s="23" t="s">
        <v>1376</v>
      </c>
      <c r="O2" s="23"/>
      <c r="P2" s="23" t="s">
        <v>1377</v>
      </c>
      <c r="Q2" s="24" t="s">
        <v>371</v>
      </c>
      <c r="S2" s="22" t="s">
        <v>1380</v>
      </c>
      <c r="T2" s="23" t="s">
        <v>1376</v>
      </c>
      <c r="U2" s="23"/>
      <c r="V2" s="23" t="s">
        <v>1377</v>
      </c>
      <c r="W2" s="24" t="s">
        <v>371</v>
      </c>
      <c r="Y2" s="22" t="s">
        <v>1381</v>
      </c>
      <c r="Z2" s="23" t="s">
        <v>1376</v>
      </c>
      <c r="AA2" s="23"/>
      <c r="AB2" s="23" t="s">
        <v>1377</v>
      </c>
      <c r="AC2" s="24" t="s">
        <v>371</v>
      </c>
      <c r="AE2" s="22" t="s">
        <v>1382</v>
      </c>
      <c r="AF2" s="23" t="s">
        <v>1383</v>
      </c>
      <c r="AG2" s="23"/>
      <c r="AH2" s="23"/>
      <c r="AI2" s="782" t="s">
        <v>1384</v>
      </c>
      <c r="AJ2" s="853"/>
      <c r="AK2" s="853"/>
      <c r="AL2" s="853"/>
      <c r="AM2" s="783"/>
    </row>
    <row r="3" spans="1:39" ht="60" x14ac:dyDescent="0.25">
      <c r="A3" s="25" t="s">
        <v>1385</v>
      </c>
      <c r="C3" t="str">
        <f>IF(B3="",CONCATENATE(A3),CONCATENATE(A3," - ",B3))</f>
        <v>Common Space Types *1</v>
      </c>
      <c r="E3" s="26"/>
      <c r="G3" s="25" t="s">
        <v>1385</v>
      </c>
      <c r="I3" t="str">
        <f>IF(H3="",CONCATENATE(G3),CONCATENATE(G3," - ",H3))</f>
        <v>Common Space Types *1</v>
      </c>
      <c r="K3" s="26"/>
      <c r="M3" s="25" t="s">
        <v>1385</v>
      </c>
      <c r="O3" t="str">
        <f>IF(N3="",CONCATENATE(M3),CONCATENATE(M3," - ",N3))</f>
        <v>Common Space Types *1</v>
      </c>
      <c r="Q3" s="26"/>
      <c r="S3" s="25" t="s">
        <v>1385</v>
      </c>
      <c r="U3" t="str">
        <f>IF(T3="",CONCATENATE(S3),CONCATENATE(S3," - ",T3))</f>
        <v>Common Space Types *1</v>
      </c>
      <c r="W3" s="26"/>
      <c r="Y3" s="25" t="s">
        <v>1385</v>
      </c>
      <c r="AA3" t="str">
        <f>IF(Z3="",CONCATENATE(Y3),CONCATENATE(Y3," - ",Z3))</f>
        <v>Common Space Types *1</v>
      </c>
      <c r="AC3" s="26"/>
      <c r="AE3" s="25" t="s">
        <v>294</v>
      </c>
      <c r="AG3" t="s">
        <v>294</v>
      </c>
      <c r="AH3" s="27" t="s">
        <v>1386</v>
      </c>
      <c r="AI3" s="28" t="s">
        <v>357</v>
      </c>
      <c r="AJ3" s="27" t="s">
        <v>359</v>
      </c>
      <c r="AL3" s="27" t="s">
        <v>1387</v>
      </c>
      <c r="AM3" s="29" t="s">
        <v>358</v>
      </c>
    </row>
    <row r="4" spans="1:39" x14ac:dyDescent="0.25">
      <c r="A4" s="25" t="s">
        <v>214</v>
      </c>
      <c r="B4" t="s">
        <v>214</v>
      </c>
      <c r="C4" t="s">
        <v>214</v>
      </c>
      <c r="D4" t="s">
        <v>214</v>
      </c>
      <c r="E4" s="26" t="s">
        <v>214</v>
      </c>
      <c r="G4" s="25" t="s">
        <v>214</v>
      </c>
      <c r="H4" t="s">
        <v>214</v>
      </c>
      <c r="I4" t="s">
        <v>214</v>
      </c>
      <c r="J4" t="s">
        <v>214</v>
      </c>
      <c r="K4" s="26" t="s">
        <v>214</v>
      </c>
      <c r="M4" s="25" t="s">
        <v>214</v>
      </c>
      <c r="N4" t="s">
        <v>214</v>
      </c>
      <c r="O4" t="s">
        <v>214</v>
      </c>
      <c r="P4" t="s">
        <v>214</v>
      </c>
      <c r="Q4" s="26" t="s">
        <v>214</v>
      </c>
      <c r="S4" s="25" t="s">
        <v>214</v>
      </c>
      <c r="T4" t="s">
        <v>214</v>
      </c>
      <c r="U4" t="s">
        <v>214</v>
      </c>
      <c r="V4" t="s">
        <v>214</v>
      </c>
      <c r="W4" s="26" t="s">
        <v>214</v>
      </c>
      <c r="Y4" s="25" t="s">
        <v>214</v>
      </c>
      <c r="Z4" t="s">
        <v>214</v>
      </c>
      <c r="AA4" t="s">
        <v>214</v>
      </c>
      <c r="AB4" t="s">
        <v>214</v>
      </c>
      <c r="AC4" s="26" t="s">
        <v>214</v>
      </c>
      <c r="AE4" s="25" t="s">
        <v>214</v>
      </c>
      <c r="AG4" t="s">
        <v>214</v>
      </c>
      <c r="AH4" s="27" t="s">
        <v>214</v>
      </c>
      <c r="AI4" s="25"/>
      <c r="AL4" t="s">
        <v>214</v>
      </c>
      <c r="AM4" s="30">
        <v>0</v>
      </c>
    </row>
    <row r="5" spans="1:39" x14ac:dyDescent="0.25">
      <c r="A5" s="31" t="s">
        <v>1388</v>
      </c>
      <c r="B5" s="32"/>
      <c r="C5" s="32" t="str">
        <f t="shared" ref="C5:C67" si="0">IF(B5="",CONCATENATE(A5),CONCATENATE(A5," - ",B5))</f>
        <v>Atrium</v>
      </c>
      <c r="D5" s="33" t="s">
        <v>214</v>
      </c>
      <c r="E5" s="34" t="s">
        <v>214</v>
      </c>
      <c r="G5" s="31" t="s">
        <v>1388</v>
      </c>
      <c r="H5" s="32"/>
      <c r="I5" s="32" t="str">
        <f t="shared" ref="I5:I68" si="1">IF(H5="",CONCATENATE(G5),CONCATENATE(G5," - ",H5))</f>
        <v>Atrium</v>
      </c>
      <c r="J5" s="33" t="s">
        <v>214</v>
      </c>
      <c r="K5" s="34" t="s">
        <v>214</v>
      </c>
      <c r="L5" s="33"/>
      <c r="M5" s="31" t="s">
        <v>1388</v>
      </c>
      <c r="N5" s="32"/>
      <c r="O5" s="32" t="str">
        <f t="shared" ref="O5:O70" si="2">IF(N5="",CONCATENATE(M5),CONCATENATE(M5," - ",N5))</f>
        <v>Atrium</v>
      </c>
      <c r="P5" s="33" t="s">
        <v>214</v>
      </c>
      <c r="Q5" s="34" t="s">
        <v>214</v>
      </c>
      <c r="R5" s="33"/>
      <c r="S5" s="31" t="s">
        <v>1388</v>
      </c>
      <c r="T5" s="32"/>
      <c r="U5" s="32" t="str">
        <f t="shared" ref="U5:U70" si="3">IF(T5="",CONCATENATE(S5),CONCATENATE(S5," - ",T5))</f>
        <v>Atrium</v>
      </c>
      <c r="V5" s="33" t="s">
        <v>214</v>
      </c>
      <c r="W5" s="34" t="s">
        <v>214</v>
      </c>
      <c r="Y5" s="31" t="s">
        <v>1388</v>
      </c>
      <c r="Z5" s="32"/>
      <c r="AA5" s="32" t="str">
        <f t="shared" ref="AA5:AA68" si="4">IF(Z5="",CONCATENATE(Y5),CONCATENATE(Y5," - ",Z5))</f>
        <v>Atrium</v>
      </c>
      <c r="AB5" s="33" t="s">
        <v>214</v>
      </c>
      <c r="AC5" s="34" t="s">
        <v>214</v>
      </c>
      <c r="AE5" s="25" t="s">
        <v>1389</v>
      </c>
      <c r="AG5" t="str">
        <f>IF(AF5="",AE5,CONCATENATE(AE5," - ",AF5))</f>
        <v xml:space="preserve">Auditorium Area </v>
      </c>
      <c r="AH5" s="35">
        <v>0.7</v>
      </c>
      <c r="AI5" s="25" t="s">
        <v>1390</v>
      </c>
      <c r="AJ5" t="s">
        <v>1391</v>
      </c>
      <c r="AL5" t="s">
        <v>1391</v>
      </c>
      <c r="AM5" s="30">
        <v>0.2</v>
      </c>
    </row>
    <row r="6" spans="1:39" x14ac:dyDescent="0.25">
      <c r="A6" s="25" t="s">
        <v>1388</v>
      </c>
      <c r="B6" t="s">
        <v>1392</v>
      </c>
      <c r="C6" t="str">
        <f t="shared" si="0"/>
        <v>Atrium - First Three Floors</v>
      </c>
      <c r="D6" s="35">
        <v>0.6</v>
      </c>
      <c r="E6" s="36" t="s">
        <v>807</v>
      </c>
      <c r="G6" s="25" t="s">
        <v>1388</v>
      </c>
      <c r="H6" t="s">
        <v>1393</v>
      </c>
      <c r="I6" t="str">
        <f t="shared" si="1"/>
        <v>Atrium - First 40 ft in height</v>
      </c>
      <c r="J6" s="35" t="s">
        <v>1394</v>
      </c>
      <c r="K6" s="36" t="s">
        <v>807</v>
      </c>
      <c r="L6" s="19"/>
      <c r="M6" s="25" t="s">
        <v>1388</v>
      </c>
      <c r="N6" t="s">
        <v>1395</v>
      </c>
      <c r="O6" t="str">
        <f t="shared" si="2"/>
        <v>Atrium - &lt;20 ft in height</v>
      </c>
      <c r="P6" s="35" t="s">
        <v>1396</v>
      </c>
      <c r="Q6" s="36" t="s">
        <v>807</v>
      </c>
      <c r="R6" s="19"/>
      <c r="S6" s="25" t="s">
        <v>1388</v>
      </c>
      <c r="T6" t="s">
        <v>1395</v>
      </c>
      <c r="U6" t="str">
        <f t="shared" si="3"/>
        <v>Atrium - &lt;20 ft in height</v>
      </c>
      <c r="V6" s="35" t="s">
        <v>1396</v>
      </c>
      <c r="W6" s="36" t="s">
        <v>807</v>
      </c>
      <c r="Y6" s="25" t="s">
        <v>1388</v>
      </c>
      <c r="Z6" t="s">
        <v>1395</v>
      </c>
      <c r="AA6" t="str">
        <f t="shared" si="4"/>
        <v>Atrium - &lt;20 ft in height</v>
      </c>
      <c r="AB6" s="35">
        <v>0.39</v>
      </c>
      <c r="AC6" s="36" t="s">
        <v>807</v>
      </c>
      <c r="AE6" s="25" t="s">
        <v>1397</v>
      </c>
      <c r="AG6" t="str">
        <f t="shared" ref="AG6:AG69" si="5">IF(AF6="",AE6,CONCATENATE(AE6," - ",AF6))</f>
        <v>Auto Repair / Maintenance Area</v>
      </c>
      <c r="AH6" s="35">
        <v>0.55000000000000004</v>
      </c>
      <c r="AI6" s="25" t="s">
        <v>1398</v>
      </c>
      <c r="AL6" t="s">
        <v>1399</v>
      </c>
      <c r="AM6" s="30" t="s">
        <v>1400</v>
      </c>
    </row>
    <row r="7" spans="1:39" x14ac:dyDescent="0.25">
      <c r="A7" s="25" t="s">
        <v>1388</v>
      </c>
      <c r="B7" t="s">
        <v>1401</v>
      </c>
      <c r="C7" t="str">
        <f t="shared" si="0"/>
        <v>Atrium - Each Additional Floor</v>
      </c>
      <c r="D7" s="35">
        <v>0.2</v>
      </c>
      <c r="E7" s="36">
        <v>11</v>
      </c>
      <c r="G7" s="25" t="s">
        <v>1388</v>
      </c>
      <c r="H7" t="s">
        <v>1402</v>
      </c>
      <c r="I7" t="str">
        <f t="shared" si="1"/>
        <v>Atrium - Height above 40 ft</v>
      </c>
      <c r="J7" s="35" t="s">
        <v>1403</v>
      </c>
      <c r="K7" s="36">
        <v>11</v>
      </c>
      <c r="L7" s="19"/>
      <c r="M7" s="25" t="s">
        <v>1388</v>
      </c>
      <c r="N7" t="s">
        <v>1404</v>
      </c>
      <c r="O7" t="str">
        <f t="shared" si="2"/>
        <v>Atrium - &gt;=20ft and &lt;=40ft in height</v>
      </c>
      <c r="P7" s="35" t="s">
        <v>1396</v>
      </c>
      <c r="Q7" s="36" t="s">
        <v>807</v>
      </c>
      <c r="R7" s="19"/>
      <c r="S7" s="25" t="s">
        <v>1388</v>
      </c>
      <c r="T7" t="s">
        <v>1404</v>
      </c>
      <c r="U7" t="str">
        <f t="shared" si="3"/>
        <v>Atrium - &gt;=20ft and &lt;=40ft in height</v>
      </c>
      <c r="V7" s="35" t="s">
        <v>1396</v>
      </c>
      <c r="W7" s="36" t="s">
        <v>807</v>
      </c>
      <c r="Y7" s="25" t="s">
        <v>1388</v>
      </c>
      <c r="Z7" t="s">
        <v>1404</v>
      </c>
      <c r="AA7" t="str">
        <f t="shared" si="4"/>
        <v>Atrium - &gt;=20ft and &lt;=40ft in height</v>
      </c>
      <c r="AB7" s="35">
        <v>0.48</v>
      </c>
      <c r="AC7" s="36" t="s">
        <v>807</v>
      </c>
      <c r="AE7" s="25" t="s">
        <v>1405</v>
      </c>
      <c r="AG7" t="str">
        <f t="shared" si="5"/>
        <v>Audience Seating Area</v>
      </c>
      <c r="AH7" s="35">
        <v>0.6</v>
      </c>
      <c r="AI7" s="25" t="s">
        <v>1390</v>
      </c>
      <c r="AL7" t="s">
        <v>1406</v>
      </c>
      <c r="AM7" s="30">
        <v>0.15</v>
      </c>
    </row>
    <row r="8" spans="1:39" x14ac:dyDescent="0.25">
      <c r="A8" s="31" t="s">
        <v>1405</v>
      </c>
      <c r="B8" s="32"/>
      <c r="C8" s="32" t="str">
        <f t="shared" si="0"/>
        <v>Audience Seating Area</v>
      </c>
      <c r="D8" s="37" t="s">
        <v>214</v>
      </c>
      <c r="E8" s="34" t="s">
        <v>214</v>
      </c>
      <c r="G8" s="31" t="s">
        <v>1405</v>
      </c>
      <c r="H8" s="32"/>
      <c r="I8" s="32" t="str">
        <f t="shared" si="1"/>
        <v>Audience Seating Area</v>
      </c>
      <c r="J8" s="37" t="s">
        <v>214</v>
      </c>
      <c r="K8" s="34" t="s">
        <v>214</v>
      </c>
      <c r="L8" s="33"/>
      <c r="M8" s="25" t="s">
        <v>1388</v>
      </c>
      <c r="N8" t="s">
        <v>1407</v>
      </c>
      <c r="O8" t="str">
        <f t="shared" si="2"/>
        <v>Atrium - &gt;40ft in height</v>
      </c>
      <c r="P8" s="35" t="s">
        <v>1408</v>
      </c>
      <c r="Q8" s="36" t="s">
        <v>807</v>
      </c>
      <c r="R8" s="19"/>
      <c r="S8" s="25" t="s">
        <v>1388</v>
      </c>
      <c r="T8" t="s">
        <v>1407</v>
      </c>
      <c r="U8" t="str">
        <f t="shared" si="3"/>
        <v>Atrium - &gt;40ft in height</v>
      </c>
      <c r="V8" s="35" t="s">
        <v>1408</v>
      </c>
      <c r="W8" s="36" t="s">
        <v>807</v>
      </c>
      <c r="Y8" s="25" t="s">
        <v>1388</v>
      </c>
      <c r="Z8" t="s">
        <v>1407</v>
      </c>
      <c r="AA8" t="str">
        <f t="shared" si="4"/>
        <v>Atrium - &gt;40ft in height</v>
      </c>
      <c r="AB8" s="35">
        <v>0.6</v>
      </c>
      <c r="AC8" s="36">
        <v>11</v>
      </c>
      <c r="AE8" s="25" t="s">
        <v>1409</v>
      </c>
      <c r="AG8" t="str">
        <f t="shared" si="5"/>
        <v xml:space="preserve">Beauty Salon Area </v>
      </c>
      <c r="AH8" s="35">
        <v>0.8</v>
      </c>
      <c r="AI8" s="25" t="s">
        <v>1398</v>
      </c>
      <c r="AJ8" t="s">
        <v>1390</v>
      </c>
      <c r="AL8" t="s">
        <v>1398</v>
      </c>
      <c r="AM8" s="30">
        <v>0.2</v>
      </c>
    </row>
    <row r="9" spans="1:39" x14ac:dyDescent="0.25">
      <c r="A9" s="25" t="s">
        <v>1405</v>
      </c>
      <c r="B9" t="s">
        <v>1410</v>
      </c>
      <c r="C9" t="str">
        <f t="shared" si="0"/>
        <v>Audience Seating Area - Convention Center</v>
      </c>
      <c r="D9" s="35">
        <v>0.7</v>
      </c>
      <c r="E9" s="36">
        <v>4</v>
      </c>
      <c r="G9" s="25" t="s">
        <v>1405</v>
      </c>
      <c r="H9" t="s">
        <v>1411</v>
      </c>
      <c r="I9" t="str">
        <f t="shared" si="1"/>
        <v>Audience Seating Area - Auditorium</v>
      </c>
      <c r="J9" s="35">
        <v>0.79</v>
      </c>
      <c r="K9" s="36">
        <v>6</v>
      </c>
      <c r="L9" s="19"/>
      <c r="M9" s="31" t="s">
        <v>1405</v>
      </c>
      <c r="N9" s="32"/>
      <c r="O9" s="32" t="str">
        <f t="shared" si="2"/>
        <v>Audience Seating Area</v>
      </c>
      <c r="P9" s="37" t="s">
        <v>214</v>
      </c>
      <c r="Q9" s="34" t="s">
        <v>214</v>
      </c>
      <c r="R9" s="33"/>
      <c r="S9" s="31" t="s">
        <v>1405</v>
      </c>
      <c r="T9" s="32"/>
      <c r="U9" s="32" t="str">
        <f t="shared" si="3"/>
        <v>Audience Seating Area</v>
      </c>
      <c r="V9" s="37" t="s">
        <v>214</v>
      </c>
      <c r="W9" s="34" t="s">
        <v>214</v>
      </c>
      <c r="Y9" s="31" t="s">
        <v>1405</v>
      </c>
      <c r="Z9" s="32"/>
      <c r="AA9" s="32" t="str">
        <f t="shared" si="4"/>
        <v>Audience Seating Area</v>
      </c>
      <c r="AB9" s="37" t="s">
        <v>214</v>
      </c>
      <c r="AC9" s="34" t="s">
        <v>214</v>
      </c>
      <c r="AE9" s="25" t="s">
        <v>1412</v>
      </c>
      <c r="AG9" t="str">
        <f t="shared" si="5"/>
        <v>Civic Meeting Place Area</v>
      </c>
      <c r="AH9" s="35">
        <v>1</v>
      </c>
      <c r="AI9" s="25" t="s">
        <v>1390</v>
      </c>
      <c r="AL9" t="s">
        <v>1413</v>
      </c>
      <c r="AM9" s="30" t="s">
        <v>1414</v>
      </c>
    </row>
    <row r="10" spans="1:39" x14ac:dyDescent="0.25">
      <c r="A10" s="25" t="s">
        <v>1405</v>
      </c>
      <c r="B10" t="s">
        <v>1415</v>
      </c>
      <c r="C10" t="str">
        <f t="shared" si="0"/>
        <v>Audience Seating Area - Gymnasium</v>
      </c>
      <c r="D10" s="35">
        <v>0.4</v>
      </c>
      <c r="E10" s="36">
        <v>6</v>
      </c>
      <c r="G10" s="25" t="s">
        <v>1405</v>
      </c>
      <c r="H10" t="s">
        <v>1410</v>
      </c>
      <c r="I10" t="str">
        <f t="shared" si="1"/>
        <v>Audience Seating Area - Convention Center</v>
      </c>
      <c r="J10" s="35">
        <v>0.82</v>
      </c>
      <c r="K10" s="36">
        <v>4</v>
      </c>
      <c r="L10" s="19"/>
      <c r="M10" s="25" t="s">
        <v>1405</v>
      </c>
      <c r="N10" t="s">
        <v>1411</v>
      </c>
      <c r="O10" t="str">
        <f t="shared" si="2"/>
        <v>Audience Seating Area - Auditorium</v>
      </c>
      <c r="P10" s="35">
        <v>0.63</v>
      </c>
      <c r="Q10" s="36">
        <v>6</v>
      </c>
      <c r="R10" s="19"/>
      <c r="S10" s="25" t="s">
        <v>1405</v>
      </c>
      <c r="T10" t="s">
        <v>1411</v>
      </c>
      <c r="U10" t="str">
        <f t="shared" si="3"/>
        <v>Audience Seating Area - Auditorium</v>
      </c>
      <c r="V10" s="35">
        <v>0.63</v>
      </c>
      <c r="W10" s="36">
        <v>6</v>
      </c>
      <c r="Y10" s="25" t="s">
        <v>1405</v>
      </c>
      <c r="Z10" t="s">
        <v>1411</v>
      </c>
      <c r="AA10" t="str">
        <f t="shared" si="4"/>
        <v>Audience Seating Area - Auditorium</v>
      </c>
      <c r="AB10" s="35">
        <v>0.61</v>
      </c>
      <c r="AC10" s="36">
        <v>6</v>
      </c>
      <c r="AE10" s="25" t="s">
        <v>1416</v>
      </c>
      <c r="AG10" t="str">
        <f t="shared" si="5"/>
        <v>Classroom, Lecture, Training, Vocational Area</v>
      </c>
      <c r="AH10" s="35">
        <v>0.7</v>
      </c>
      <c r="AI10" s="25" t="s">
        <v>1417</v>
      </c>
      <c r="AL10" t="s">
        <v>1418</v>
      </c>
      <c r="AM10" s="30" t="s">
        <v>1419</v>
      </c>
    </row>
    <row r="11" spans="1:39" x14ac:dyDescent="0.25">
      <c r="A11" s="25" t="s">
        <v>1405</v>
      </c>
      <c r="B11" t="s">
        <v>1420</v>
      </c>
      <c r="C11" t="str">
        <f t="shared" si="0"/>
        <v>Audience Seating Area - Motion Picture Theater</v>
      </c>
      <c r="D11" s="35">
        <v>1.2</v>
      </c>
      <c r="E11" s="36">
        <v>4</v>
      </c>
      <c r="G11" s="25" t="s">
        <v>1405</v>
      </c>
      <c r="H11" t="s">
        <v>1415</v>
      </c>
      <c r="I11" t="str">
        <f t="shared" si="1"/>
        <v>Audience Seating Area - Gymnasium</v>
      </c>
      <c r="J11" s="35">
        <v>0.43</v>
      </c>
      <c r="K11" s="36">
        <v>6</v>
      </c>
      <c r="L11" s="19"/>
      <c r="M11" s="25" t="s">
        <v>1405</v>
      </c>
      <c r="N11" t="s">
        <v>1410</v>
      </c>
      <c r="O11" t="str">
        <f t="shared" si="2"/>
        <v>Audience Seating Area - Convention Center</v>
      </c>
      <c r="P11" s="35">
        <v>0.82</v>
      </c>
      <c r="Q11" s="36">
        <v>4</v>
      </c>
      <c r="R11" s="19"/>
      <c r="S11" s="25" t="s">
        <v>1405</v>
      </c>
      <c r="T11" t="s">
        <v>1410</v>
      </c>
      <c r="U11" t="str">
        <f t="shared" si="3"/>
        <v>Audience Seating Area - Convention Center</v>
      </c>
      <c r="V11" s="35">
        <v>0.82</v>
      </c>
      <c r="W11" s="36">
        <v>4</v>
      </c>
      <c r="Y11" s="25" t="s">
        <v>1405</v>
      </c>
      <c r="Z11" t="s">
        <v>1415</v>
      </c>
      <c r="AA11" t="str">
        <f t="shared" si="4"/>
        <v>Audience Seating Area - Gymnasium</v>
      </c>
      <c r="AB11" s="35">
        <v>0.23</v>
      </c>
      <c r="AC11" s="36">
        <v>6</v>
      </c>
      <c r="AE11" s="25" t="s">
        <v>1421</v>
      </c>
      <c r="AF11" t="s">
        <v>1422</v>
      </c>
      <c r="AG11" t="str">
        <f t="shared" si="5"/>
        <v>Commercial/Industrial Storage - Warehouse</v>
      </c>
      <c r="AH11" s="35">
        <v>0.45</v>
      </c>
      <c r="AI11" s="25"/>
      <c r="AL11" t="s">
        <v>1423</v>
      </c>
      <c r="AM11" s="30" t="s">
        <v>1424</v>
      </c>
    </row>
    <row r="12" spans="1:39" x14ac:dyDescent="0.25">
      <c r="A12" s="25" t="s">
        <v>1405</v>
      </c>
      <c r="B12" t="s">
        <v>1425</v>
      </c>
      <c r="C12" t="str">
        <f t="shared" si="0"/>
        <v>Audience Seating Area - Penitentiary</v>
      </c>
      <c r="D12" s="35">
        <v>0.7</v>
      </c>
      <c r="E12" s="36">
        <v>4</v>
      </c>
      <c r="G12" s="25" t="s">
        <v>1405</v>
      </c>
      <c r="H12" t="s">
        <v>1420</v>
      </c>
      <c r="I12" t="str">
        <f t="shared" si="1"/>
        <v>Audience Seating Area - Motion Picture Theater</v>
      </c>
      <c r="J12" s="35">
        <v>1.1399999999999999</v>
      </c>
      <c r="K12" s="36">
        <v>4</v>
      </c>
      <c r="L12" s="19"/>
      <c r="M12" s="25" t="s">
        <v>1405</v>
      </c>
      <c r="N12" t="s">
        <v>1415</v>
      </c>
      <c r="O12" t="str">
        <f t="shared" si="2"/>
        <v>Audience Seating Area - Gymnasium</v>
      </c>
      <c r="P12" s="35">
        <v>0.65</v>
      </c>
      <c r="Q12" s="36">
        <v>6</v>
      </c>
      <c r="R12" s="19"/>
      <c r="S12" s="25" t="s">
        <v>1405</v>
      </c>
      <c r="T12" t="s">
        <v>1415</v>
      </c>
      <c r="U12" t="str">
        <f t="shared" si="3"/>
        <v>Audience Seating Area - Gymnasium</v>
      </c>
      <c r="V12" s="35">
        <v>0.65</v>
      </c>
      <c r="W12" s="36">
        <v>6</v>
      </c>
      <c r="Y12" s="25" t="s">
        <v>1405</v>
      </c>
      <c r="Z12" t="s">
        <v>1420</v>
      </c>
      <c r="AA12" t="str">
        <f t="shared" si="4"/>
        <v>Audience Seating Area - Motion Picture Theater</v>
      </c>
      <c r="AB12" s="35">
        <v>0.24</v>
      </c>
      <c r="AC12" s="36">
        <v>4</v>
      </c>
      <c r="AE12" s="25" t="s">
        <v>1421</v>
      </c>
      <c r="AF12" t="s">
        <v>1426</v>
      </c>
      <c r="AG12" t="str">
        <f t="shared" si="5"/>
        <v>Commercial/Industrial Storage - Shipping &amp; Handling</v>
      </c>
      <c r="AH12" s="35">
        <v>0.6</v>
      </c>
      <c r="AI12" s="25" t="s">
        <v>214</v>
      </c>
      <c r="AL12" t="s">
        <v>1390</v>
      </c>
      <c r="AM12" s="30">
        <v>0.3</v>
      </c>
    </row>
    <row r="13" spans="1:39" x14ac:dyDescent="0.25">
      <c r="A13" s="25" t="s">
        <v>1405</v>
      </c>
      <c r="B13" t="s">
        <v>1427</v>
      </c>
      <c r="C13" t="str">
        <f t="shared" si="0"/>
        <v>Audience Seating Area - Performing Arts Theater</v>
      </c>
      <c r="D13" s="35">
        <v>2.6</v>
      </c>
      <c r="E13" s="36">
        <v>8</v>
      </c>
      <c r="G13" s="25" t="s">
        <v>1405</v>
      </c>
      <c r="H13" t="s">
        <v>1425</v>
      </c>
      <c r="I13" t="str">
        <f t="shared" si="1"/>
        <v>Audience Seating Area - Penitentiary</v>
      </c>
      <c r="J13" s="35">
        <v>0.43</v>
      </c>
      <c r="K13" s="36">
        <v>4</v>
      </c>
      <c r="L13" s="19"/>
      <c r="M13" s="25" t="s">
        <v>1405</v>
      </c>
      <c r="N13" t="s">
        <v>1420</v>
      </c>
      <c r="O13" t="str">
        <f t="shared" si="2"/>
        <v>Audience Seating Area - Motion Picture Theater</v>
      </c>
      <c r="P13" s="35">
        <v>1.1399999999999999</v>
      </c>
      <c r="Q13" s="36">
        <v>4</v>
      </c>
      <c r="R13" s="19"/>
      <c r="S13" s="25" t="s">
        <v>1405</v>
      </c>
      <c r="T13" t="s">
        <v>1420</v>
      </c>
      <c r="U13" t="str">
        <f t="shared" si="3"/>
        <v>Audience Seating Area - Motion Picture Theater</v>
      </c>
      <c r="V13" s="35">
        <v>1.1399999999999999</v>
      </c>
      <c r="W13" s="36">
        <v>4</v>
      </c>
      <c r="Y13" s="25" t="s">
        <v>1405</v>
      </c>
      <c r="Z13" t="s">
        <v>1425</v>
      </c>
      <c r="AA13" t="str">
        <f t="shared" si="4"/>
        <v>Audience Seating Area - Penitentiary</v>
      </c>
      <c r="AB13" s="35">
        <v>0.67</v>
      </c>
      <c r="AC13" s="36">
        <v>4</v>
      </c>
      <c r="AE13" s="25" t="s">
        <v>377</v>
      </c>
      <c r="AG13" t="str">
        <f t="shared" si="5"/>
        <v>Convention, Conference, Multipurpose and Meeting Area</v>
      </c>
      <c r="AH13" s="35">
        <v>0.85</v>
      </c>
      <c r="AI13" s="25" t="s">
        <v>1390</v>
      </c>
      <c r="AL13" t="s">
        <v>1428</v>
      </c>
      <c r="AM13" s="30">
        <v>0.2</v>
      </c>
    </row>
    <row r="14" spans="1:39" x14ac:dyDescent="0.25">
      <c r="A14" s="25" t="s">
        <v>1405</v>
      </c>
      <c r="B14" t="s">
        <v>1429</v>
      </c>
      <c r="C14" t="str">
        <f t="shared" si="0"/>
        <v>Audience Seating Area - Religious Facility</v>
      </c>
      <c r="D14" s="35">
        <v>1.7</v>
      </c>
      <c r="E14" s="36">
        <v>4</v>
      </c>
      <c r="G14" s="25" t="s">
        <v>1405</v>
      </c>
      <c r="H14" t="s">
        <v>1427</v>
      </c>
      <c r="I14" t="str">
        <f t="shared" si="1"/>
        <v>Audience Seating Area - Performing Arts Theater</v>
      </c>
      <c r="J14" s="35">
        <v>2.4300000000000002</v>
      </c>
      <c r="K14" s="36">
        <v>8</v>
      </c>
      <c r="L14" s="19"/>
      <c r="M14" s="25" t="s">
        <v>1405</v>
      </c>
      <c r="N14" t="s">
        <v>1425</v>
      </c>
      <c r="O14" t="str">
        <f t="shared" si="2"/>
        <v>Audience Seating Area - Penitentiary</v>
      </c>
      <c r="P14" s="35">
        <v>0.28000000000000003</v>
      </c>
      <c r="Q14" s="36">
        <v>4</v>
      </c>
      <c r="R14" s="19"/>
      <c r="S14" s="25" t="s">
        <v>1405</v>
      </c>
      <c r="T14" t="s">
        <v>1425</v>
      </c>
      <c r="U14" t="str">
        <f t="shared" si="3"/>
        <v>Audience Seating Area - Penitentiary</v>
      </c>
      <c r="V14" s="35">
        <v>0.28000000000000003</v>
      </c>
      <c r="W14" s="36">
        <v>4</v>
      </c>
      <c r="Y14" s="25" t="s">
        <v>1405</v>
      </c>
      <c r="Z14" t="s">
        <v>1427</v>
      </c>
      <c r="AA14" t="str">
        <f t="shared" si="4"/>
        <v>Audience Seating Area - Performing Arts Theater</v>
      </c>
      <c r="AB14" s="35">
        <v>1.1599999999999999</v>
      </c>
      <c r="AC14" s="36">
        <v>8</v>
      </c>
      <c r="AE14" s="25" t="s">
        <v>409</v>
      </c>
      <c r="AG14" t="str">
        <f t="shared" si="5"/>
        <v>Copy Room</v>
      </c>
      <c r="AH14" s="35">
        <v>0.5</v>
      </c>
      <c r="AI14" s="25" t="s">
        <v>214</v>
      </c>
      <c r="AL14" t="s">
        <v>1430</v>
      </c>
      <c r="AM14" s="30">
        <v>0.7</v>
      </c>
    </row>
    <row r="15" spans="1:39" x14ac:dyDescent="0.25">
      <c r="A15" s="25" t="s">
        <v>1405</v>
      </c>
      <c r="B15" t="s">
        <v>1431</v>
      </c>
      <c r="C15" t="str">
        <f t="shared" si="0"/>
        <v>Audience Seating Area - Sports Arena</v>
      </c>
      <c r="D15" s="35">
        <v>0.4</v>
      </c>
      <c r="E15" s="36">
        <v>4</v>
      </c>
      <c r="G15" s="25" t="s">
        <v>1405</v>
      </c>
      <c r="H15" t="s">
        <v>1429</v>
      </c>
      <c r="I15" t="str">
        <f t="shared" si="1"/>
        <v>Audience Seating Area - Religious Facility</v>
      </c>
      <c r="J15" s="35">
        <v>1.53</v>
      </c>
      <c r="K15" s="36">
        <v>4</v>
      </c>
      <c r="L15" s="19"/>
      <c r="M15" s="25" t="s">
        <v>1405</v>
      </c>
      <c r="N15" t="s">
        <v>1427</v>
      </c>
      <c r="O15" t="str">
        <f t="shared" si="2"/>
        <v>Audience Seating Area - Performing Arts Theater</v>
      </c>
      <c r="P15" s="35">
        <v>2.4300000000000002</v>
      </c>
      <c r="Q15" s="36">
        <v>8</v>
      </c>
      <c r="R15" s="19"/>
      <c r="S15" s="25" t="s">
        <v>1405</v>
      </c>
      <c r="T15" t="s">
        <v>1427</v>
      </c>
      <c r="U15" t="str">
        <f t="shared" si="3"/>
        <v>Audience Seating Area - Performing Arts Theater</v>
      </c>
      <c r="V15" s="35">
        <v>2.0299999999999998</v>
      </c>
      <c r="W15" s="36">
        <v>8</v>
      </c>
      <c r="Y15" s="25" t="s">
        <v>1405</v>
      </c>
      <c r="Z15" t="s">
        <v>1429</v>
      </c>
      <c r="AA15" t="str">
        <f t="shared" si="4"/>
        <v>Audience Seating Area - Religious Facility</v>
      </c>
      <c r="AB15" s="35">
        <v>0.72</v>
      </c>
      <c r="AC15" s="36">
        <v>4</v>
      </c>
      <c r="AE15" s="25" t="s">
        <v>379</v>
      </c>
      <c r="AG15" t="str">
        <f t="shared" si="5"/>
        <v>Corridor Area</v>
      </c>
      <c r="AH15" s="35">
        <v>0.6</v>
      </c>
      <c r="AI15" s="25" t="s">
        <v>214</v>
      </c>
      <c r="AL15" t="s">
        <v>1432</v>
      </c>
      <c r="AM15" s="30">
        <v>0.35</v>
      </c>
    </row>
    <row r="16" spans="1:39" x14ac:dyDescent="0.25">
      <c r="A16" s="25" t="s">
        <v>1405</v>
      </c>
      <c r="B16" t="s">
        <v>1433</v>
      </c>
      <c r="C16" t="str">
        <f t="shared" si="0"/>
        <v>Audience Seating Area - Transportation</v>
      </c>
      <c r="D16" s="35">
        <v>0.5</v>
      </c>
      <c r="E16" s="36">
        <v>4</v>
      </c>
      <c r="G16" s="25" t="s">
        <v>1405</v>
      </c>
      <c r="H16" t="s">
        <v>1431</v>
      </c>
      <c r="I16" t="str">
        <f t="shared" si="1"/>
        <v>Audience Seating Area - Sports Arena</v>
      </c>
      <c r="J16" s="35">
        <v>0.43</v>
      </c>
      <c r="K16" s="36">
        <v>4</v>
      </c>
      <c r="L16" s="19"/>
      <c r="M16" s="25" t="s">
        <v>1405</v>
      </c>
      <c r="N16" t="s">
        <v>1429</v>
      </c>
      <c r="O16" t="str">
        <f t="shared" si="2"/>
        <v>Audience Seating Area - Religious Facility</v>
      </c>
      <c r="P16" s="35">
        <v>1.53</v>
      </c>
      <c r="Q16" s="36">
        <v>4</v>
      </c>
      <c r="R16" s="19"/>
      <c r="S16" s="25" t="s">
        <v>1405</v>
      </c>
      <c r="T16" t="s">
        <v>1429</v>
      </c>
      <c r="U16" t="str">
        <f t="shared" si="3"/>
        <v>Audience Seating Area - Religious Facility</v>
      </c>
      <c r="V16" s="35">
        <v>1.53</v>
      </c>
      <c r="W16" s="36">
        <v>4</v>
      </c>
      <c r="Y16" s="25" t="s">
        <v>1405</v>
      </c>
      <c r="Z16" t="s">
        <v>1431</v>
      </c>
      <c r="AA16" t="str">
        <f t="shared" si="4"/>
        <v>Audience Seating Area - Sports Arena</v>
      </c>
      <c r="AB16" s="35">
        <v>0.33</v>
      </c>
      <c r="AC16" s="36">
        <v>4</v>
      </c>
      <c r="AE16" s="25" t="s">
        <v>1434</v>
      </c>
      <c r="AF16" t="s">
        <v>1435</v>
      </c>
      <c r="AG16" t="str">
        <f t="shared" si="5"/>
        <v>Dining Area - Bar/Lounge and Fine Dining</v>
      </c>
      <c r="AH16" s="35">
        <v>0.55000000000000004</v>
      </c>
      <c r="AI16" s="25" t="s">
        <v>1390</v>
      </c>
      <c r="AL16" t="s">
        <v>1436</v>
      </c>
      <c r="AM16" s="30">
        <v>0.95</v>
      </c>
    </row>
    <row r="17" spans="1:39" x14ac:dyDescent="0.25">
      <c r="A17" s="25" t="s">
        <v>1405</v>
      </c>
      <c r="B17" t="s">
        <v>1437</v>
      </c>
      <c r="C17" t="str">
        <f t="shared" si="0"/>
        <v>Audience Seating Area - All other audience seating areas</v>
      </c>
      <c r="D17" s="35">
        <v>0.9</v>
      </c>
      <c r="E17" s="36">
        <v>4</v>
      </c>
      <c r="G17" s="25" t="s">
        <v>1405</v>
      </c>
      <c r="H17" t="s">
        <v>1433</v>
      </c>
      <c r="I17" t="str">
        <f t="shared" si="1"/>
        <v>Audience Seating Area - Transportation</v>
      </c>
      <c r="J17" s="35">
        <v>0.36</v>
      </c>
      <c r="K17" s="36">
        <v>4</v>
      </c>
      <c r="L17" s="19"/>
      <c r="M17" s="25" t="s">
        <v>1405</v>
      </c>
      <c r="N17" t="s">
        <v>1431</v>
      </c>
      <c r="O17" t="str">
        <f t="shared" si="2"/>
        <v>Audience Seating Area - Sports Arena</v>
      </c>
      <c r="P17" s="35">
        <v>0.43</v>
      </c>
      <c r="Q17" s="36">
        <v>4</v>
      </c>
      <c r="R17" s="19"/>
      <c r="S17" s="25" t="s">
        <v>1405</v>
      </c>
      <c r="T17" t="s">
        <v>1431</v>
      </c>
      <c r="U17" t="str">
        <f t="shared" si="3"/>
        <v>Audience Seating Area - Sports Arena</v>
      </c>
      <c r="V17" s="35">
        <v>0.43</v>
      </c>
      <c r="W17" s="36">
        <v>4</v>
      </c>
      <c r="Y17" s="25" t="s">
        <v>1405</v>
      </c>
      <c r="Z17" t="s">
        <v>1437</v>
      </c>
      <c r="AA17" t="str">
        <f t="shared" si="4"/>
        <v>Audience Seating Area - All other audience seating areas</v>
      </c>
      <c r="AB17" s="35">
        <v>0.23</v>
      </c>
      <c r="AC17" s="36">
        <v>4</v>
      </c>
      <c r="AE17" s="25" t="s">
        <v>1434</v>
      </c>
      <c r="AF17" t="s">
        <v>1438</v>
      </c>
      <c r="AG17" t="str">
        <f t="shared" si="5"/>
        <v>Dining Area - Cafeteria/Fast Food</v>
      </c>
      <c r="AH17" s="35">
        <v>0.4</v>
      </c>
      <c r="AI17" s="25" t="s">
        <v>1390</v>
      </c>
      <c r="AL17" t="s">
        <v>1439</v>
      </c>
      <c r="AM17" s="30">
        <v>0.1</v>
      </c>
    </row>
    <row r="18" spans="1:39" x14ac:dyDescent="0.25">
      <c r="A18" s="31" t="s">
        <v>1440</v>
      </c>
      <c r="C18" t="str">
        <f t="shared" si="0"/>
        <v>Banking Activity Area</v>
      </c>
      <c r="D18" s="35">
        <v>1.5</v>
      </c>
      <c r="E18" s="36">
        <v>6</v>
      </c>
      <c r="G18" s="25" t="s">
        <v>1405</v>
      </c>
      <c r="H18" t="s">
        <v>1437</v>
      </c>
      <c r="I18" t="str">
        <f t="shared" si="1"/>
        <v>Audience Seating Area - All other audience seating areas</v>
      </c>
      <c r="J18" s="35">
        <v>0.82</v>
      </c>
      <c r="K18" s="36">
        <v>4</v>
      </c>
      <c r="L18" s="19"/>
      <c r="M18" s="25" t="s">
        <v>1405</v>
      </c>
      <c r="N18" t="s">
        <v>1437</v>
      </c>
      <c r="O18" t="str">
        <f t="shared" si="2"/>
        <v>Audience Seating Area - All other audience seating areas</v>
      </c>
      <c r="P18" s="35">
        <v>0.43</v>
      </c>
      <c r="Q18" s="36">
        <v>4</v>
      </c>
      <c r="R18" s="19"/>
      <c r="S18" s="25" t="s">
        <v>1405</v>
      </c>
      <c r="T18" t="s">
        <v>1437</v>
      </c>
      <c r="U18" t="str">
        <f t="shared" si="3"/>
        <v>Audience Seating Area - All other audience seating areas</v>
      </c>
      <c r="V18" s="35">
        <v>0.43</v>
      </c>
      <c r="W18" s="36">
        <v>4</v>
      </c>
      <c r="Y18" s="31" t="s">
        <v>1440</v>
      </c>
      <c r="AA18" t="str">
        <f t="shared" si="4"/>
        <v>Banking Activity Area</v>
      </c>
      <c r="AB18" s="35">
        <v>0.61</v>
      </c>
      <c r="AC18" s="36">
        <v>6</v>
      </c>
      <c r="AE18" s="25" t="s">
        <v>1434</v>
      </c>
      <c r="AF18" t="s">
        <v>1441</v>
      </c>
      <c r="AG18" t="str">
        <f t="shared" si="5"/>
        <v>Dining Area - Family and Leisure</v>
      </c>
      <c r="AH18" s="35">
        <v>0.5</v>
      </c>
      <c r="AI18" s="25" t="s">
        <v>1390</v>
      </c>
      <c r="AL18" t="s">
        <v>1442</v>
      </c>
      <c r="AM18" s="30">
        <v>1</v>
      </c>
    </row>
    <row r="19" spans="1:39" x14ac:dyDescent="0.25">
      <c r="A19" s="31" t="s">
        <v>1443</v>
      </c>
      <c r="C19" t="str">
        <f t="shared" si="0"/>
        <v>Breakroom (See Lounge/Breakroom)</v>
      </c>
      <c r="D19" s="35"/>
      <c r="E19" s="36" t="s">
        <v>214</v>
      </c>
      <c r="G19" s="31" t="s">
        <v>1440</v>
      </c>
      <c r="I19" t="str">
        <f t="shared" si="1"/>
        <v>Banking Activity Area</v>
      </c>
      <c r="J19" s="35">
        <v>1.38</v>
      </c>
      <c r="K19" s="36">
        <v>6</v>
      </c>
      <c r="L19" s="19"/>
      <c r="M19" s="31" t="s">
        <v>1440</v>
      </c>
      <c r="O19" t="str">
        <f t="shared" si="2"/>
        <v>Banking Activity Area</v>
      </c>
      <c r="P19" s="35">
        <v>1.01</v>
      </c>
      <c r="Q19" s="36">
        <v>6</v>
      </c>
      <c r="R19" s="19"/>
      <c r="S19" s="31" t="s">
        <v>1440</v>
      </c>
      <c r="U19" t="str">
        <f t="shared" si="3"/>
        <v>Banking Activity Area</v>
      </c>
      <c r="V19" s="35">
        <v>0.86</v>
      </c>
      <c r="W19" s="36">
        <v>6</v>
      </c>
      <c r="Y19" s="31" t="s">
        <v>1443</v>
      </c>
      <c r="AA19" t="str">
        <f t="shared" si="4"/>
        <v>Breakroom (See Lounge/Breakroom)</v>
      </c>
      <c r="AB19" s="35" t="s">
        <v>214</v>
      </c>
      <c r="AC19" s="36" t="s">
        <v>214</v>
      </c>
      <c r="AE19" s="25" t="s">
        <v>381</v>
      </c>
      <c r="AG19" t="str">
        <f t="shared" si="5"/>
        <v>Electrical, Mechanical, Telephone Room</v>
      </c>
      <c r="AH19" s="35">
        <v>0.4</v>
      </c>
      <c r="AI19" s="25" t="s">
        <v>1398</v>
      </c>
      <c r="AL19" t="s">
        <v>1417</v>
      </c>
      <c r="AM19" s="30" t="s">
        <v>1444</v>
      </c>
    </row>
    <row r="20" spans="1:39" x14ac:dyDescent="0.25">
      <c r="A20" s="31" t="s">
        <v>1445</v>
      </c>
      <c r="B20" s="32"/>
      <c r="C20" s="32" t="str">
        <f t="shared" si="0"/>
        <v>Classroom/Lecture Hall/Training Room</v>
      </c>
      <c r="D20" s="37" t="s">
        <v>214</v>
      </c>
      <c r="E20" s="34" t="s">
        <v>214</v>
      </c>
      <c r="G20" s="31" t="s">
        <v>1443</v>
      </c>
      <c r="I20" t="str">
        <f t="shared" si="1"/>
        <v>Breakroom (See Lounge/Breakroom)</v>
      </c>
      <c r="J20" s="35"/>
      <c r="K20" s="36" t="s">
        <v>214</v>
      </c>
      <c r="L20" s="19"/>
      <c r="M20" s="31" t="s">
        <v>1443</v>
      </c>
      <c r="O20" t="str">
        <f t="shared" si="2"/>
        <v>Breakroom (See Lounge/Breakroom)</v>
      </c>
      <c r="P20" s="35" t="s">
        <v>214</v>
      </c>
      <c r="Q20" s="36" t="s">
        <v>214</v>
      </c>
      <c r="R20" s="33"/>
      <c r="S20" s="31" t="s">
        <v>1443</v>
      </c>
      <c r="U20" t="str">
        <f t="shared" si="3"/>
        <v>Breakroom (See Lounge/Breakroom)</v>
      </c>
      <c r="V20" s="35" t="s">
        <v>214</v>
      </c>
      <c r="W20" s="36" t="s">
        <v>214</v>
      </c>
      <c r="Y20" s="31" t="s">
        <v>1445</v>
      </c>
      <c r="Z20" s="32"/>
      <c r="AA20" s="32" t="str">
        <f t="shared" si="4"/>
        <v>Classroom/Lecture Hall/Training Room</v>
      </c>
      <c r="AB20" s="37" t="s">
        <v>214</v>
      </c>
      <c r="AC20" s="34" t="s">
        <v>214</v>
      </c>
      <c r="AE20" s="25" t="s">
        <v>1446</v>
      </c>
      <c r="AG20" t="str">
        <f t="shared" si="5"/>
        <v>Exercise/Fitness Center and Gymnasium Area</v>
      </c>
      <c r="AH20" s="35">
        <v>0.5</v>
      </c>
      <c r="AI20" s="25" t="s">
        <v>214</v>
      </c>
      <c r="AM20" s="26"/>
    </row>
    <row r="21" spans="1:39" x14ac:dyDescent="0.25">
      <c r="A21" s="25" t="s">
        <v>1445</v>
      </c>
      <c r="B21" t="s">
        <v>1425</v>
      </c>
      <c r="C21" t="str">
        <f t="shared" si="0"/>
        <v>Classroom/Lecture Hall/Training Room - Penitentiary</v>
      </c>
      <c r="D21" s="35">
        <v>1.3</v>
      </c>
      <c r="E21" s="36">
        <v>4</v>
      </c>
      <c r="G21" s="31" t="s">
        <v>1445</v>
      </c>
      <c r="H21" s="32"/>
      <c r="I21" s="32" t="str">
        <f t="shared" si="1"/>
        <v>Classroom/Lecture Hall/Training Room</v>
      </c>
      <c r="J21" s="37" t="s">
        <v>214</v>
      </c>
      <c r="K21" s="34" t="s">
        <v>214</v>
      </c>
      <c r="L21" s="33"/>
      <c r="M21" s="31" t="s">
        <v>1445</v>
      </c>
      <c r="N21" s="32"/>
      <c r="O21" s="32" t="str">
        <f t="shared" si="2"/>
        <v>Classroom/Lecture Hall/Training Room</v>
      </c>
      <c r="P21" s="37" t="s">
        <v>214</v>
      </c>
      <c r="Q21" s="34" t="s">
        <v>214</v>
      </c>
      <c r="R21" s="19"/>
      <c r="S21" s="31" t="s">
        <v>1445</v>
      </c>
      <c r="T21" s="32"/>
      <c r="U21" s="32" t="str">
        <f t="shared" si="3"/>
        <v>Classroom/Lecture Hall/Training Room</v>
      </c>
      <c r="V21" s="37" t="s">
        <v>214</v>
      </c>
      <c r="W21" s="34" t="s">
        <v>214</v>
      </c>
      <c r="Y21" s="25" t="s">
        <v>1445</v>
      </c>
      <c r="Z21" t="s">
        <v>1425</v>
      </c>
      <c r="AA21" t="str">
        <f t="shared" si="4"/>
        <v>Classroom/Lecture Hall/Training Room - Penitentiary</v>
      </c>
      <c r="AB21" s="35">
        <v>0.89</v>
      </c>
      <c r="AC21" s="36">
        <v>4</v>
      </c>
      <c r="AE21" s="25" t="s">
        <v>1447</v>
      </c>
      <c r="AG21" t="str">
        <f t="shared" si="5"/>
        <v xml:space="preserve">Hotel Function Area </v>
      </c>
      <c r="AH21" s="35">
        <v>0.85</v>
      </c>
      <c r="AI21" s="25" t="s">
        <v>1390</v>
      </c>
      <c r="AM21" s="26"/>
    </row>
    <row r="22" spans="1:39" x14ac:dyDescent="0.25">
      <c r="A22" s="25" t="s">
        <v>1445</v>
      </c>
      <c r="B22" t="s">
        <v>1448</v>
      </c>
      <c r="C22" t="str">
        <f t="shared" si="0"/>
        <v>Classroom/Lecture Hall/Training Room - All other classrooms/lecture halls/training rooms</v>
      </c>
      <c r="D22" s="35">
        <v>1.4</v>
      </c>
      <c r="E22" s="36">
        <v>4</v>
      </c>
      <c r="G22" s="25" t="s">
        <v>1445</v>
      </c>
      <c r="H22" t="s">
        <v>1425</v>
      </c>
      <c r="I22" t="str">
        <f t="shared" si="1"/>
        <v>Classroom/Lecture Hall/Training Room - Penitentiary</v>
      </c>
      <c r="J22" s="35">
        <v>1.34</v>
      </c>
      <c r="K22" s="36">
        <v>4</v>
      </c>
      <c r="L22" s="19"/>
      <c r="M22" s="25" t="s">
        <v>1445</v>
      </c>
      <c r="N22" t="s">
        <v>1425</v>
      </c>
      <c r="O22" t="str">
        <f t="shared" si="2"/>
        <v>Classroom/Lecture Hall/Training Room - Penitentiary</v>
      </c>
      <c r="P22" s="35">
        <v>1.34</v>
      </c>
      <c r="Q22" s="36">
        <v>4</v>
      </c>
      <c r="R22" s="19"/>
      <c r="S22" s="25" t="s">
        <v>1445</v>
      </c>
      <c r="T22" t="s">
        <v>1425</v>
      </c>
      <c r="U22" t="str">
        <f t="shared" si="3"/>
        <v>Classroom/Lecture Hall/Training Room - Penitentiary</v>
      </c>
      <c r="V22" s="35">
        <v>1.34</v>
      </c>
      <c r="W22" s="36">
        <v>4</v>
      </c>
      <c r="Y22" s="25" t="s">
        <v>1445</v>
      </c>
      <c r="Z22" t="s">
        <v>1448</v>
      </c>
      <c r="AA22" t="str">
        <f t="shared" si="4"/>
        <v>Classroom/Lecture Hall/Training Room - All other classrooms/lecture halls/training rooms</v>
      </c>
      <c r="AB22" s="35">
        <v>0.71</v>
      </c>
      <c r="AC22" s="36">
        <v>4</v>
      </c>
      <c r="AE22" s="25" t="s">
        <v>1449</v>
      </c>
      <c r="AF22" t="s">
        <v>1450</v>
      </c>
      <c r="AG22" t="str">
        <f t="shared" si="5"/>
        <v>Museum Area - Exhibition/Display</v>
      </c>
      <c r="AH22" s="35">
        <v>0.6</v>
      </c>
      <c r="AI22" s="25" t="s">
        <v>1391</v>
      </c>
      <c r="AM22" s="26"/>
    </row>
    <row r="23" spans="1:39" x14ac:dyDescent="0.25">
      <c r="A23" s="31" t="s">
        <v>378</v>
      </c>
      <c r="C23" t="str">
        <f t="shared" si="0"/>
        <v>Conference/Meeting/Multipurpose Rooms</v>
      </c>
      <c r="D23" s="35">
        <v>1.3</v>
      </c>
      <c r="E23" s="36">
        <v>6</v>
      </c>
      <c r="G23" s="25" t="s">
        <v>1445</v>
      </c>
      <c r="H23" t="s">
        <v>1448</v>
      </c>
      <c r="I23" t="str">
        <f t="shared" si="1"/>
        <v>Classroom/Lecture Hall/Training Room - All other classrooms/lecture halls/training rooms</v>
      </c>
      <c r="J23" s="35">
        <v>1.24</v>
      </c>
      <c r="K23" s="36">
        <v>4</v>
      </c>
      <c r="L23" s="19"/>
      <c r="M23" s="25" t="s">
        <v>1445</v>
      </c>
      <c r="N23" t="s">
        <v>1448</v>
      </c>
      <c r="O23" t="str">
        <f t="shared" si="2"/>
        <v>Classroom/Lecture Hall/Training Room - All other classrooms/lecture halls/training rooms</v>
      </c>
      <c r="P23" s="35">
        <v>1.24</v>
      </c>
      <c r="Q23" s="36">
        <v>4</v>
      </c>
      <c r="R23" s="19"/>
      <c r="S23" s="25" t="s">
        <v>1445</v>
      </c>
      <c r="T23" t="s">
        <v>1448</v>
      </c>
      <c r="U23" t="str">
        <f t="shared" si="3"/>
        <v>Classroom/Lecture Hall/Training Room - All other classrooms/lecture halls/training rooms</v>
      </c>
      <c r="V23" s="35">
        <v>0.92</v>
      </c>
      <c r="W23" s="36">
        <v>4</v>
      </c>
      <c r="Y23" s="31" t="s">
        <v>378</v>
      </c>
      <c r="AA23" t="str">
        <f t="shared" si="4"/>
        <v>Conference/Meeting/Multipurpose Rooms</v>
      </c>
      <c r="AB23" s="35">
        <v>0.97</v>
      </c>
      <c r="AC23" s="36">
        <v>6</v>
      </c>
      <c r="AE23" s="25" t="s">
        <v>1449</v>
      </c>
      <c r="AF23" t="s">
        <v>1451</v>
      </c>
      <c r="AG23" t="str">
        <f t="shared" si="5"/>
        <v>Museum Area - Restoration Room</v>
      </c>
      <c r="AH23" s="35">
        <v>0.75</v>
      </c>
      <c r="AI23" s="25" t="s">
        <v>1398</v>
      </c>
      <c r="AM23" s="26"/>
    </row>
    <row r="24" spans="1:39" x14ac:dyDescent="0.25">
      <c r="A24" s="31" t="s">
        <v>1452</v>
      </c>
      <c r="C24" t="str">
        <f t="shared" si="0"/>
        <v>Confinement Cells</v>
      </c>
      <c r="D24" s="35">
        <v>0.9</v>
      </c>
      <c r="E24" s="36">
        <v>6</v>
      </c>
      <c r="G24" s="31" t="s">
        <v>378</v>
      </c>
      <c r="I24" t="str">
        <f t="shared" si="1"/>
        <v>Conference/Meeting/Multipurpose Rooms</v>
      </c>
      <c r="J24" s="35">
        <v>1.23</v>
      </c>
      <c r="K24" s="36">
        <v>6</v>
      </c>
      <c r="L24" s="19"/>
      <c r="M24" s="31" t="s">
        <v>378</v>
      </c>
      <c r="O24" t="str">
        <f t="shared" si="2"/>
        <v>Conference/Meeting/Multipurpose Rooms</v>
      </c>
      <c r="P24" s="35">
        <v>1.23</v>
      </c>
      <c r="Q24" s="36">
        <v>6</v>
      </c>
      <c r="R24" s="19"/>
      <c r="S24" s="31" t="s">
        <v>378</v>
      </c>
      <c r="U24" t="str">
        <f t="shared" si="3"/>
        <v>Conference/Meeting/Multipurpose Rooms</v>
      </c>
      <c r="V24" s="35">
        <v>1.07</v>
      </c>
      <c r="W24" s="36">
        <v>6</v>
      </c>
      <c r="Y24" s="31" t="s">
        <v>1452</v>
      </c>
      <c r="AA24" t="str">
        <f t="shared" si="4"/>
        <v>Confinement Cells</v>
      </c>
      <c r="AB24" s="35">
        <v>0.7</v>
      </c>
      <c r="AC24" s="36">
        <v>6</v>
      </c>
      <c r="AE24" s="25" t="s">
        <v>1453</v>
      </c>
      <c r="AG24" t="str">
        <f t="shared" si="5"/>
        <v>Financial Transaction Area</v>
      </c>
      <c r="AH24" s="35">
        <v>0.8</v>
      </c>
      <c r="AI24" s="25" t="s">
        <v>1390</v>
      </c>
      <c r="AM24" s="26"/>
    </row>
    <row r="25" spans="1:39" x14ac:dyDescent="0.25">
      <c r="A25" s="31" t="s">
        <v>1454</v>
      </c>
      <c r="B25" s="32"/>
      <c r="C25" s="32" t="str">
        <f t="shared" si="0"/>
        <v>Corridor *2</v>
      </c>
      <c r="D25" s="37"/>
      <c r="E25" s="34" t="s">
        <v>214</v>
      </c>
      <c r="G25" s="31" t="s">
        <v>1452</v>
      </c>
      <c r="I25" t="str">
        <f t="shared" si="1"/>
        <v>Confinement Cells</v>
      </c>
      <c r="J25" s="35">
        <v>1.1000000000000001</v>
      </c>
      <c r="K25" s="36">
        <v>6</v>
      </c>
      <c r="L25" s="19"/>
      <c r="M25" s="31" t="s">
        <v>1452</v>
      </c>
      <c r="O25" t="str">
        <f t="shared" si="2"/>
        <v>Confinement Cells</v>
      </c>
      <c r="P25" s="35">
        <v>0.81</v>
      </c>
      <c r="Q25" s="36">
        <v>6</v>
      </c>
      <c r="R25" s="19"/>
      <c r="S25" s="31" t="s">
        <v>1452</v>
      </c>
      <c r="U25" t="str">
        <f t="shared" si="3"/>
        <v>Confinement Cells</v>
      </c>
      <c r="V25" s="35">
        <v>0.81</v>
      </c>
      <c r="W25" s="36">
        <v>6</v>
      </c>
      <c r="Y25" s="31" t="s">
        <v>1455</v>
      </c>
      <c r="AA25" t="str">
        <f t="shared" si="4"/>
        <v>Copy/Print Rooms</v>
      </c>
      <c r="AB25" s="35">
        <v>0.31</v>
      </c>
      <c r="AC25" s="36">
        <v>6</v>
      </c>
      <c r="AE25" s="25" t="s">
        <v>1456</v>
      </c>
      <c r="AF25" t="s">
        <v>1457</v>
      </c>
      <c r="AG25" t="str">
        <f t="shared" si="5"/>
        <v>General/Commercial &amp; Industrial Work Area - Low Bay</v>
      </c>
      <c r="AH25" s="35">
        <v>0.6</v>
      </c>
      <c r="AI25" s="25" t="s">
        <v>1398</v>
      </c>
      <c r="AM25" s="26"/>
    </row>
    <row r="26" spans="1:39" x14ac:dyDescent="0.25">
      <c r="A26" s="25" t="s">
        <v>1454</v>
      </c>
      <c r="B26" t="s">
        <v>1458</v>
      </c>
      <c r="C26" t="str">
        <f t="shared" si="0"/>
        <v>Corridor *2 - Hospital</v>
      </c>
      <c r="D26" s="35">
        <v>1</v>
      </c>
      <c r="E26" s="36" t="s">
        <v>1459</v>
      </c>
      <c r="G26" s="31" t="s">
        <v>1454</v>
      </c>
      <c r="H26" s="32"/>
      <c r="I26" s="32" t="str">
        <f t="shared" si="1"/>
        <v>Corridor *2</v>
      </c>
      <c r="J26" s="37"/>
      <c r="K26" s="34" t="s">
        <v>214</v>
      </c>
      <c r="L26" s="33"/>
      <c r="M26" s="31" t="s">
        <v>1455</v>
      </c>
      <c r="O26" t="str">
        <f t="shared" si="2"/>
        <v>Copy/Print Rooms</v>
      </c>
      <c r="P26" s="35">
        <v>0.72</v>
      </c>
      <c r="Q26" s="36">
        <v>6</v>
      </c>
      <c r="R26" s="33"/>
      <c r="S26" s="31" t="s">
        <v>1455</v>
      </c>
      <c r="U26" t="str">
        <f t="shared" si="3"/>
        <v>Copy/Print Rooms</v>
      </c>
      <c r="V26" s="35">
        <v>0.56000000000000005</v>
      </c>
      <c r="W26" s="36">
        <v>6</v>
      </c>
      <c r="Y26" s="31" t="s">
        <v>1454</v>
      </c>
      <c r="Z26" s="32"/>
      <c r="AA26" s="32" t="str">
        <f t="shared" si="4"/>
        <v>Corridor *2</v>
      </c>
      <c r="AB26" s="37" t="s">
        <v>214</v>
      </c>
      <c r="AC26" s="34" t="s">
        <v>214</v>
      </c>
      <c r="AE26" s="25" t="s">
        <v>1456</v>
      </c>
      <c r="AF26" t="s">
        <v>1460</v>
      </c>
      <c r="AG26" t="str">
        <f t="shared" si="5"/>
        <v>General/Commercial &amp; Industrial Work Area - High Bay</v>
      </c>
      <c r="AH26" s="35">
        <v>0.65</v>
      </c>
      <c r="AI26" s="25" t="s">
        <v>1398</v>
      </c>
      <c r="AM26" s="26"/>
    </row>
    <row r="27" spans="1:39" x14ac:dyDescent="0.25">
      <c r="A27" s="25" t="s">
        <v>1454</v>
      </c>
      <c r="B27" t="s">
        <v>1461</v>
      </c>
      <c r="C27" t="str">
        <f t="shared" si="0"/>
        <v>Corridor *2 - Manufacturing</v>
      </c>
      <c r="D27" s="35">
        <v>0.5</v>
      </c>
      <c r="E27" s="36" t="s">
        <v>1459</v>
      </c>
      <c r="G27" s="25" t="s">
        <v>1454</v>
      </c>
      <c r="H27" t="s">
        <v>1458</v>
      </c>
      <c r="I27" t="str">
        <f t="shared" si="1"/>
        <v>Corridor *2 - Hospital</v>
      </c>
      <c r="J27" s="35">
        <v>0.89</v>
      </c>
      <c r="K27" s="36" t="s">
        <v>1459</v>
      </c>
      <c r="L27" s="19"/>
      <c r="M27" s="31" t="s">
        <v>1454</v>
      </c>
      <c r="N27" s="32"/>
      <c r="O27" s="32" t="str">
        <f t="shared" si="2"/>
        <v>Corridor *2</v>
      </c>
      <c r="P27" s="37" t="s">
        <v>214</v>
      </c>
      <c r="Q27" s="34" t="s">
        <v>214</v>
      </c>
      <c r="R27" s="19"/>
      <c r="S27" s="31" t="s">
        <v>1454</v>
      </c>
      <c r="T27" s="32"/>
      <c r="U27" s="32" t="str">
        <f t="shared" si="3"/>
        <v>Corridor *2</v>
      </c>
      <c r="V27" s="37" t="s">
        <v>214</v>
      </c>
      <c r="W27" s="34" t="s">
        <v>214</v>
      </c>
      <c r="Y27" s="25" t="s">
        <v>1454</v>
      </c>
      <c r="Z27" t="s">
        <v>1462</v>
      </c>
      <c r="AA27" t="str">
        <f t="shared" si="4"/>
        <v>Corridor *2 - Facility for the visually impaired (an not used primarily by the staff) *3</v>
      </c>
      <c r="AB27" s="35">
        <v>0.71</v>
      </c>
      <c r="AC27" s="36" t="s">
        <v>1459</v>
      </c>
      <c r="AE27" s="25" t="s">
        <v>1456</v>
      </c>
      <c r="AF27" t="s">
        <v>1463</v>
      </c>
      <c r="AG27" t="str">
        <f t="shared" si="5"/>
        <v>General/Commercial &amp; Industrial Work Area - Precision</v>
      </c>
      <c r="AH27" s="35">
        <v>0.85</v>
      </c>
      <c r="AI27" s="25" t="s">
        <v>1430</v>
      </c>
      <c r="AM27" s="26"/>
    </row>
    <row r="28" spans="1:39" x14ac:dyDescent="0.25">
      <c r="A28" s="25" t="s">
        <v>1454</v>
      </c>
      <c r="B28" t="s">
        <v>1464</v>
      </c>
      <c r="C28" t="str">
        <f t="shared" si="0"/>
        <v>Corridor *2 - All other corridors</v>
      </c>
      <c r="D28" s="35">
        <v>0.5</v>
      </c>
      <c r="E28" s="36" t="s">
        <v>1459</v>
      </c>
      <c r="G28" s="25" t="s">
        <v>1454</v>
      </c>
      <c r="H28" t="s">
        <v>1461</v>
      </c>
      <c r="I28" t="str">
        <f t="shared" si="1"/>
        <v>Corridor *2 - Manufacturing</v>
      </c>
      <c r="J28" s="35">
        <v>0.41</v>
      </c>
      <c r="K28" s="36" t="s">
        <v>1459</v>
      </c>
      <c r="L28" s="19"/>
      <c r="M28" s="25" t="s">
        <v>1454</v>
      </c>
      <c r="N28" t="s">
        <v>1462</v>
      </c>
      <c r="O28" t="str">
        <f t="shared" si="2"/>
        <v>Corridor *2 - Facility for the visually impaired (an not used primarily by the staff) *3</v>
      </c>
      <c r="P28" s="35">
        <v>0.92</v>
      </c>
      <c r="Q28" s="36" t="s">
        <v>1459</v>
      </c>
      <c r="R28" s="19"/>
      <c r="S28" s="25" t="s">
        <v>1454</v>
      </c>
      <c r="T28" t="s">
        <v>1462</v>
      </c>
      <c r="U28" t="str">
        <f t="shared" si="3"/>
        <v>Corridor *2 - Facility for the visually impaired (an not used primarily by the staff) *3</v>
      </c>
      <c r="V28" s="35">
        <v>0.92</v>
      </c>
      <c r="W28" s="36" t="s">
        <v>1459</v>
      </c>
      <c r="Y28" s="25" t="s">
        <v>1454</v>
      </c>
      <c r="Z28" t="s">
        <v>1458</v>
      </c>
      <c r="AA28" t="str">
        <f t="shared" si="4"/>
        <v>Corridor *2 - Hospital</v>
      </c>
      <c r="AB28" s="35">
        <v>0.71</v>
      </c>
      <c r="AC28" s="36" t="s">
        <v>1459</v>
      </c>
      <c r="AE28" s="25" t="s">
        <v>1465</v>
      </c>
      <c r="AF28" t="s">
        <v>1466</v>
      </c>
      <c r="AG28" t="str">
        <f t="shared" si="5"/>
        <v>Library - Reading Area</v>
      </c>
      <c r="AH28" s="35">
        <v>0.8</v>
      </c>
      <c r="AI28" s="25" t="s">
        <v>1390</v>
      </c>
      <c r="AM28" s="26"/>
    </row>
    <row r="29" spans="1:39" x14ac:dyDescent="0.25">
      <c r="A29" s="31" t="s">
        <v>1467</v>
      </c>
      <c r="C29" t="str">
        <f t="shared" si="0"/>
        <v>Courtroom</v>
      </c>
      <c r="D29" s="35">
        <v>1.9</v>
      </c>
      <c r="E29" s="36">
        <v>6</v>
      </c>
      <c r="G29" s="25" t="s">
        <v>1454</v>
      </c>
      <c r="H29" t="s">
        <v>1464</v>
      </c>
      <c r="I29" t="str">
        <f t="shared" si="1"/>
        <v>Corridor *2 - All other corridors</v>
      </c>
      <c r="J29" s="35">
        <v>0.66</v>
      </c>
      <c r="K29" s="36" t="s">
        <v>1459</v>
      </c>
      <c r="L29" s="19"/>
      <c r="M29" s="25" t="s">
        <v>1454</v>
      </c>
      <c r="N29" t="s">
        <v>1458</v>
      </c>
      <c r="O29" t="str">
        <f t="shared" si="2"/>
        <v>Corridor *2 - Hospital</v>
      </c>
      <c r="P29" s="35">
        <v>0.99</v>
      </c>
      <c r="Q29" s="36" t="s">
        <v>1459</v>
      </c>
      <c r="R29" s="19"/>
      <c r="S29" s="25" t="s">
        <v>1454</v>
      </c>
      <c r="T29" t="s">
        <v>1458</v>
      </c>
      <c r="U29" t="str">
        <f t="shared" si="3"/>
        <v>Corridor *2 - Hospital</v>
      </c>
      <c r="V29" s="35">
        <v>0.92</v>
      </c>
      <c r="W29" s="36" t="s">
        <v>1459</v>
      </c>
      <c r="Y29" s="25" t="s">
        <v>1454</v>
      </c>
      <c r="Z29" t="s">
        <v>1464</v>
      </c>
      <c r="AA29" t="str">
        <f t="shared" si="4"/>
        <v>Corridor *2 - All other corridors</v>
      </c>
      <c r="AB29" s="35">
        <v>0.41</v>
      </c>
      <c r="AC29" s="36" t="s">
        <v>1459</v>
      </c>
      <c r="AE29" s="25" t="s">
        <v>1465</v>
      </c>
      <c r="AF29" t="s">
        <v>1468</v>
      </c>
      <c r="AG29" t="str">
        <f t="shared" si="5"/>
        <v>Library - Stacks</v>
      </c>
      <c r="AH29" s="35">
        <v>1.1000000000000001</v>
      </c>
      <c r="AI29" s="25" t="s">
        <v>214</v>
      </c>
      <c r="AM29" s="26"/>
    </row>
    <row r="30" spans="1:39" x14ac:dyDescent="0.25">
      <c r="A30" s="25" t="s">
        <v>1467</v>
      </c>
      <c r="B30" t="s">
        <v>1469</v>
      </c>
      <c r="C30" t="str">
        <f t="shared" si="0"/>
        <v>Courtroom - Judge's Chambers</v>
      </c>
      <c r="D30" s="35">
        <v>1.3</v>
      </c>
      <c r="E30" s="36">
        <v>8</v>
      </c>
      <c r="G30" s="31" t="s">
        <v>1467</v>
      </c>
      <c r="I30" t="str">
        <f t="shared" si="1"/>
        <v>Courtroom</v>
      </c>
      <c r="J30" s="35">
        <v>1.72</v>
      </c>
      <c r="K30" s="36">
        <v>6</v>
      </c>
      <c r="L30" s="19"/>
      <c r="M30" s="25" t="s">
        <v>1454</v>
      </c>
      <c r="N30" t="s">
        <v>1470</v>
      </c>
      <c r="O30" t="str">
        <f t="shared" si="2"/>
        <v>Corridor *2 - Manufacturing Facility</v>
      </c>
      <c r="P30" s="35">
        <v>0.41</v>
      </c>
      <c r="Q30" s="36" t="s">
        <v>1459</v>
      </c>
      <c r="R30" s="19"/>
      <c r="S30" s="25" t="s">
        <v>1454</v>
      </c>
      <c r="T30" t="s">
        <v>1470</v>
      </c>
      <c r="U30" t="str">
        <f t="shared" si="3"/>
        <v>Corridor *2 - Manufacturing Facility</v>
      </c>
      <c r="V30" s="35">
        <v>0.28999999999999998</v>
      </c>
      <c r="W30" s="36" t="s">
        <v>1459</v>
      </c>
      <c r="Y30" s="31" t="s">
        <v>1467</v>
      </c>
      <c r="AA30" t="str">
        <f t="shared" si="4"/>
        <v>Courtroom</v>
      </c>
      <c r="AB30" s="35">
        <v>1.2</v>
      </c>
      <c r="AC30" s="36">
        <v>6</v>
      </c>
      <c r="AE30" s="25" t="s">
        <v>392</v>
      </c>
      <c r="AG30" t="str">
        <f t="shared" si="5"/>
        <v>Main Entry Lobby</v>
      </c>
      <c r="AH30" s="35">
        <v>0.85</v>
      </c>
      <c r="AI30" s="25" t="s">
        <v>1390</v>
      </c>
      <c r="AM30" s="26"/>
    </row>
    <row r="31" spans="1:39" x14ac:dyDescent="0.25">
      <c r="A31" s="31" t="s">
        <v>1434</v>
      </c>
      <c r="B31" s="32"/>
      <c r="C31" s="32" t="str">
        <f t="shared" si="0"/>
        <v>Dining Area</v>
      </c>
      <c r="D31" s="37"/>
      <c r="E31" s="34" t="s">
        <v>214</v>
      </c>
      <c r="G31" s="25" t="s">
        <v>1467</v>
      </c>
      <c r="H31" t="s">
        <v>1469</v>
      </c>
      <c r="I31" t="str">
        <f t="shared" si="1"/>
        <v>Courtroom - Judge's Chambers</v>
      </c>
      <c r="J31" s="35">
        <v>1.17</v>
      </c>
      <c r="K31" s="36">
        <v>8</v>
      </c>
      <c r="L31" s="19"/>
      <c r="M31" s="25" t="s">
        <v>1454</v>
      </c>
      <c r="N31" t="s">
        <v>1464</v>
      </c>
      <c r="O31" t="str">
        <f t="shared" si="2"/>
        <v>Corridor *2 - All other corridors</v>
      </c>
      <c r="P31" s="35">
        <v>0.66</v>
      </c>
      <c r="Q31" s="36" t="s">
        <v>1459</v>
      </c>
      <c r="R31" s="19"/>
      <c r="S31" s="25" t="s">
        <v>1454</v>
      </c>
      <c r="T31" t="s">
        <v>1464</v>
      </c>
      <c r="U31" t="str">
        <f t="shared" si="3"/>
        <v>Corridor *2 - All other corridors</v>
      </c>
      <c r="V31" s="35">
        <v>0.66</v>
      </c>
      <c r="W31" s="36" t="s">
        <v>1459</v>
      </c>
      <c r="Y31" s="31" t="s">
        <v>1471</v>
      </c>
      <c r="AA31" t="str">
        <f t="shared" si="4"/>
        <v>Computer Room</v>
      </c>
      <c r="AB31" s="35">
        <v>0.94</v>
      </c>
      <c r="AC31" s="36">
        <v>4</v>
      </c>
      <c r="AE31" s="25" t="s">
        <v>1472</v>
      </c>
      <c r="AG31" t="str">
        <f t="shared" si="5"/>
        <v>Locker Room</v>
      </c>
      <c r="AH31" s="35">
        <v>0.45</v>
      </c>
      <c r="AI31" s="25" t="s">
        <v>214</v>
      </c>
      <c r="AM31" s="26"/>
    </row>
    <row r="32" spans="1:39" x14ac:dyDescent="0.25">
      <c r="A32" s="25" t="s">
        <v>1434</v>
      </c>
      <c r="B32" t="s">
        <v>1425</v>
      </c>
      <c r="C32" t="str">
        <f t="shared" si="0"/>
        <v>Dining Area - Penitentiary</v>
      </c>
      <c r="D32" s="35">
        <v>1.3</v>
      </c>
      <c r="E32" s="36">
        <v>6</v>
      </c>
      <c r="G32" s="31" t="s">
        <v>1434</v>
      </c>
      <c r="H32" s="32"/>
      <c r="I32" s="32" t="str">
        <f t="shared" si="1"/>
        <v>Dining Area</v>
      </c>
      <c r="J32" s="37"/>
      <c r="K32" s="34" t="s">
        <v>214</v>
      </c>
      <c r="L32" s="33"/>
      <c r="M32" s="31" t="s">
        <v>1467</v>
      </c>
      <c r="O32" t="str">
        <f t="shared" si="2"/>
        <v>Courtroom</v>
      </c>
      <c r="P32" s="35">
        <v>1.72</v>
      </c>
      <c r="Q32" s="36">
        <v>6</v>
      </c>
      <c r="R32" s="33"/>
      <c r="S32" s="31" t="s">
        <v>1467</v>
      </c>
      <c r="U32" t="str">
        <f t="shared" si="3"/>
        <v>Courtroom</v>
      </c>
      <c r="V32" s="35">
        <v>1.39</v>
      </c>
      <c r="W32" s="36">
        <v>6</v>
      </c>
      <c r="Y32" s="31" t="s">
        <v>1434</v>
      </c>
      <c r="Z32" s="32"/>
      <c r="AA32" s="32" t="str">
        <f t="shared" si="4"/>
        <v>Dining Area</v>
      </c>
      <c r="AB32" s="37" t="s">
        <v>214</v>
      </c>
      <c r="AC32" s="34" t="s">
        <v>214</v>
      </c>
      <c r="AE32" s="25" t="s">
        <v>394</v>
      </c>
      <c r="AG32" t="str">
        <f t="shared" si="5"/>
        <v>Lounge, Breakroom, or Waiting Area</v>
      </c>
      <c r="AH32" s="35">
        <v>0.65</v>
      </c>
      <c r="AI32" s="25" t="s">
        <v>1390</v>
      </c>
      <c r="AM32" s="26"/>
    </row>
    <row r="33" spans="1:39" x14ac:dyDescent="0.25">
      <c r="A33" s="25" t="s">
        <v>1434</v>
      </c>
      <c r="B33" t="s">
        <v>1473</v>
      </c>
      <c r="C33" t="str">
        <f t="shared" si="0"/>
        <v>Dining Area - Bar/Lounge or Leisure Dining</v>
      </c>
      <c r="D33" s="35">
        <v>1.4</v>
      </c>
      <c r="E33" s="36">
        <v>4</v>
      </c>
      <c r="G33" s="25" t="s">
        <v>1434</v>
      </c>
      <c r="H33" t="s">
        <v>1425</v>
      </c>
      <c r="I33" t="str">
        <f t="shared" si="1"/>
        <v>Dining Area - Penitentiary</v>
      </c>
      <c r="J33" s="35">
        <v>1.07</v>
      </c>
      <c r="K33" s="36">
        <v>6</v>
      </c>
      <c r="L33" s="19"/>
      <c r="M33" s="31" t="s">
        <v>1471</v>
      </c>
      <c r="O33" t="str">
        <f t="shared" si="2"/>
        <v>Computer Room</v>
      </c>
      <c r="P33" s="35">
        <v>1.71</v>
      </c>
      <c r="Q33" s="36">
        <v>4</v>
      </c>
      <c r="R33" s="19"/>
      <c r="S33" s="31" t="s">
        <v>1471</v>
      </c>
      <c r="U33" t="str">
        <f t="shared" si="3"/>
        <v>Computer Room</v>
      </c>
      <c r="V33" s="35">
        <v>1.33</v>
      </c>
      <c r="W33" s="36">
        <v>4</v>
      </c>
      <c r="Y33" s="25" t="s">
        <v>1434</v>
      </c>
      <c r="Z33" t="s">
        <v>1425</v>
      </c>
      <c r="AA33" t="str">
        <f t="shared" si="4"/>
        <v>Dining Area - Penitentiary</v>
      </c>
      <c r="AB33" s="35">
        <v>0.42</v>
      </c>
      <c r="AC33" s="36">
        <v>6</v>
      </c>
      <c r="AE33" s="25" t="s">
        <v>1474</v>
      </c>
      <c r="AG33" t="str">
        <f t="shared" si="5"/>
        <v>Concourse and Atria Area</v>
      </c>
      <c r="AH33" s="35">
        <v>0.9</v>
      </c>
      <c r="AI33" s="25" t="s">
        <v>1390</v>
      </c>
      <c r="AM33" s="26"/>
    </row>
    <row r="34" spans="1:39" x14ac:dyDescent="0.25">
      <c r="A34" s="25" t="s">
        <v>1434</v>
      </c>
      <c r="B34" t="s">
        <v>1475</v>
      </c>
      <c r="C34" t="str">
        <f t="shared" si="0"/>
        <v>Dining Area - Family Dining</v>
      </c>
      <c r="D34" s="35">
        <v>2.1</v>
      </c>
      <c r="E34" s="36">
        <v>4</v>
      </c>
      <c r="G34" s="25" t="s">
        <v>1434</v>
      </c>
      <c r="H34" t="s">
        <v>1473</v>
      </c>
      <c r="I34" t="str">
        <f t="shared" si="1"/>
        <v>Dining Area - Bar/Lounge or Leisure Dining</v>
      </c>
      <c r="J34" s="35">
        <v>1.31</v>
      </c>
      <c r="K34" s="36">
        <v>4</v>
      </c>
      <c r="L34" s="19"/>
      <c r="M34" s="31" t="s">
        <v>1434</v>
      </c>
      <c r="N34" s="32"/>
      <c r="O34" s="32" t="str">
        <f t="shared" si="2"/>
        <v>Dining Area</v>
      </c>
      <c r="P34" s="37" t="s">
        <v>214</v>
      </c>
      <c r="Q34" s="34" t="s">
        <v>214</v>
      </c>
      <c r="R34" s="19"/>
      <c r="S34" s="31" t="s">
        <v>1434</v>
      </c>
      <c r="T34" s="32"/>
      <c r="U34" s="32" t="str">
        <f t="shared" si="3"/>
        <v>Dining Area</v>
      </c>
      <c r="V34" s="37" t="s">
        <v>214</v>
      </c>
      <c r="W34" s="34" t="s">
        <v>214</v>
      </c>
      <c r="Y34" s="25" t="s">
        <v>1434</v>
      </c>
      <c r="Z34" t="s">
        <v>1462</v>
      </c>
      <c r="AA34" t="str">
        <f t="shared" si="4"/>
        <v>Dining Area - Facility for the visually impaired (an not used primarily by the staff) *3</v>
      </c>
      <c r="AB34" s="35">
        <v>1.27</v>
      </c>
      <c r="AC34" s="36">
        <v>4</v>
      </c>
      <c r="AE34" s="25" t="s">
        <v>1476</v>
      </c>
      <c r="AF34" t="s">
        <v>1477</v>
      </c>
      <c r="AG34" t="str">
        <f t="shared" si="5"/>
        <v>Office Area - &gt; 250 sqft</v>
      </c>
      <c r="AH34" s="35">
        <v>0.65</v>
      </c>
      <c r="AI34" s="25" t="s">
        <v>1428</v>
      </c>
      <c r="AM34" s="26"/>
    </row>
    <row r="35" spans="1:39" x14ac:dyDescent="0.25">
      <c r="A35" s="25" t="s">
        <v>1434</v>
      </c>
      <c r="B35" t="s">
        <v>1478</v>
      </c>
      <c r="C35" t="str">
        <f t="shared" si="0"/>
        <v>Dining Area - Motel</v>
      </c>
      <c r="D35" s="35">
        <v>1.2</v>
      </c>
      <c r="E35" s="36">
        <v>4</v>
      </c>
      <c r="G35" s="25" t="s">
        <v>1434</v>
      </c>
      <c r="H35" t="s">
        <v>1475</v>
      </c>
      <c r="I35" t="str">
        <f t="shared" si="1"/>
        <v>Dining Area - Family Dining</v>
      </c>
      <c r="J35" s="35">
        <v>0.89</v>
      </c>
      <c r="K35" s="36">
        <v>4</v>
      </c>
      <c r="L35" s="19"/>
      <c r="M35" s="25" t="s">
        <v>1434</v>
      </c>
      <c r="N35" t="s">
        <v>1425</v>
      </c>
      <c r="O35" t="str">
        <f t="shared" si="2"/>
        <v>Dining Area - Penitentiary</v>
      </c>
      <c r="P35" s="35">
        <v>0.96</v>
      </c>
      <c r="Q35" s="36">
        <v>6</v>
      </c>
      <c r="R35" s="19"/>
      <c r="S35" s="25" t="s">
        <v>1434</v>
      </c>
      <c r="T35" t="s">
        <v>1425</v>
      </c>
      <c r="U35" t="str">
        <f t="shared" si="3"/>
        <v>Dining Area - Penitentiary</v>
      </c>
      <c r="V35" s="35">
        <v>0.96</v>
      </c>
      <c r="W35" s="36">
        <v>6</v>
      </c>
      <c r="Y35" s="25" t="s">
        <v>1434</v>
      </c>
      <c r="Z35" t="s">
        <v>1473</v>
      </c>
      <c r="AA35" t="str">
        <f t="shared" si="4"/>
        <v>Dining Area - Bar/Lounge or Leisure Dining</v>
      </c>
      <c r="AB35" s="35">
        <v>0.86</v>
      </c>
      <c r="AC35" s="36">
        <v>4</v>
      </c>
      <c r="AE35" s="25" t="s">
        <v>1476</v>
      </c>
      <c r="AF35" t="s">
        <v>1479</v>
      </c>
      <c r="AG35" t="str">
        <f t="shared" si="5"/>
        <v>Office Area - &lt;= 250 sqft</v>
      </c>
      <c r="AH35" s="35">
        <v>0.7</v>
      </c>
      <c r="AI35" s="25" t="s">
        <v>1428</v>
      </c>
      <c r="AM35" s="26"/>
    </row>
    <row r="36" spans="1:39" x14ac:dyDescent="0.25">
      <c r="A36" s="25" t="s">
        <v>1434</v>
      </c>
      <c r="B36" t="s">
        <v>1480</v>
      </c>
      <c r="C36" t="str">
        <f t="shared" si="0"/>
        <v>Dining Area - Hotel</v>
      </c>
      <c r="D36" s="35">
        <v>1.3</v>
      </c>
      <c r="E36" s="36">
        <v>4</v>
      </c>
      <c r="G36" s="25" t="s">
        <v>1434</v>
      </c>
      <c r="H36" t="s">
        <v>1481</v>
      </c>
      <c r="I36" t="str">
        <f t="shared" si="1"/>
        <v>Dining Area - Highway Lodging</v>
      </c>
      <c r="J36" s="35">
        <v>0.88</v>
      </c>
      <c r="K36" s="36">
        <v>4</v>
      </c>
      <c r="L36" s="19"/>
      <c r="M36" s="25" t="s">
        <v>1434</v>
      </c>
      <c r="N36" t="s">
        <v>1462</v>
      </c>
      <c r="O36" t="str">
        <f t="shared" si="2"/>
        <v>Dining Area - Facility for the visually impaired (an not used primarily by the staff) *3</v>
      </c>
      <c r="P36" s="35">
        <v>2.65</v>
      </c>
      <c r="Q36" s="36">
        <v>4</v>
      </c>
      <c r="R36" s="19"/>
      <c r="S36" s="25" t="s">
        <v>1434</v>
      </c>
      <c r="T36" t="s">
        <v>1462</v>
      </c>
      <c r="U36" t="str">
        <f t="shared" si="3"/>
        <v>Dining Area - Facility for the visually impaired (an not used primarily by the staff) *3</v>
      </c>
      <c r="V36" s="35">
        <v>2</v>
      </c>
      <c r="W36" s="36">
        <v>4</v>
      </c>
      <c r="Y36" s="25" t="s">
        <v>1434</v>
      </c>
      <c r="Z36" t="s">
        <v>1482</v>
      </c>
      <c r="AA36" t="str">
        <f t="shared" si="4"/>
        <v>Dining Area - Cafeteria or fast food dining</v>
      </c>
      <c r="AB36" s="35">
        <v>0.4</v>
      </c>
      <c r="AC36" s="36">
        <v>4</v>
      </c>
      <c r="AE36" s="25" t="s">
        <v>1476</v>
      </c>
      <c r="AF36" t="s">
        <v>1483</v>
      </c>
      <c r="AG36" t="str">
        <f t="shared" si="5"/>
        <v>Office Area - Open Plan Office</v>
      </c>
      <c r="AH36" s="35">
        <v>0.6</v>
      </c>
      <c r="AI36" s="25" t="s">
        <v>1428</v>
      </c>
      <c r="AM36" s="26"/>
    </row>
    <row r="37" spans="1:39" x14ac:dyDescent="0.25">
      <c r="A37" s="25" t="s">
        <v>1434</v>
      </c>
      <c r="B37" t="s">
        <v>1484</v>
      </c>
      <c r="C37" t="str">
        <f t="shared" si="0"/>
        <v>Dining Area - All other dining areas</v>
      </c>
      <c r="D37" s="35">
        <v>0.9</v>
      </c>
      <c r="E37" s="36">
        <v>4</v>
      </c>
      <c r="G37" s="25" t="s">
        <v>1434</v>
      </c>
      <c r="H37" t="s">
        <v>1480</v>
      </c>
      <c r="I37" t="str">
        <f t="shared" si="1"/>
        <v>Dining Area - Hotel</v>
      </c>
      <c r="J37" s="35">
        <v>0.82</v>
      </c>
      <c r="K37" s="36">
        <v>4</v>
      </c>
      <c r="L37" s="19"/>
      <c r="M37" s="25" t="s">
        <v>1434</v>
      </c>
      <c r="N37" t="s">
        <v>1473</v>
      </c>
      <c r="O37" t="str">
        <f t="shared" si="2"/>
        <v>Dining Area - Bar/Lounge or Leisure Dining</v>
      </c>
      <c r="P37" s="35">
        <v>1.07</v>
      </c>
      <c r="Q37" s="36">
        <v>4</v>
      </c>
      <c r="R37" s="19"/>
      <c r="S37" s="25" t="s">
        <v>1434</v>
      </c>
      <c r="T37" t="s">
        <v>1473</v>
      </c>
      <c r="U37" t="str">
        <f t="shared" si="3"/>
        <v>Dining Area - Bar/Lounge or Leisure Dining</v>
      </c>
      <c r="V37" s="35">
        <v>0.93</v>
      </c>
      <c r="W37" s="36">
        <v>4</v>
      </c>
      <c r="Y37" s="25" t="s">
        <v>1434</v>
      </c>
      <c r="Z37" t="s">
        <v>1475</v>
      </c>
      <c r="AA37" t="str">
        <f t="shared" si="4"/>
        <v>Dining Area - Family Dining</v>
      </c>
      <c r="AB37" s="35">
        <v>0.6</v>
      </c>
      <c r="AC37" s="36">
        <v>4</v>
      </c>
      <c r="AE37" s="25" t="s">
        <v>1485</v>
      </c>
      <c r="AF37" t="s">
        <v>1486</v>
      </c>
      <c r="AG37" t="str">
        <f t="shared" si="5"/>
        <v>Parking Garage Area - Parking Zone</v>
      </c>
      <c r="AH37" s="35">
        <v>0.1</v>
      </c>
      <c r="AI37" s="25" t="s">
        <v>1418</v>
      </c>
      <c r="AJ37" t="s">
        <v>1399</v>
      </c>
      <c r="AM37" s="26"/>
    </row>
    <row r="38" spans="1:39" x14ac:dyDescent="0.25">
      <c r="A38" s="31" t="s">
        <v>382</v>
      </c>
      <c r="C38" t="str">
        <f t="shared" si="0"/>
        <v>Electrical/Mechanical Room *7</v>
      </c>
      <c r="D38" s="35">
        <v>1.5</v>
      </c>
      <c r="E38" s="36">
        <v>6</v>
      </c>
      <c r="G38" s="25" t="s">
        <v>1434</v>
      </c>
      <c r="H38" t="s">
        <v>1484</v>
      </c>
      <c r="I38" t="str">
        <f t="shared" si="1"/>
        <v>Dining Area - All other dining areas</v>
      </c>
      <c r="J38" s="35">
        <v>0.65</v>
      </c>
      <c r="K38" s="36">
        <v>4</v>
      </c>
      <c r="L38" s="19"/>
      <c r="M38" s="25" t="s">
        <v>1434</v>
      </c>
      <c r="N38" t="s">
        <v>1482</v>
      </c>
      <c r="O38" t="str">
        <f t="shared" si="2"/>
        <v>Dining Area - Cafeteria or fast food dining</v>
      </c>
      <c r="P38" s="35">
        <v>0.65</v>
      </c>
      <c r="Q38" s="36">
        <v>4</v>
      </c>
      <c r="R38" s="19"/>
      <c r="S38" s="25" t="s">
        <v>1434</v>
      </c>
      <c r="T38" t="s">
        <v>1482</v>
      </c>
      <c r="U38" t="str">
        <f t="shared" si="3"/>
        <v>Dining Area - Cafeteria or fast food dining</v>
      </c>
      <c r="V38" s="35">
        <v>0.63</v>
      </c>
      <c r="W38" s="36">
        <v>4</v>
      </c>
      <c r="Y38" s="25" t="s">
        <v>1434</v>
      </c>
      <c r="Z38" t="s">
        <v>1484</v>
      </c>
      <c r="AA38" t="str">
        <f t="shared" si="4"/>
        <v>Dining Area - All other dining areas</v>
      </c>
      <c r="AB38" s="35">
        <v>0.43</v>
      </c>
      <c r="AC38" s="36">
        <v>4</v>
      </c>
      <c r="AE38" s="25" t="s">
        <v>1485</v>
      </c>
      <c r="AF38" t="s">
        <v>1487</v>
      </c>
      <c r="AG38" t="str">
        <f t="shared" si="5"/>
        <v>Parking Garage Area - Dedicated Ramps</v>
      </c>
      <c r="AH38" s="35">
        <v>0.25</v>
      </c>
      <c r="AI38" s="25" t="s">
        <v>214</v>
      </c>
      <c r="AM38" s="26"/>
    </row>
    <row r="39" spans="1:39" x14ac:dyDescent="0.25">
      <c r="A39" s="31" t="s">
        <v>1488</v>
      </c>
      <c r="C39" t="str">
        <f t="shared" si="0"/>
        <v>Food Preparation Area</v>
      </c>
      <c r="D39" s="35">
        <v>1.2</v>
      </c>
      <c r="E39" s="36">
        <v>6</v>
      </c>
      <c r="G39" s="31" t="s">
        <v>382</v>
      </c>
      <c r="I39" t="str">
        <f t="shared" si="1"/>
        <v>Electrical/Mechanical Room *7</v>
      </c>
      <c r="J39" s="35">
        <v>0.95</v>
      </c>
      <c r="K39" s="36">
        <v>6</v>
      </c>
      <c r="L39" s="19"/>
      <c r="M39" s="25" t="s">
        <v>1434</v>
      </c>
      <c r="N39" t="s">
        <v>1475</v>
      </c>
      <c r="O39" t="str">
        <f t="shared" si="2"/>
        <v>Dining Area - Family Dining</v>
      </c>
      <c r="P39" s="35">
        <v>0.89</v>
      </c>
      <c r="Q39" s="36">
        <v>4</v>
      </c>
      <c r="R39" s="19"/>
      <c r="S39" s="25" t="s">
        <v>1434</v>
      </c>
      <c r="T39" t="s">
        <v>1475</v>
      </c>
      <c r="U39" t="str">
        <f t="shared" si="3"/>
        <v>Dining Area - Family Dining</v>
      </c>
      <c r="V39" s="35">
        <v>0.71</v>
      </c>
      <c r="W39" s="36">
        <v>4</v>
      </c>
      <c r="Y39" s="31" t="s">
        <v>382</v>
      </c>
      <c r="AA39" t="str">
        <f t="shared" si="4"/>
        <v>Electrical/Mechanical Room *7</v>
      </c>
      <c r="AB39" s="35">
        <v>0.43</v>
      </c>
      <c r="AC39" s="36">
        <v>6</v>
      </c>
      <c r="AE39" s="25" t="s">
        <v>1485</v>
      </c>
      <c r="AF39" t="s">
        <v>1489</v>
      </c>
      <c r="AG39" t="str">
        <f t="shared" si="5"/>
        <v>Parking Garage Area - Daylight Adaptation Zones *2</v>
      </c>
      <c r="AH39" s="35">
        <v>0.5</v>
      </c>
      <c r="AI39" s="25" t="s">
        <v>214</v>
      </c>
      <c r="AM39" s="26"/>
    </row>
    <row r="40" spans="1:39" x14ac:dyDescent="0.25">
      <c r="A40" s="31" t="s">
        <v>389</v>
      </c>
      <c r="B40" s="32"/>
      <c r="C40" s="32" t="str">
        <f t="shared" si="0"/>
        <v>Laboratory</v>
      </c>
      <c r="D40" s="37">
        <v>1.4</v>
      </c>
      <c r="E40" s="34">
        <v>6</v>
      </c>
      <c r="G40" s="31" t="s">
        <v>1488</v>
      </c>
      <c r="I40" t="str">
        <f t="shared" si="1"/>
        <v>Food Preparation Area</v>
      </c>
      <c r="J40" s="35">
        <v>0.99</v>
      </c>
      <c r="K40" s="36">
        <v>6</v>
      </c>
      <c r="L40" s="19"/>
      <c r="M40" s="25" t="s">
        <v>1434</v>
      </c>
      <c r="N40" t="s">
        <v>1484</v>
      </c>
      <c r="O40" t="str">
        <f t="shared" si="2"/>
        <v>Dining Area - All other dining areas</v>
      </c>
      <c r="P40" s="35">
        <v>0.65</v>
      </c>
      <c r="Q40" s="36">
        <v>4</v>
      </c>
      <c r="R40" s="19"/>
      <c r="S40" s="25" t="s">
        <v>1434</v>
      </c>
      <c r="T40" t="s">
        <v>1484</v>
      </c>
      <c r="U40" t="str">
        <f t="shared" si="3"/>
        <v>Dining Area - All other dining areas</v>
      </c>
      <c r="V40" s="35">
        <v>0.63</v>
      </c>
      <c r="W40" s="36">
        <v>4</v>
      </c>
      <c r="Y40" s="31" t="s">
        <v>1490</v>
      </c>
      <c r="AA40" t="str">
        <f t="shared" si="4"/>
        <v>Emergency Vehicle Garage</v>
      </c>
      <c r="AB40" s="35">
        <v>0.52</v>
      </c>
      <c r="AC40" s="36">
        <v>4</v>
      </c>
      <c r="AE40" s="25" t="s">
        <v>1491</v>
      </c>
      <c r="AG40" t="str">
        <f t="shared" si="5"/>
        <v>Pharmacy Area</v>
      </c>
      <c r="AH40" s="35">
        <v>1.1000000000000001</v>
      </c>
      <c r="AI40" s="25" t="s">
        <v>1432</v>
      </c>
      <c r="AM40" s="26"/>
    </row>
    <row r="41" spans="1:39" x14ac:dyDescent="0.25">
      <c r="A41" s="31" t="s">
        <v>1492</v>
      </c>
      <c r="B41" s="32"/>
      <c r="C41" s="32" t="str">
        <f t="shared" si="0"/>
        <v>Lobby</v>
      </c>
      <c r="D41" s="37"/>
      <c r="E41" s="34" t="s">
        <v>214</v>
      </c>
      <c r="G41" s="31" t="s">
        <v>389</v>
      </c>
      <c r="H41" s="32"/>
      <c r="I41" s="32" t="str">
        <f t="shared" si="1"/>
        <v>Laboratory</v>
      </c>
      <c r="J41" s="37"/>
      <c r="K41" s="34" t="s">
        <v>214</v>
      </c>
      <c r="L41" s="33"/>
      <c r="M41" s="31" t="s">
        <v>382</v>
      </c>
      <c r="O41" t="str">
        <f t="shared" si="2"/>
        <v>Electrical/Mechanical Room *7</v>
      </c>
      <c r="P41" s="35">
        <v>0.42</v>
      </c>
      <c r="Q41" s="36">
        <v>6</v>
      </c>
      <c r="R41" s="19"/>
      <c r="S41" s="31" t="s">
        <v>382</v>
      </c>
      <c r="U41" t="str">
        <f t="shared" si="3"/>
        <v>Electrical/Mechanical Room *7</v>
      </c>
      <c r="V41" s="35">
        <v>0.43</v>
      </c>
      <c r="W41" s="36">
        <v>6</v>
      </c>
      <c r="Y41" s="31" t="s">
        <v>1488</v>
      </c>
      <c r="AA41" t="str">
        <f t="shared" si="4"/>
        <v>Food Preparation Area</v>
      </c>
      <c r="AB41" s="35">
        <v>1.0900000000000001</v>
      </c>
      <c r="AC41" s="36">
        <v>6</v>
      </c>
      <c r="AE41" s="25" t="s">
        <v>1493</v>
      </c>
      <c r="AF41" t="s">
        <v>1494</v>
      </c>
      <c r="AG41" t="str">
        <f t="shared" si="5"/>
        <v>Retail Sales Area - Grocery Sales</v>
      </c>
      <c r="AH41" s="35">
        <v>1.05</v>
      </c>
      <c r="AI41" s="25" t="s">
        <v>1391</v>
      </c>
      <c r="AJ41" t="s">
        <v>1406</v>
      </c>
      <c r="AM41" s="26"/>
    </row>
    <row r="42" spans="1:39" x14ac:dyDescent="0.25">
      <c r="A42" s="25" t="s">
        <v>1492</v>
      </c>
      <c r="B42" t="s">
        <v>1480</v>
      </c>
      <c r="C42" t="str">
        <f t="shared" si="0"/>
        <v>Lobby - Hotel</v>
      </c>
      <c r="D42" s="35">
        <v>1.1000000000000001</v>
      </c>
      <c r="E42" s="36">
        <v>4</v>
      </c>
      <c r="G42" s="25" t="s">
        <v>389</v>
      </c>
      <c r="H42" t="s">
        <v>1495</v>
      </c>
      <c r="I42" t="str">
        <f t="shared" si="1"/>
        <v>Laboratory - In or as a classroom</v>
      </c>
      <c r="J42" s="35">
        <v>1.28</v>
      </c>
      <c r="K42" s="36">
        <v>6</v>
      </c>
      <c r="L42" s="19"/>
      <c r="M42" s="31" t="s">
        <v>1490</v>
      </c>
      <c r="O42" t="str">
        <f t="shared" si="2"/>
        <v>Emergency Vehicle Garage</v>
      </c>
      <c r="P42" s="35">
        <v>0.56000000000000005</v>
      </c>
      <c r="Q42" s="36">
        <v>4</v>
      </c>
      <c r="R42" s="19"/>
      <c r="S42" s="31" t="s">
        <v>1490</v>
      </c>
      <c r="U42" t="str">
        <f t="shared" si="3"/>
        <v>Emergency Vehicle Garage</v>
      </c>
      <c r="V42" s="35">
        <v>0.41</v>
      </c>
      <c r="W42" s="36">
        <v>4</v>
      </c>
      <c r="Y42" s="31" t="s">
        <v>1496</v>
      </c>
      <c r="AA42" t="str">
        <f t="shared" si="4"/>
        <v>Guest Room</v>
      </c>
      <c r="AB42" s="35">
        <v>0.41</v>
      </c>
      <c r="AC42" s="36">
        <v>6</v>
      </c>
      <c r="AE42" s="25" t="s">
        <v>1493</v>
      </c>
      <c r="AF42" t="s">
        <v>1497</v>
      </c>
      <c r="AG42" t="str">
        <f t="shared" si="5"/>
        <v>Retail Sales Area - Retail Merchandise Sales</v>
      </c>
      <c r="AH42" s="35">
        <v>1</v>
      </c>
      <c r="AI42" s="25" t="s">
        <v>1391</v>
      </c>
      <c r="AJ42" t="s">
        <v>1406</v>
      </c>
      <c r="AM42" s="26"/>
    </row>
    <row r="43" spans="1:39" x14ac:dyDescent="0.25">
      <c r="A43" s="25" t="s">
        <v>1492</v>
      </c>
      <c r="B43" t="s">
        <v>1420</v>
      </c>
      <c r="C43" t="str">
        <f t="shared" si="0"/>
        <v>Lobby - Motion Picture Theater</v>
      </c>
      <c r="D43" s="35">
        <v>1.1000000000000001</v>
      </c>
      <c r="E43" s="36">
        <v>4</v>
      </c>
      <c r="G43" s="25" t="s">
        <v>389</v>
      </c>
      <c r="H43" t="s">
        <v>1498</v>
      </c>
      <c r="I43" t="str">
        <f t="shared" si="1"/>
        <v>Laboratory - Medical/Industrial/Research</v>
      </c>
      <c r="J43" s="35">
        <v>1.81</v>
      </c>
      <c r="K43" s="36">
        <v>6</v>
      </c>
      <c r="L43" s="19"/>
      <c r="M43" s="31" t="s">
        <v>1488</v>
      </c>
      <c r="O43" t="str">
        <f t="shared" si="2"/>
        <v>Food Preparation Area</v>
      </c>
      <c r="P43" s="35">
        <v>1.21</v>
      </c>
      <c r="Q43" s="36">
        <v>6</v>
      </c>
      <c r="R43" s="33"/>
      <c r="S43" s="31" t="s">
        <v>1488</v>
      </c>
      <c r="U43" t="str">
        <f t="shared" si="3"/>
        <v>Food Preparation Area</v>
      </c>
      <c r="V43" s="35">
        <v>1.06</v>
      </c>
      <c r="W43" s="36">
        <v>6</v>
      </c>
      <c r="Y43" s="31" t="s">
        <v>389</v>
      </c>
      <c r="Z43" s="32"/>
      <c r="AA43" s="32" t="str">
        <f t="shared" si="4"/>
        <v>Laboratory</v>
      </c>
      <c r="AB43" s="37" t="s">
        <v>214</v>
      </c>
      <c r="AC43" s="34" t="s">
        <v>214</v>
      </c>
      <c r="AE43" s="25" t="s">
        <v>1493</v>
      </c>
      <c r="AF43" t="s">
        <v>1499</v>
      </c>
      <c r="AG43" t="str">
        <f t="shared" si="5"/>
        <v>Retail Sales Area - Fitting Room</v>
      </c>
      <c r="AH43" s="35">
        <v>0.6</v>
      </c>
      <c r="AI43" s="25" t="s">
        <v>1413</v>
      </c>
      <c r="AJ43" t="s">
        <v>1423</v>
      </c>
      <c r="AM43" s="26"/>
    </row>
    <row r="44" spans="1:39" x14ac:dyDescent="0.25">
      <c r="A44" s="25" t="s">
        <v>1492</v>
      </c>
      <c r="B44" t="s">
        <v>1427</v>
      </c>
      <c r="C44" t="str">
        <f t="shared" si="0"/>
        <v>Lobby - Performing Arts Theater</v>
      </c>
      <c r="D44" s="35">
        <v>3.3</v>
      </c>
      <c r="E44" s="36">
        <v>6</v>
      </c>
      <c r="G44" s="31" t="s">
        <v>1492</v>
      </c>
      <c r="H44" s="32"/>
      <c r="I44" s="32" t="str">
        <f t="shared" si="1"/>
        <v>Lobby</v>
      </c>
      <c r="J44" s="37"/>
      <c r="K44" s="34" t="s">
        <v>214</v>
      </c>
      <c r="L44" s="33"/>
      <c r="M44" s="31" t="s">
        <v>1496</v>
      </c>
      <c r="O44" t="str">
        <f t="shared" si="2"/>
        <v>Guest Room</v>
      </c>
      <c r="P44" s="35">
        <v>0.91</v>
      </c>
      <c r="Q44" s="36">
        <v>6</v>
      </c>
      <c r="R44" s="19"/>
      <c r="S44" s="31" t="s">
        <v>1496</v>
      </c>
      <c r="U44" t="str">
        <f t="shared" si="3"/>
        <v>Guest Room</v>
      </c>
      <c r="V44" s="35">
        <v>0.77</v>
      </c>
      <c r="W44" s="36">
        <v>6</v>
      </c>
      <c r="Y44" s="25" t="s">
        <v>389</v>
      </c>
      <c r="Z44" t="s">
        <v>1495</v>
      </c>
      <c r="AA44" t="str">
        <f t="shared" si="4"/>
        <v>Laboratory - In or as a classroom</v>
      </c>
      <c r="AB44" s="35">
        <v>1.1100000000000001</v>
      </c>
      <c r="AC44" s="36">
        <v>6</v>
      </c>
      <c r="AE44" s="25" t="s">
        <v>1500</v>
      </c>
      <c r="AF44" t="s">
        <v>1501</v>
      </c>
      <c r="AG44" t="str">
        <f t="shared" si="5"/>
        <v>Theater Area - Motion Picture</v>
      </c>
      <c r="AH44" s="35">
        <v>0.6</v>
      </c>
      <c r="AI44" s="25" t="s">
        <v>1390</v>
      </c>
      <c r="AM44" s="26"/>
    </row>
    <row r="45" spans="1:39" x14ac:dyDescent="0.25">
      <c r="A45" s="25" t="s">
        <v>1492</v>
      </c>
      <c r="B45" t="s">
        <v>1502</v>
      </c>
      <c r="C45" t="str">
        <f t="shared" si="0"/>
        <v>Lobby - All other lobbies</v>
      </c>
      <c r="D45" s="35">
        <v>1.3</v>
      </c>
      <c r="E45" s="36">
        <v>4</v>
      </c>
      <c r="G45" s="25" t="s">
        <v>1492</v>
      </c>
      <c r="H45" t="s">
        <v>1039</v>
      </c>
      <c r="I45" t="str">
        <f t="shared" si="1"/>
        <v>Lobby - Elevator</v>
      </c>
      <c r="J45" s="35">
        <v>0.64</v>
      </c>
      <c r="K45" s="36">
        <v>6</v>
      </c>
      <c r="L45" s="19"/>
      <c r="M45" s="31" t="s">
        <v>389</v>
      </c>
      <c r="N45" s="32"/>
      <c r="O45" s="32" t="str">
        <f t="shared" si="2"/>
        <v>Laboratory</v>
      </c>
      <c r="P45" s="37" t="s">
        <v>214</v>
      </c>
      <c r="Q45" s="34" t="s">
        <v>214</v>
      </c>
      <c r="R45" s="19"/>
      <c r="S45" s="31" t="s">
        <v>389</v>
      </c>
      <c r="T45" s="32"/>
      <c r="U45" s="32" t="str">
        <f t="shared" si="3"/>
        <v>Laboratory</v>
      </c>
      <c r="V45" s="37" t="s">
        <v>214</v>
      </c>
      <c r="W45" s="34" t="s">
        <v>214</v>
      </c>
      <c r="Y45" s="25" t="s">
        <v>389</v>
      </c>
      <c r="Z45" t="s">
        <v>1503</v>
      </c>
      <c r="AA45" t="str">
        <f t="shared" si="4"/>
        <v>Laboratory - All other laboratories</v>
      </c>
      <c r="AB45" s="35">
        <v>1.33</v>
      </c>
      <c r="AC45" s="36">
        <v>6</v>
      </c>
      <c r="AE45" s="25" t="s">
        <v>1500</v>
      </c>
      <c r="AF45" t="s">
        <v>1239</v>
      </c>
      <c r="AG45" t="str">
        <f t="shared" si="5"/>
        <v>Theater Area - Performance</v>
      </c>
      <c r="AH45" s="35">
        <v>1</v>
      </c>
      <c r="AI45" s="25" t="s">
        <v>1390</v>
      </c>
      <c r="AM45" s="26"/>
    </row>
    <row r="46" spans="1:39" x14ac:dyDescent="0.25">
      <c r="A46" s="31" t="s">
        <v>1472</v>
      </c>
      <c r="C46" t="str">
        <f t="shared" si="0"/>
        <v>Locker Room</v>
      </c>
      <c r="D46" s="35">
        <v>0.6</v>
      </c>
      <c r="E46" s="36">
        <v>6</v>
      </c>
      <c r="G46" s="25" t="s">
        <v>1492</v>
      </c>
      <c r="H46" t="s">
        <v>1480</v>
      </c>
      <c r="I46" t="str">
        <f t="shared" si="1"/>
        <v>Lobby - Hotel</v>
      </c>
      <c r="J46" s="35">
        <v>1.06</v>
      </c>
      <c r="K46" s="36">
        <v>4</v>
      </c>
      <c r="L46" s="19"/>
      <c r="M46" s="25" t="s">
        <v>389</v>
      </c>
      <c r="N46" t="s">
        <v>1495</v>
      </c>
      <c r="O46" t="str">
        <f t="shared" si="2"/>
        <v>Laboratory - In or as a classroom</v>
      </c>
      <c r="P46" s="35">
        <v>1.43</v>
      </c>
      <c r="Q46" s="36">
        <v>6</v>
      </c>
      <c r="R46" s="19"/>
      <c r="S46" s="25" t="s">
        <v>389</v>
      </c>
      <c r="T46" t="s">
        <v>1495</v>
      </c>
      <c r="U46" t="str">
        <f t="shared" si="3"/>
        <v>Laboratory - In or as a classroom</v>
      </c>
      <c r="V46" s="35">
        <v>1.2</v>
      </c>
      <c r="W46" s="36">
        <v>6</v>
      </c>
      <c r="Y46" s="31" t="s">
        <v>1504</v>
      </c>
      <c r="AA46" t="str">
        <f t="shared" si="4"/>
        <v>Laundry/Washing Area</v>
      </c>
      <c r="AB46" s="35">
        <v>0.53</v>
      </c>
      <c r="AC46" s="36">
        <v>4</v>
      </c>
      <c r="AE46" s="25" t="s">
        <v>1505</v>
      </c>
      <c r="AG46" t="str">
        <f t="shared" si="5"/>
        <v>Kitchen/Food/Preparation Area</v>
      </c>
      <c r="AH46" s="35">
        <v>0.95</v>
      </c>
      <c r="AI46" s="25" t="s">
        <v>214</v>
      </c>
      <c r="AM46" s="26"/>
    </row>
    <row r="47" spans="1:39" x14ac:dyDescent="0.25">
      <c r="A47" s="31" t="s">
        <v>1506</v>
      </c>
      <c r="B47" s="32"/>
      <c r="C47" s="32" t="str">
        <f t="shared" si="0"/>
        <v>Lounge/Recreation</v>
      </c>
      <c r="D47" s="37"/>
      <c r="E47" s="34" t="s">
        <v>214</v>
      </c>
      <c r="G47" s="25" t="s">
        <v>1492</v>
      </c>
      <c r="H47" t="s">
        <v>1420</v>
      </c>
      <c r="I47" t="str">
        <f t="shared" si="1"/>
        <v>Lobby - Motion Picture Theater</v>
      </c>
      <c r="J47" s="35">
        <v>0.52</v>
      </c>
      <c r="K47" s="36">
        <v>4</v>
      </c>
      <c r="L47" s="19"/>
      <c r="M47" s="25" t="s">
        <v>389</v>
      </c>
      <c r="N47" t="s">
        <v>1503</v>
      </c>
      <c r="O47" t="str">
        <f t="shared" si="2"/>
        <v>Laboratory - All other laboratories</v>
      </c>
      <c r="P47" s="35">
        <v>1.81</v>
      </c>
      <c r="Q47" s="36">
        <v>6</v>
      </c>
      <c r="R47" s="19"/>
      <c r="S47" s="25" t="s">
        <v>389</v>
      </c>
      <c r="T47" t="s">
        <v>1503</v>
      </c>
      <c r="U47" t="str">
        <f t="shared" si="3"/>
        <v>Laboratory - All other laboratories</v>
      </c>
      <c r="V47" s="35">
        <v>1.45</v>
      </c>
      <c r="W47" s="36">
        <v>6</v>
      </c>
      <c r="Y47" s="31" t="s">
        <v>1507</v>
      </c>
      <c r="AA47" t="str">
        <f t="shared" si="4"/>
        <v>Loading Dock, Interior</v>
      </c>
      <c r="AB47" s="35">
        <v>0.88</v>
      </c>
      <c r="AC47" s="36">
        <v>6</v>
      </c>
      <c r="AE47" s="25" t="s">
        <v>388</v>
      </c>
      <c r="AG47" t="str">
        <f t="shared" si="5"/>
        <v>Scientific Laboratory Area</v>
      </c>
      <c r="AH47" s="35">
        <v>1</v>
      </c>
      <c r="AI47" s="25" t="s">
        <v>1432</v>
      </c>
      <c r="AM47" s="26"/>
    </row>
    <row r="48" spans="1:39" x14ac:dyDescent="0.25">
      <c r="A48" s="25" t="s">
        <v>1506</v>
      </c>
      <c r="B48" t="s">
        <v>1508</v>
      </c>
      <c r="C48" t="str">
        <f t="shared" si="0"/>
        <v>Lounge/Recreation - Healthcare Facility</v>
      </c>
      <c r="D48" s="35">
        <v>0.8</v>
      </c>
      <c r="E48" s="36">
        <v>6</v>
      </c>
      <c r="G48" s="25" t="s">
        <v>1492</v>
      </c>
      <c r="H48" t="s">
        <v>1427</v>
      </c>
      <c r="I48" t="str">
        <f t="shared" si="1"/>
        <v>Lobby - Performing Arts Theater</v>
      </c>
      <c r="J48" s="35">
        <v>2</v>
      </c>
      <c r="K48" s="36">
        <v>6</v>
      </c>
      <c r="L48" s="19"/>
      <c r="M48" s="31" t="s">
        <v>1504</v>
      </c>
      <c r="O48" t="str">
        <f t="shared" si="2"/>
        <v>Laundry/Washing Area</v>
      </c>
      <c r="P48" s="35">
        <v>0.6</v>
      </c>
      <c r="Q48" s="36">
        <v>4</v>
      </c>
      <c r="R48" s="33"/>
      <c r="S48" s="31" t="s">
        <v>1504</v>
      </c>
      <c r="U48" t="str">
        <f t="shared" si="3"/>
        <v>Laundry/Washing Area</v>
      </c>
      <c r="V48" s="35">
        <v>0.43</v>
      </c>
      <c r="W48" s="36">
        <v>4</v>
      </c>
      <c r="Y48" s="31" t="s">
        <v>1492</v>
      </c>
      <c r="Z48" s="32"/>
      <c r="AA48" s="32" t="str">
        <f t="shared" si="4"/>
        <v>Lobby</v>
      </c>
      <c r="AB48" s="37" t="s">
        <v>214</v>
      </c>
      <c r="AC48" s="34" t="s">
        <v>214</v>
      </c>
      <c r="AE48" s="25" t="s">
        <v>1509</v>
      </c>
      <c r="AF48" t="s">
        <v>1510</v>
      </c>
      <c r="AG48" t="str">
        <f t="shared" si="5"/>
        <v>Healthcare Facility and Hospitals - Exam/Treatment Room</v>
      </c>
      <c r="AH48" s="35">
        <v>1.1499999999999999</v>
      </c>
      <c r="AI48" s="25" t="s">
        <v>214</v>
      </c>
      <c r="AM48" s="26"/>
    </row>
    <row r="49" spans="1:39" x14ac:dyDescent="0.25">
      <c r="A49" s="25" t="s">
        <v>1506</v>
      </c>
      <c r="B49" t="s">
        <v>1511</v>
      </c>
      <c r="C49" t="str">
        <f t="shared" si="0"/>
        <v>Lounge/Recreation - All other lounge/recreation</v>
      </c>
      <c r="D49" s="35">
        <v>1.2</v>
      </c>
      <c r="E49" s="36">
        <v>4</v>
      </c>
      <c r="G49" s="25" t="s">
        <v>1492</v>
      </c>
      <c r="H49" t="s">
        <v>1502</v>
      </c>
      <c r="I49" t="str">
        <f t="shared" si="1"/>
        <v>Lobby - All other lobbies</v>
      </c>
      <c r="J49" s="35">
        <v>0.9</v>
      </c>
      <c r="K49" s="36">
        <v>4</v>
      </c>
      <c r="L49" s="19"/>
      <c r="M49" s="31" t="s">
        <v>1507</v>
      </c>
      <c r="O49" t="str">
        <f t="shared" si="2"/>
        <v>Loading Dock, Interior</v>
      </c>
      <c r="P49" s="35">
        <v>0.47</v>
      </c>
      <c r="Q49" s="36">
        <v>6</v>
      </c>
      <c r="R49" s="19"/>
      <c r="S49" s="31" t="s">
        <v>1507</v>
      </c>
      <c r="U49" t="str">
        <f t="shared" si="3"/>
        <v>Loading Dock, Interior</v>
      </c>
      <c r="V49" s="35">
        <v>0.57999999999999996</v>
      </c>
      <c r="W49" s="36">
        <v>6</v>
      </c>
      <c r="Y49" s="25" t="s">
        <v>1492</v>
      </c>
      <c r="Z49" t="s">
        <v>1462</v>
      </c>
      <c r="AA49" t="str">
        <f t="shared" si="4"/>
        <v>Lobby - Facility for the visually impaired (an not used primarily by the staff) *3</v>
      </c>
      <c r="AB49" s="35">
        <v>1.69</v>
      </c>
      <c r="AC49" s="36">
        <v>4</v>
      </c>
      <c r="AE49" s="25" t="s">
        <v>1509</v>
      </c>
      <c r="AF49" t="s">
        <v>1512</v>
      </c>
      <c r="AG49" t="str">
        <f t="shared" si="5"/>
        <v>Healthcare Facility and Hospitals - Imaging Room</v>
      </c>
      <c r="AH49" s="35">
        <v>1</v>
      </c>
      <c r="AI49" s="25" t="s">
        <v>214</v>
      </c>
      <c r="AM49" s="26"/>
    </row>
    <row r="50" spans="1:39" x14ac:dyDescent="0.25">
      <c r="A50" s="31" t="s">
        <v>1513</v>
      </c>
      <c r="B50" s="32"/>
      <c r="C50" s="32" t="str">
        <f t="shared" si="0"/>
        <v>Office</v>
      </c>
      <c r="D50" s="37"/>
      <c r="E50" s="34" t="s">
        <v>214</v>
      </c>
      <c r="G50" s="31" t="s">
        <v>1472</v>
      </c>
      <c r="I50" t="str">
        <f t="shared" si="1"/>
        <v>Locker Room</v>
      </c>
      <c r="J50" s="35">
        <v>0.75</v>
      </c>
      <c r="K50" s="36">
        <v>6</v>
      </c>
      <c r="L50" s="19"/>
      <c r="M50" s="31" t="s">
        <v>1492</v>
      </c>
      <c r="N50" s="32"/>
      <c r="O50" s="32" t="str">
        <f t="shared" si="2"/>
        <v>Lobby</v>
      </c>
      <c r="P50" s="37" t="s">
        <v>214</v>
      </c>
      <c r="Q50" s="34" t="s">
        <v>214</v>
      </c>
      <c r="R50" s="19"/>
      <c r="S50" s="31" t="s">
        <v>1492</v>
      </c>
      <c r="T50" s="32"/>
      <c r="U50" s="32" t="str">
        <f t="shared" si="3"/>
        <v>Lobby</v>
      </c>
      <c r="V50" s="37" t="s">
        <v>214</v>
      </c>
      <c r="W50" s="34" t="s">
        <v>214</v>
      </c>
      <c r="Y50" s="25" t="s">
        <v>1492</v>
      </c>
      <c r="Z50" t="s">
        <v>1039</v>
      </c>
      <c r="AA50" t="str">
        <f t="shared" si="4"/>
        <v>Lobby - Elevator</v>
      </c>
      <c r="AB50" s="35">
        <v>0.65</v>
      </c>
      <c r="AC50" s="36">
        <v>6</v>
      </c>
      <c r="AE50" s="25" t="s">
        <v>1509</v>
      </c>
      <c r="AF50" t="s">
        <v>1514</v>
      </c>
      <c r="AG50" t="str">
        <f t="shared" si="5"/>
        <v>Healthcare Facility and Hospitals - Medical Supply Room</v>
      </c>
      <c r="AH50" s="35">
        <v>0.55000000000000004</v>
      </c>
      <c r="AI50" s="25" t="s">
        <v>214</v>
      </c>
      <c r="AM50" s="26"/>
    </row>
    <row r="51" spans="1:39" x14ac:dyDescent="0.25">
      <c r="A51" s="25" t="s">
        <v>1513</v>
      </c>
      <c r="B51" t="s">
        <v>1515</v>
      </c>
      <c r="C51" t="str">
        <f t="shared" si="0"/>
        <v>Office - Enclosed</v>
      </c>
      <c r="D51" s="35">
        <v>1.1000000000000001</v>
      </c>
      <c r="E51" s="36">
        <v>8</v>
      </c>
      <c r="G51" s="31" t="s">
        <v>1506</v>
      </c>
      <c r="H51" s="32"/>
      <c r="I51" s="32" t="str">
        <f t="shared" si="1"/>
        <v>Lounge/Recreation</v>
      </c>
      <c r="J51" s="37"/>
      <c r="K51" s="34" t="s">
        <v>214</v>
      </c>
      <c r="L51" s="33"/>
      <c r="M51" s="25" t="s">
        <v>1492</v>
      </c>
      <c r="N51" t="s">
        <v>1462</v>
      </c>
      <c r="O51" t="str">
        <f t="shared" si="2"/>
        <v>Lobby - Facility for the visually impaired (an not used primarily by the staff) *3</v>
      </c>
      <c r="P51" s="35">
        <v>1.8</v>
      </c>
      <c r="Q51" s="36">
        <v>4</v>
      </c>
      <c r="R51" s="19"/>
      <c r="S51" s="25" t="s">
        <v>1492</v>
      </c>
      <c r="T51" t="s">
        <v>1462</v>
      </c>
      <c r="U51" t="str">
        <f t="shared" si="3"/>
        <v>Lobby - Facility for the visually impaired (an not used primarily by the staff) *3</v>
      </c>
      <c r="V51" s="35">
        <v>2.0299999999999998</v>
      </c>
      <c r="W51" s="36">
        <v>4</v>
      </c>
      <c r="Y51" s="25" t="s">
        <v>1492</v>
      </c>
      <c r="Z51" t="s">
        <v>1480</v>
      </c>
      <c r="AA51" t="str">
        <f t="shared" si="4"/>
        <v>Lobby - Hotel</v>
      </c>
      <c r="AB51" s="35">
        <v>0.51</v>
      </c>
      <c r="AC51" s="36">
        <v>4</v>
      </c>
      <c r="AE51" s="25" t="s">
        <v>1509</v>
      </c>
      <c r="AF51" t="s">
        <v>1516</v>
      </c>
      <c r="AG51" t="str">
        <f t="shared" si="5"/>
        <v>Healthcare Facility and Hospitals - Nursery</v>
      </c>
      <c r="AH51" s="35">
        <v>0.95</v>
      </c>
      <c r="AI51" s="25" t="s">
        <v>1517</v>
      </c>
      <c r="AM51" s="26"/>
    </row>
    <row r="52" spans="1:39" x14ac:dyDescent="0.25">
      <c r="A52" s="25" t="s">
        <v>1513</v>
      </c>
      <c r="B52" t="s">
        <v>1518</v>
      </c>
      <c r="C52" t="str">
        <f t="shared" si="0"/>
        <v>Office - Open Plan</v>
      </c>
      <c r="D52" s="35">
        <v>1.1000000000000001</v>
      </c>
      <c r="E52" s="36">
        <v>4</v>
      </c>
      <c r="G52" s="25" t="s">
        <v>1506</v>
      </c>
      <c r="H52" t="s">
        <v>1508</v>
      </c>
      <c r="I52" t="str">
        <f t="shared" si="1"/>
        <v>Lounge/Recreation - Healthcare Facility</v>
      </c>
      <c r="J52" s="35">
        <v>1.07</v>
      </c>
      <c r="K52" s="36">
        <v>6</v>
      </c>
      <c r="L52" s="19"/>
      <c r="M52" s="25" t="s">
        <v>1492</v>
      </c>
      <c r="N52" t="s">
        <v>1039</v>
      </c>
      <c r="O52" t="str">
        <f t="shared" si="2"/>
        <v>Lobby - Elevator</v>
      </c>
      <c r="P52" s="35">
        <v>0.64</v>
      </c>
      <c r="Q52" s="36">
        <v>6</v>
      </c>
      <c r="R52" s="19"/>
      <c r="S52" s="25" t="s">
        <v>1492</v>
      </c>
      <c r="T52" t="s">
        <v>1039</v>
      </c>
      <c r="U52" t="str">
        <f t="shared" si="3"/>
        <v>Lobby - Elevator</v>
      </c>
      <c r="V52" s="35">
        <v>0.69</v>
      </c>
      <c r="W52" s="36">
        <v>6</v>
      </c>
      <c r="Y52" s="25" t="s">
        <v>1492</v>
      </c>
      <c r="Z52" t="s">
        <v>1420</v>
      </c>
      <c r="AA52" t="str">
        <f t="shared" si="4"/>
        <v>Lobby - Motion Picture Theater</v>
      </c>
      <c r="AB52" s="35">
        <v>0.23</v>
      </c>
      <c r="AC52" s="36">
        <v>4</v>
      </c>
      <c r="AE52" s="25" t="s">
        <v>1509</v>
      </c>
      <c r="AF52" t="s">
        <v>1519</v>
      </c>
      <c r="AG52" t="str">
        <f t="shared" si="5"/>
        <v>Healthcare Facility and Hospitals - Nurse's Station</v>
      </c>
      <c r="AH52" s="35">
        <v>0.75</v>
      </c>
      <c r="AI52" s="25" t="s">
        <v>1517</v>
      </c>
      <c r="AM52" s="26"/>
    </row>
    <row r="53" spans="1:39" x14ac:dyDescent="0.25">
      <c r="A53" s="31" t="s">
        <v>1520</v>
      </c>
      <c r="C53" t="str">
        <f t="shared" si="0"/>
        <v>Parking Area - Garage</v>
      </c>
      <c r="D53" s="35">
        <v>0.2</v>
      </c>
      <c r="E53" s="36">
        <v>4</v>
      </c>
      <c r="G53" s="25" t="s">
        <v>1506</v>
      </c>
      <c r="H53" t="s">
        <v>1511</v>
      </c>
      <c r="I53" t="str">
        <f t="shared" si="1"/>
        <v>Lounge/Recreation - All other lounge/recreation</v>
      </c>
      <c r="J53" s="35">
        <v>0.73</v>
      </c>
      <c r="K53" s="36">
        <v>4</v>
      </c>
      <c r="L53" s="19"/>
      <c r="M53" s="25" t="s">
        <v>1492</v>
      </c>
      <c r="N53" t="s">
        <v>1480</v>
      </c>
      <c r="O53" t="str">
        <f t="shared" si="2"/>
        <v>Lobby - Hotel</v>
      </c>
      <c r="P53" s="35">
        <v>1.06</v>
      </c>
      <c r="Q53" s="36">
        <v>4</v>
      </c>
      <c r="R53" s="19"/>
      <c r="S53" s="25" t="s">
        <v>1492</v>
      </c>
      <c r="T53" t="s">
        <v>1480</v>
      </c>
      <c r="U53" t="str">
        <f t="shared" si="3"/>
        <v>Lobby - Hotel</v>
      </c>
      <c r="V53" s="35">
        <v>1.06</v>
      </c>
      <c r="W53" s="36">
        <v>4</v>
      </c>
      <c r="Y53" s="25" t="s">
        <v>1492</v>
      </c>
      <c r="Z53" t="s">
        <v>1427</v>
      </c>
      <c r="AA53" t="str">
        <f t="shared" si="4"/>
        <v>Lobby - Performing Arts Theater</v>
      </c>
      <c r="AB53" s="35">
        <v>1.25</v>
      </c>
      <c r="AC53" s="36">
        <v>6</v>
      </c>
      <c r="AE53" s="25" t="s">
        <v>1509</v>
      </c>
      <c r="AF53" t="s">
        <v>1521</v>
      </c>
      <c r="AG53" t="str">
        <f t="shared" si="5"/>
        <v>Healthcare Facility and Hospitals - Operating Room</v>
      </c>
      <c r="AH53" s="35">
        <v>1.9</v>
      </c>
      <c r="AI53" s="25" t="s">
        <v>214</v>
      </c>
      <c r="AM53" s="26"/>
    </row>
    <row r="54" spans="1:39" x14ac:dyDescent="0.25">
      <c r="A54" s="31" t="s">
        <v>1522</v>
      </c>
      <c r="B54" s="32"/>
      <c r="C54" s="32" t="str">
        <f t="shared" si="0"/>
        <v>Restroom</v>
      </c>
      <c r="D54" s="37"/>
      <c r="E54" s="34" t="s">
        <v>214</v>
      </c>
      <c r="G54" s="31" t="s">
        <v>1513</v>
      </c>
      <c r="H54" s="32"/>
      <c r="I54" s="32" t="str">
        <f t="shared" si="1"/>
        <v>Office</v>
      </c>
      <c r="J54" s="37"/>
      <c r="K54" s="34" t="s">
        <v>214</v>
      </c>
      <c r="L54" s="33"/>
      <c r="M54" s="25" t="s">
        <v>1492</v>
      </c>
      <c r="N54" t="s">
        <v>1420</v>
      </c>
      <c r="O54" t="str">
        <f t="shared" si="2"/>
        <v>Lobby - Motion Picture Theater</v>
      </c>
      <c r="P54" s="35">
        <v>0.59</v>
      </c>
      <c r="Q54" s="36">
        <v>4</v>
      </c>
      <c r="R54" s="19"/>
      <c r="S54" s="25" t="s">
        <v>1492</v>
      </c>
      <c r="T54" t="s">
        <v>1420</v>
      </c>
      <c r="U54" t="str">
        <f t="shared" si="3"/>
        <v>Lobby - Motion Picture Theater</v>
      </c>
      <c r="V54" s="35">
        <v>0.45</v>
      </c>
      <c r="W54" s="36">
        <v>4</v>
      </c>
      <c r="Y54" s="25" t="s">
        <v>1492</v>
      </c>
      <c r="Z54" t="s">
        <v>1502</v>
      </c>
      <c r="AA54" t="str">
        <f t="shared" si="4"/>
        <v>Lobby - All other lobbies</v>
      </c>
      <c r="AB54" s="35">
        <v>0.84</v>
      </c>
      <c r="AC54" s="36">
        <v>4</v>
      </c>
      <c r="AE54" s="25" t="s">
        <v>1509</v>
      </c>
      <c r="AF54" t="s">
        <v>1523</v>
      </c>
      <c r="AG54" t="str">
        <f t="shared" si="5"/>
        <v>Healthcare Facility and Hospitals - Patient Room</v>
      </c>
      <c r="AH54" s="35">
        <v>0.55000000000000004</v>
      </c>
      <c r="AI54" s="25" t="s">
        <v>1406</v>
      </c>
      <c r="AJ54" t="s">
        <v>1517</v>
      </c>
      <c r="AM54" s="26"/>
    </row>
    <row r="55" spans="1:39" x14ac:dyDescent="0.25">
      <c r="A55" s="25" t="s">
        <v>1522</v>
      </c>
      <c r="B55" t="s">
        <v>1524</v>
      </c>
      <c r="C55" t="str">
        <f t="shared" si="0"/>
        <v>Restroom - All other restrooms</v>
      </c>
      <c r="D55" s="35">
        <v>0.9</v>
      </c>
      <c r="E55" s="36">
        <v>8</v>
      </c>
      <c r="G55" s="25" t="s">
        <v>1513</v>
      </c>
      <c r="H55" t="s">
        <v>1515</v>
      </c>
      <c r="I55" t="str">
        <f t="shared" si="1"/>
        <v>Office - Enclosed</v>
      </c>
      <c r="J55" s="35">
        <v>1.1100000000000001</v>
      </c>
      <c r="K55" s="36">
        <v>8</v>
      </c>
      <c r="L55" s="19"/>
      <c r="M55" s="25" t="s">
        <v>1492</v>
      </c>
      <c r="N55" t="s">
        <v>1427</v>
      </c>
      <c r="O55" t="str">
        <f t="shared" si="2"/>
        <v>Lobby - Performing Arts Theater</v>
      </c>
      <c r="P55" s="35">
        <v>2</v>
      </c>
      <c r="Q55" s="36">
        <v>6</v>
      </c>
      <c r="R55" s="19"/>
      <c r="S55" s="25" t="s">
        <v>1492</v>
      </c>
      <c r="T55" t="s">
        <v>1427</v>
      </c>
      <c r="U55" t="str">
        <f t="shared" si="3"/>
        <v>Lobby - Performing Arts Theater</v>
      </c>
      <c r="V55" s="35">
        <v>1.7</v>
      </c>
      <c r="W55" s="36">
        <v>6</v>
      </c>
      <c r="Y55" s="31" t="s">
        <v>1472</v>
      </c>
      <c r="AA55" t="str">
        <f t="shared" si="4"/>
        <v>Locker Room</v>
      </c>
      <c r="AB55" s="35">
        <v>0.52</v>
      </c>
      <c r="AC55" s="36">
        <v>6</v>
      </c>
      <c r="AE55" s="25" t="s">
        <v>1509</v>
      </c>
      <c r="AF55" t="s">
        <v>1525</v>
      </c>
      <c r="AG55" t="str">
        <f t="shared" si="5"/>
        <v>Healthcare Facility and Hospitals - Physical Therapy Room</v>
      </c>
      <c r="AH55" s="35">
        <v>0.85</v>
      </c>
      <c r="AI55" s="25" t="s">
        <v>1517</v>
      </c>
      <c r="AM55" s="26"/>
    </row>
    <row r="56" spans="1:39" x14ac:dyDescent="0.25">
      <c r="A56" s="31" t="s">
        <v>411</v>
      </c>
      <c r="C56" t="str">
        <f t="shared" si="0"/>
        <v>Sales Area</v>
      </c>
      <c r="D56" s="35">
        <v>1.7</v>
      </c>
      <c r="E56" s="36">
        <v>6</v>
      </c>
      <c r="G56" s="25" t="s">
        <v>1513</v>
      </c>
      <c r="H56" t="s">
        <v>1518</v>
      </c>
      <c r="I56" t="str">
        <f t="shared" si="1"/>
        <v>Office - Open Plan</v>
      </c>
      <c r="J56" s="35">
        <v>0.98</v>
      </c>
      <c r="K56" s="36">
        <v>4</v>
      </c>
      <c r="L56" s="19"/>
      <c r="M56" s="25" t="s">
        <v>1492</v>
      </c>
      <c r="N56" t="s">
        <v>1502</v>
      </c>
      <c r="O56" t="str">
        <f t="shared" si="2"/>
        <v>Lobby - All other lobbies</v>
      </c>
      <c r="P56" s="35">
        <v>0.9</v>
      </c>
      <c r="Q56" s="36">
        <v>4</v>
      </c>
      <c r="R56" s="33"/>
      <c r="S56" s="25" t="s">
        <v>1492</v>
      </c>
      <c r="T56" t="s">
        <v>1502</v>
      </c>
      <c r="U56" t="str">
        <f t="shared" si="3"/>
        <v>Lobby - All other lobbies</v>
      </c>
      <c r="V56" s="35">
        <v>1</v>
      </c>
      <c r="W56" s="36">
        <v>4</v>
      </c>
      <c r="Y56" s="31" t="s">
        <v>1526</v>
      </c>
      <c r="Z56" s="32"/>
      <c r="AA56" s="32" t="str">
        <f t="shared" si="4"/>
        <v>Lounge/Breakroom</v>
      </c>
      <c r="AB56" s="37" t="s">
        <v>214</v>
      </c>
      <c r="AC56" s="34" t="s">
        <v>214</v>
      </c>
      <c r="AE56" s="25" t="s">
        <v>1509</v>
      </c>
      <c r="AF56" t="s">
        <v>1527</v>
      </c>
      <c r="AG56" t="str">
        <f t="shared" si="5"/>
        <v>Healthcare Facility and Hospitals - Recovery Room</v>
      </c>
      <c r="AH56" s="35">
        <v>0.9</v>
      </c>
      <c r="AI56" s="25" t="s">
        <v>1517</v>
      </c>
      <c r="AM56" s="26"/>
    </row>
    <row r="57" spans="1:39" x14ac:dyDescent="0.25">
      <c r="A57" s="31" t="s">
        <v>405</v>
      </c>
      <c r="C57" t="str">
        <f t="shared" si="0"/>
        <v>Stairway</v>
      </c>
      <c r="D57" s="35">
        <v>0.6</v>
      </c>
      <c r="E57" s="36">
        <v>10</v>
      </c>
      <c r="G57" s="31" t="s">
        <v>1520</v>
      </c>
      <c r="I57" t="str">
        <f t="shared" si="1"/>
        <v>Parking Area - Garage</v>
      </c>
      <c r="J57" s="35">
        <v>0.19</v>
      </c>
      <c r="K57" s="36">
        <v>4</v>
      </c>
      <c r="L57" s="19"/>
      <c r="M57" s="31" t="s">
        <v>1472</v>
      </c>
      <c r="O57" t="str">
        <f t="shared" si="2"/>
        <v>Locker Room</v>
      </c>
      <c r="P57" s="35">
        <v>0.48</v>
      </c>
      <c r="Q57" s="36">
        <v>6</v>
      </c>
      <c r="R57" s="19"/>
      <c r="S57" s="31" t="s">
        <v>1472</v>
      </c>
      <c r="U57" t="str">
        <f t="shared" si="3"/>
        <v>Locker Room</v>
      </c>
      <c r="V57" s="35">
        <v>0.48</v>
      </c>
      <c r="W57" s="36">
        <v>6</v>
      </c>
      <c r="Y57" s="25" t="s">
        <v>1526</v>
      </c>
      <c r="Z57" t="s">
        <v>1508</v>
      </c>
      <c r="AA57" t="str">
        <f t="shared" si="4"/>
        <v>Lounge/Breakroom - Healthcare Facility</v>
      </c>
      <c r="AB57" s="35">
        <v>0.42</v>
      </c>
      <c r="AC57" s="36">
        <v>6</v>
      </c>
      <c r="AE57" s="25" t="s">
        <v>1528</v>
      </c>
      <c r="AG57" t="str">
        <f t="shared" si="5"/>
        <v>Laundry Area</v>
      </c>
      <c r="AH57" s="35">
        <v>0.45</v>
      </c>
      <c r="AI57" s="25" t="s">
        <v>214</v>
      </c>
      <c r="AM57" s="26"/>
    </row>
    <row r="58" spans="1:39" x14ac:dyDescent="0.25">
      <c r="A58" s="31" t="s">
        <v>1529</v>
      </c>
      <c r="C58" t="str">
        <f t="shared" si="0"/>
        <v>Storage (Active)</v>
      </c>
      <c r="D58" s="35">
        <v>0.8</v>
      </c>
      <c r="E58" s="36">
        <v>6</v>
      </c>
      <c r="G58" s="31" t="s">
        <v>1522</v>
      </c>
      <c r="H58" s="32"/>
      <c r="I58" s="32" t="str">
        <f t="shared" si="1"/>
        <v>Restroom</v>
      </c>
      <c r="J58" s="37"/>
      <c r="K58" s="34" t="s">
        <v>214</v>
      </c>
      <c r="L58" s="33"/>
      <c r="M58" s="31" t="s">
        <v>1526</v>
      </c>
      <c r="N58" s="32"/>
      <c r="O58" s="32" t="str">
        <f t="shared" si="2"/>
        <v>Lounge/Breakroom</v>
      </c>
      <c r="P58" s="37" t="s">
        <v>214</v>
      </c>
      <c r="Q58" s="34" t="s">
        <v>214</v>
      </c>
      <c r="R58" s="19"/>
      <c r="S58" s="31" t="s">
        <v>1526</v>
      </c>
      <c r="T58" s="32"/>
      <c r="U58" s="32" t="str">
        <f t="shared" si="3"/>
        <v>Lounge/Breakroom</v>
      </c>
      <c r="V58" s="37" t="s">
        <v>214</v>
      </c>
      <c r="W58" s="34" t="s">
        <v>214</v>
      </c>
      <c r="Y58" s="25" t="s">
        <v>1526</v>
      </c>
      <c r="Z58" t="s">
        <v>1530</v>
      </c>
      <c r="AA58" t="str">
        <f t="shared" si="4"/>
        <v>Lounge/Breakroom - All other lounge/breakrooms</v>
      </c>
      <c r="AB58" s="35">
        <v>0.59</v>
      </c>
      <c r="AC58" s="36">
        <v>4</v>
      </c>
      <c r="AE58" s="25" t="s">
        <v>1531</v>
      </c>
      <c r="AG58" t="str">
        <f t="shared" si="5"/>
        <v>Religious Worship Area</v>
      </c>
      <c r="AH58" s="35">
        <v>0.95</v>
      </c>
      <c r="AI58" s="25" t="s">
        <v>1390</v>
      </c>
      <c r="AM58" s="26"/>
    </row>
    <row r="59" spans="1:39" x14ac:dyDescent="0.25">
      <c r="A59" s="31" t="s">
        <v>1529</v>
      </c>
      <c r="B59" t="s">
        <v>1458</v>
      </c>
      <c r="C59" t="str">
        <f t="shared" si="0"/>
        <v>Storage (Active) - Hospital</v>
      </c>
      <c r="D59" s="35">
        <v>0.9</v>
      </c>
      <c r="E59" s="36">
        <v>6</v>
      </c>
      <c r="G59" s="25" t="s">
        <v>1522</v>
      </c>
      <c r="H59" t="s">
        <v>1524</v>
      </c>
      <c r="I59" t="str">
        <f t="shared" si="1"/>
        <v>Restroom - All other restrooms</v>
      </c>
      <c r="J59" s="35">
        <v>0.98</v>
      </c>
      <c r="K59" s="36">
        <v>8</v>
      </c>
      <c r="L59" s="19"/>
      <c r="M59" s="25" t="s">
        <v>1526</v>
      </c>
      <c r="N59" t="s">
        <v>1508</v>
      </c>
      <c r="O59" t="str">
        <f t="shared" si="2"/>
        <v>Lounge/Breakroom - Healthcare Facility</v>
      </c>
      <c r="P59" s="35">
        <v>0.92</v>
      </c>
      <c r="Q59" s="36">
        <v>6</v>
      </c>
      <c r="R59" s="33"/>
      <c r="S59" s="25" t="s">
        <v>1526</v>
      </c>
      <c r="T59" t="s">
        <v>1508</v>
      </c>
      <c r="U59" t="str">
        <f t="shared" si="3"/>
        <v>Lounge/Breakroom - Healthcare Facility</v>
      </c>
      <c r="V59" s="35">
        <v>0.78</v>
      </c>
      <c r="W59" s="36">
        <v>6</v>
      </c>
      <c r="Y59" s="31" t="s">
        <v>1513</v>
      </c>
      <c r="Z59" s="32"/>
      <c r="AA59" s="32" t="str">
        <f t="shared" si="4"/>
        <v>Office</v>
      </c>
      <c r="AB59" s="37" t="s">
        <v>214</v>
      </c>
      <c r="AC59" s="34" t="s">
        <v>214</v>
      </c>
      <c r="AE59" s="25" t="s">
        <v>402</v>
      </c>
      <c r="AG59" t="str">
        <f t="shared" si="5"/>
        <v>Restrooms</v>
      </c>
      <c r="AH59" s="35">
        <v>0.65</v>
      </c>
      <c r="AI59" s="25" t="s">
        <v>1391</v>
      </c>
      <c r="AJ59" t="s">
        <v>1406</v>
      </c>
      <c r="AM59" s="26"/>
    </row>
    <row r="60" spans="1:39" x14ac:dyDescent="0.25">
      <c r="A60" s="31" t="s">
        <v>407</v>
      </c>
      <c r="C60" t="str">
        <f t="shared" si="0"/>
        <v>Storage (Inactive)</v>
      </c>
      <c r="D60" s="35">
        <v>0.3</v>
      </c>
      <c r="E60" s="36">
        <v>6</v>
      </c>
      <c r="G60" s="31" t="s">
        <v>411</v>
      </c>
      <c r="I60" t="str">
        <f t="shared" si="1"/>
        <v>Sales Area</v>
      </c>
      <c r="J60" s="35">
        <v>1.68</v>
      </c>
      <c r="K60" s="36">
        <v>6</v>
      </c>
      <c r="L60" s="19"/>
      <c r="M60" s="25" t="s">
        <v>1526</v>
      </c>
      <c r="N60" t="s">
        <v>1530</v>
      </c>
      <c r="O60" t="str">
        <f t="shared" si="2"/>
        <v>Lounge/Breakroom - All other lounge/breakrooms</v>
      </c>
      <c r="P60" s="35">
        <v>0.73</v>
      </c>
      <c r="Q60" s="36">
        <v>4</v>
      </c>
      <c r="R60" s="19"/>
      <c r="S60" s="25" t="s">
        <v>1526</v>
      </c>
      <c r="T60" t="s">
        <v>1530</v>
      </c>
      <c r="U60" t="str">
        <f t="shared" si="3"/>
        <v>Lounge/Breakroom - All other lounge/breakrooms</v>
      </c>
      <c r="V60" s="35">
        <v>0.62</v>
      </c>
      <c r="W60" s="36">
        <v>4</v>
      </c>
      <c r="Y60" s="25" t="s">
        <v>1513</v>
      </c>
      <c r="Z60" t="s">
        <v>1532</v>
      </c>
      <c r="AA60" t="str">
        <f t="shared" si="4"/>
        <v>Office - Enclosed and &lt;=250sqft</v>
      </c>
      <c r="AB60" s="35">
        <v>0.74</v>
      </c>
      <c r="AC60" s="36">
        <v>8</v>
      </c>
      <c r="AE60" s="25" t="s">
        <v>1533</v>
      </c>
      <c r="AF60" t="s">
        <v>1534</v>
      </c>
      <c r="AG60" t="str">
        <f t="shared" si="5"/>
        <v>Transportation Fucntion - Baggage Area</v>
      </c>
      <c r="AH60" s="35">
        <v>0.4</v>
      </c>
      <c r="AI60" s="25" t="s">
        <v>214</v>
      </c>
      <c r="AM60" s="26"/>
    </row>
    <row r="61" spans="1:39" x14ac:dyDescent="0.25">
      <c r="A61" s="31" t="s">
        <v>407</v>
      </c>
      <c r="B61" t="s">
        <v>1535</v>
      </c>
      <c r="C61" t="str">
        <f t="shared" si="0"/>
        <v>Storage (Inactive) - Museum</v>
      </c>
      <c r="D61" s="35">
        <v>0.8</v>
      </c>
      <c r="E61" s="36">
        <v>6</v>
      </c>
      <c r="G61" s="31" t="s">
        <v>405</v>
      </c>
      <c r="I61" t="str">
        <f t="shared" si="1"/>
        <v>Stairway</v>
      </c>
      <c r="J61" s="35">
        <v>0.69</v>
      </c>
      <c r="K61" s="36">
        <v>10</v>
      </c>
      <c r="L61" s="19"/>
      <c r="M61" s="31" t="s">
        <v>1513</v>
      </c>
      <c r="N61" s="32"/>
      <c r="O61" s="32" t="str">
        <f t="shared" si="2"/>
        <v>Office</v>
      </c>
      <c r="P61" s="37" t="s">
        <v>214</v>
      </c>
      <c r="Q61" s="34" t="s">
        <v>214</v>
      </c>
      <c r="R61" s="19"/>
      <c r="S61" s="31" t="s">
        <v>1513</v>
      </c>
      <c r="T61" s="32"/>
      <c r="U61" s="32" t="str">
        <f t="shared" si="3"/>
        <v>Office</v>
      </c>
      <c r="V61" s="37" t="s">
        <v>214</v>
      </c>
      <c r="W61" s="34" t="s">
        <v>214</v>
      </c>
      <c r="Y61" s="25" t="s">
        <v>1513</v>
      </c>
      <c r="Z61" t="s">
        <v>1536</v>
      </c>
      <c r="AA61" t="str">
        <f t="shared" si="4"/>
        <v>Office - Enclosed and &gt;250sqft</v>
      </c>
      <c r="AB61" s="35">
        <v>0.66</v>
      </c>
      <c r="AC61" s="36">
        <v>8</v>
      </c>
      <c r="AE61" s="25" t="s">
        <v>1533</v>
      </c>
      <c r="AF61" t="s">
        <v>1537</v>
      </c>
      <c r="AG61" t="str">
        <f t="shared" si="5"/>
        <v>Transportation Fucntion - Ticketing Area</v>
      </c>
      <c r="AH61" s="35">
        <v>0.45</v>
      </c>
      <c r="AI61" s="25" t="s">
        <v>1391</v>
      </c>
      <c r="AM61" s="26"/>
    </row>
    <row r="62" spans="1:39" x14ac:dyDescent="0.25">
      <c r="A62" s="31" t="s">
        <v>1538</v>
      </c>
      <c r="C62" t="str">
        <f t="shared" si="0"/>
        <v>Workshop</v>
      </c>
      <c r="D62" s="35">
        <v>1.9</v>
      </c>
      <c r="E62" s="36">
        <v>6</v>
      </c>
      <c r="G62" s="31" t="s">
        <v>1539</v>
      </c>
      <c r="I62" t="str">
        <f t="shared" si="1"/>
        <v>Storage Room</v>
      </c>
      <c r="J62" s="35">
        <v>0.63</v>
      </c>
      <c r="K62" s="36">
        <v>6</v>
      </c>
      <c r="L62" s="19"/>
      <c r="M62" s="25" t="s">
        <v>1513</v>
      </c>
      <c r="N62" t="s">
        <v>1532</v>
      </c>
      <c r="O62" t="str">
        <f t="shared" si="2"/>
        <v>Office - Enclosed and &lt;=250sqft</v>
      </c>
      <c r="P62" s="35">
        <v>1.1100000000000001</v>
      </c>
      <c r="Q62" s="36">
        <v>8</v>
      </c>
      <c r="R62" s="19"/>
      <c r="S62" s="25" t="s">
        <v>1513</v>
      </c>
      <c r="T62" t="s">
        <v>1532</v>
      </c>
      <c r="U62" t="str">
        <f t="shared" si="3"/>
        <v>Office - Enclosed and &lt;=250sqft</v>
      </c>
      <c r="V62" s="35">
        <v>0.93</v>
      </c>
      <c r="W62" s="36">
        <v>8</v>
      </c>
      <c r="Y62" s="25" t="s">
        <v>1513</v>
      </c>
      <c r="Z62" t="s">
        <v>1518</v>
      </c>
      <c r="AA62" t="str">
        <f t="shared" si="4"/>
        <v>Office - Open Plan</v>
      </c>
      <c r="AB62" s="35">
        <v>0.61</v>
      </c>
      <c r="AC62" s="36">
        <v>4</v>
      </c>
      <c r="AE62" s="25" t="s">
        <v>1540</v>
      </c>
      <c r="AF62" t="s">
        <v>1541</v>
      </c>
      <c r="AG62" t="str">
        <f t="shared" si="5"/>
        <v>Sports Arena - Playing Area - Class I Facility *13</v>
      </c>
      <c r="AH62" s="35">
        <v>2.25</v>
      </c>
      <c r="AI62" s="25" t="s">
        <v>214</v>
      </c>
      <c r="AM62" s="26"/>
    </row>
    <row r="63" spans="1:39" x14ac:dyDescent="0.25">
      <c r="A63" s="31" t="s">
        <v>1542</v>
      </c>
      <c r="C63" t="str">
        <f t="shared" si="0"/>
        <v>Automotive Service/Repair</v>
      </c>
      <c r="D63" s="35">
        <v>0.7</v>
      </c>
      <c r="E63" s="36">
        <v>4</v>
      </c>
      <c r="G63" s="31" t="s">
        <v>1538</v>
      </c>
      <c r="I63" t="str">
        <f t="shared" si="1"/>
        <v>Workshop</v>
      </c>
      <c r="J63" s="35">
        <v>1.59</v>
      </c>
      <c r="K63" s="36">
        <v>6</v>
      </c>
      <c r="L63" s="19"/>
      <c r="M63" s="25" t="s">
        <v>1513</v>
      </c>
      <c r="N63" t="s">
        <v>1536</v>
      </c>
      <c r="O63" t="str">
        <f t="shared" si="2"/>
        <v>Office - Enclosed and &gt;250sqft</v>
      </c>
      <c r="P63" s="35">
        <v>1.1100000000000001</v>
      </c>
      <c r="Q63" s="36">
        <v>8</v>
      </c>
      <c r="R63" s="19"/>
      <c r="S63" s="25" t="s">
        <v>1513</v>
      </c>
      <c r="T63" t="s">
        <v>1536</v>
      </c>
      <c r="U63" t="str">
        <f t="shared" si="3"/>
        <v>Office - Enclosed and &gt;250sqft</v>
      </c>
      <c r="V63" s="35">
        <v>0.93</v>
      </c>
      <c r="W63" s="36">
        <v>8</v>
      </c>
      <c r="Y63" s="31" t="s">
        <v>1543</v>
      </c>
      <c r="AA63" t="str">
        <f t="shared" si="4"/>
        <v>Parking Area, Interior</v>
      </c>
      <c r="AB63" s="35">
        <v>0.15</v>
      </c>
      <c r="AC63" s="36">
        <v>4</v>
      </c>
      <c r="AE63" s="25" t="s">
        <v>1540</v>
      </c>
      <c r="AF63" t="s">
        <v>1544</v>
      </c>
      <c r="AG63" t="str">
        <f t="shared" si="5"/>
        <v>Sports Arena - Playing Area - Class II Facility *13</v>
      </c>
      <c r="AH63" s="35">
        <v>1.45</v>
      </c>
      <c r="AI63" s="25" t="s">
        <v>214</v>
      </c>
      <c r="AM63" s="26"/>
    </row>
    <row r="64" spans="1:39" x14ac:dyDescent="0.25">
      <c r="A64" s="31" t="s">
        <v>1545</v>
      </c>
      <c r="C64" t="str">
        <f t="shared" si="0"/>
        <v>Convention Center - Exhibit Space</v>
      </c>
      <c r="D64" s="35">
        <v>1.3</v>
      </c>
      <c r="E64" s="36">
        <v>4</v>
      </c>
      <c r="G64" s="31" t="s">
        <v>1542</v>
      </c>
      <c r="I64" t="str">
        <f t="shared" si="1"/>
        <v>Automotive Service/Repair</v>
      </c>
      <c r="J64" s="35">
        <v>0.64</v>
      </c>
      <c r="K64" s="36">
        <v>4</v>
      </c>
      <c r="L64" s="19"/>
      <c r="M64" s="25" t="s">
        <v>1513</v>
      </c>
      <c r="N64" t="s">
        <v>1518</v>
      </c>
      <c r="O64" t="str">
        <f t="shared" si="2"/>
        <v>Office - Open Plan</v>
      </c>
      <c r="P64" s="35">
        <v>0.98</v>
      </c>
      <c r="Q64" s="36">
        <v>4</v>
      </c>
      <c r="R64" s="19"/>
      <c r="S64" s="25" t="s">
        <v>1513</v>
      </c>
      <c r="T64" t="s">
        <v>1518</v>
      </c>
      <c r="U64" t="str">
        <f t="shared" si="3"/>
        <v>Office - Open Plan</v>
      </c>
      <c r="V64" s="35">
        <v>0.81</v>
      </c>
      <c r="W64" s="36">
        <v>4</v>
      </c>
      <c r="Y64" s="31" t="s">
        <v>1491</v>
      </c>
      <c r="AA64" t="str">
        <f t="shared" si="4"/>
        <v>Pharmacy Area</v>
      </c>
      <c r="AB64" s="35">
        <v>1.66</v>
      </c>
      <c r="AC64" s="36">
        <v>6</v>
      </c>
      <c r="AE64" s="25" t="s">
        <v>1540</v>
      </c>
      <c r="AF64" t="s">
        <v>1546</v>
      </c>
      <c r="AG64" t="str">
        <f t="shared" si="5"/>
        <v>Sports Arena - Playing Area - Class III Facility *13</v>
      </c>
      <c r="AH64" s="35">
        <v>1.1000000000000001</v>
      </c>
      <c r="AI64" s="25" t="s">
        <v>214</v>
      </c>
      <c r="AM64" s="26"/>
    </row>
    <row r="65" spans="1:39" x14ac:dyDescent="0.25">
      <c r="A65" s="31" t="s">
        <v>1547</v>
      </c>
      <c r="C65" t="str">
        <f t="shared" si="0"/>
        <v>Dormitory - Living Quarters</v>
      </c>
      <c r="D65" s="35">
        <v>1.1000000000000001</v>
      </c>
      <c r="E65" s="36">
        <v>8</v>
      </c>
      <c r="G65" s="31" t="s">
        <v>1545</v>
      </c>
      <c r="I65" t="str">
        <f t="shared" si="1"/>
        <v>Convention Center - Exhibit Space</v>
      </c>
      <c r="J65" s="35">
        <v>1.45</v>
      </c>
      <c r="K65" s="36">
        <v>4</v>
      </c>
      <c r="L65" s="19"/>
      <c r="M65" s="31" t="s">
        <v>1543</v>
      </c>
      <c r="O65" t="str">
        <f t="shared" si="2"/>
        <v>Parking Area, Interior</v>
      </c>
      <c r="P65" s="35">
        <v>0.19</v>
      </c>
      <c r="Q65" s="36">
        <v>4</v>
      </c>
      <c r="R65" s="33"/>
      <c r="S65" s="31" t="s">
        <v>1543</v>
      </c>
      <c r="U65" t="str">
        <f t="shared" si="3"/>
        <v>Parking Area, Interior</v>
      </c>
      <c r="V65" s="35">
        <v>0.14000000000000001</v>
      </c>
      <c r="W65" s="36">
        <v>4</v>
      </c>
      <c r="Y65" s="31" t="s">
        <v>1522</v>
      </c>
      <c r="Z65" s="32"/>
      <c r="AA65" s="32" t="str">
        <f t="shared" si="4"/>
        <v>Restroom</v>
      </c>
      <c r="AB65" s="37" t="s">
        <v>214</v>
      </c>
      <c r="AC65" s="34" t="s">
        <v>214</v>
      </c>
      <c r="AE65" s="25" t="s">
        <v>1540</v>
      </c>
      <c r="AF65" t="s">
        <v>1548</v>
      </c>
      <c r="AG65" t="str">
        <f t="shared" si="5"/>
        <v>Sports Arena - Playing Area - Class IV Facility *13</v>
      </c>
      <c r="AH65" s="35">
        <v>0.75</v>
      </c>
      <c r="AI65" s="25" t="s">
        <v>214</v>
      </c>
      <c r="AM65" s="26"/>
    </row>
    <row r="66" spans="1:39" x14ac:dyDescent="0.25">
      <c r="A66" s="31" t="s">
        <v>1549</v>
      </c>
      <c r="C66" t="str">
        <f t="shared" si="0"/>
        <v>Fire Station - Engine Room</v>
      </c>
      <c r="D66" s="35">
        <v>0.8</v>
      </c>
      <c r="E66" s="36">
        <v>4</v>
      </c>
      <c r="G66" s="31" t="s">
        <v>1547</v>
      </c>
      <c r="I66" t="str">
        <f t="shared" si="1"/>
        <v>Dormitory - Living Quarters</v>
      </c>
      <c r="J66" s="35">
        <v>0.38</v>
      </c>
      <c r="K66" s="36">
        <v>8</v>
      </c>
      <c r="L66" s="19"/>
      <c r="M66" s="31" t="s">
        <v>1491</v>
      </c>
      <c r="O66" t="str">
        <f t="shared" si="2"/>
        <v>Pharmacy Area</v>
      </c>
      <c r="P66" s="35">
        <v>1.68</v>
      </c>
      <c r="Q66" s="36">
        <v>6</v>
      </c>
      <c r="R66" s="19"/>
      <c r="S66" s="31" t="s">
        <v>1491</v>
      </c>
      <c r="U66" t="str">
        <f t="shared" si="3"/>
        <v>Pharmacy Area</v>
      </c>
      <c r="V66" s="35">
        <v>1.34</v>
      </c>
      <c r="W66" s="36">
        <v>6</v>
      </c>
      <c r="Y66" s="25" t="s">
        <v>1522</v>
      </c>
      <c r="Z66" t="s">
        <v>1462</v>
      </c>
      <c r="AA66" t="str">
        <f t="shared" si="4"/>
        <v>Restroom - Facility for the visually impaired (an not used primarily by the staff) *3</v>
      </c>
      <c r="AB66" s="35">
        <v>1.26</v>
      </c>
      <c r="AC66" s="36">
        <v>8</v>
      </c>
      <c r="AE66" s="25" t="s">
        <v>404</v>
      </c>
      <c r="AG66" t="str">
        <f t="shared" si="5"/>
        <v>Stairwell</v>
      </c>
      <c r="AH66" s="35">
        <v>0.5</v>
      </c>
      <c r="AI66" s="25" t="s">
        <v>1391</v>
      </c>
      <c r="AJ66" t="s">
        <v>1406</v>
      </c>
      <c r="AM66" s="26"/>
    </row>
    <row r="67" spans="1:39" x14ac:dyDescent="0.25">
      <c r="A67" s="25" t="s">
        <v>1550</v>
      </c>
      <c r="C67" t="str">
        <f t="shared" si="0"/>
        <v>Fire Station - Sleeping Quarters</v>
      </c>
      <c r="D67" s="35">
        <v>0.3</v>
      </c>
      <c r="E67" s="36">
        <v>6</v>
      </c>
      <c r="G67" s="31" t="s">
        <v>1549</v>
      </c>
      <c r="I67" t="str">
        <f t="shared" si="1"/>
        <v>Fire Station - Engine Room</v>
      </c>
      <c r="J67" s="35">
        <v>0.56000000000000005</v>
      </c>
      <c r="K67" s="36">
        <v>4</v>
      </c>
      <c r="L67" s="19"/>
      <c r="M67" s="31" t="s">
        <v>1522</v>
      </c>
      <c r="N67" s="32"/>
      <c r="O67" s="32" t="str">
        <f t="shared" si="2"/>
        <v>Restroom</v>
      </c>
      <c r="P67" s="37" t="s">
        <v>214</v>
      </c>
      <c r="Q67" s="34" t="s">
        <v>214</v>
      </c>
      <c r="R67" s="19"/>
      <c r="S67" s="31" t="s">
        <v>1522</v>
      </c>
      <c r="T67" s="32"/>
      <c r="U67" s="32" t="str">
        <f t="shared" si="3"/>
        <v>Restroom</v>
      </c>
      <c r="V67" s="37" t="s">
        <v>214</v>
      </c>
      <c r="W67" s="34" t="s">
        <v>214</v>
      </c>
      <c r="Y67" s="25" t="s">
        <v>1522</v>
      </c>
      <c r="Z67" t="s">
        <v>1524</v>
      </c>
      <c r="AA67" t="str">
        <f t="shared" si="4"/>
        <v>Restroom - All other restrooms</v>
      </c>
      <c r="AB67" s="35">
        <v>0.63</v>
      </c>
      <c r="AC67" s="36">
        <v>8</v>
      </c>
      <c r="AE67" s="25" t="s">
        <v>1551</v>
      </c>
      <c r="AG67" t="str">
        <f t="shared" si="5"/>
        <v>Videoconferencing Studio</v>
      </c>
      <c r="AH67" s="35">
        <v>0.9</v>
      </c>
      <c r="AI67" s="25" t="s">
        <v>1442</v>
      </c>
      <c r="AM67" s="26"/>
    </row>
    <row r="68" spans="1:39" x14ac:dyDescent="0.25">
      <c r="A68" s="31" t="s">
        <v>1552</v>
      </c>
      <c r="B68" s="32"/>
      <c r="C68" s="32" t="str">
        <f t="shared" ref="C68:C116" si="6">IF(B68="",CONCATENATE(A68),CONCATENATE(A68," - ",B68))</f>
        <v>Gymnasium/Fitness Center</v>
      </c>
      <c r="D68" s="37"/>
      <c r="E68" s="34" t="s">
        <v>214</v>
      </c>
      <c r="G68" s="25" t="s">
        <v>1550</v>
      </c>
      <c r="I68" t="str">
        <f t="shared" si="1"/>
        <v>Fire Station - Sleeping Quarters</v>
      </c>
      <c r="J68" s="35">
        <v>0.25</v>
      </c>
      <c r="K68" s="36">
        <v>6</v>
      </c>
      <c r="L68" s="19"/>
      <c r="M68" s="25" t="s">
        <v>1522</v>
      </c>
      <c r="N68" t="s">
        <v>1462</v>
      </c>
      <c r="O68" t="str">
        <f t="shared" si="2"/>
        <v>Restroom - Facility for the visually impaired (an not used primarily by the staff) *3</v>
      </c>
      <c r="P68" s="35">
        <v>1.21</v>
      </c>
      <c r="Q68" s="36">
        <v>8</v>
      </c>
      <c r="R68" s="19"/>
      <c r="S68" s="25" t="s">
        <v>1522</v>
      </c>
      <c r="T68" t="s">
        <v>1462</v>
      </c>
      <c r="U68" t="str">
        <f t="shared" si="3"/>
        <v>Restroom - Facility for the visually impaired (an not used primarily by the staff) *3</v>
      </c>
      <c r="V68" s="35">
        <v>0.96</v>
      </c>
      <c r="W68" s="36">
        <v>8</v>
      </c>
      <c r="Y68" s="31" t="s">
        <v>411</v>
      </c>
      <c r="AA68" t="str">
        <f t="shared" si="4"/>
        <v>Sales Area</v>
      </c>
      <c r="AB68" s="35">
        <v>1.05</v>
      </c>
      <c r="AC68" s="36">
        <v>6</v>
      </c>
      <c r="AE68" s="25" t="s">
        <v>406</v>
      </c>
      <c r="AG68" t="str">
        <f t="shared" si="5"/>
        <v>All other</v>
      </c>
      <c r="AH68" s="35">
        <v>0.4</v>
      </c>
      <c r="AI68" s="25" t="s">
        <v>214</v>
      </c>
      <c r="AM68" s="26"/>
    </row>
    <row r="69" spans="1:39" x14ac:dyDescent="0.25">
      <c r="A69" s="25" t="s">
        <v>1552</v>
      </c>
      <c r="B69" t="s">
        <v>1553</v>
      </c>
      <c r="C69" t="str">
        <f t="shared" si="6"/>
        <v>Gymnasium/Fitness Center - Fitness Area</v>
      </c>
      <c r="D69" s="35">
        <v>1.4</v>
      </c>
      <c r="E69" s="36">
        <v>4</v>
      </c>
      <c r="G69" s="31" t="s">
        <v>1552</v>
      </c>
      <c r="H69" s="32"/>
      <c r="I69" s="32" t="str">
        <f t="shared" ref="I69:I121" si="7">IF(H69="",CONCATENATE(G69),CONCATENATE(G69," - ",H69))</f>
        <v>Gymnasium/Fitness Center</v>
      </c>
      <c r="J69" s="37"/>
      <c r="K69" s="34" t="s">
        <v>214</v>
      </c>
      <c r="L69" s="33"/>
      <c r="M69" s="25" t="s">
        <v>1522</v>
      </c>
      <c r="N69" t="s">
        <v>1524</v>
      </c>
      <c r="O69" t="str">
        <f t="shared" si="2"/>
        <v>Restroom - All other restrooms</v>
      </c>
      <c r="P69" s="35">
        <v>0.98</v>
      </c>
      <c r="Q69" s="36">
        <v>8</v>
      </c>
      <c r="R69" s="19"/>
      <c r="S69" s="25" t="s">
        <v>1522</v>
      </c>
      <c r="T69" t="s">
        <v>1524</v>
      </c>
      <c r="U69" t="str">
        <f t="shared" si="3"/>
        <v>Restroom - All other restrooms</v>
      </c>
      <c r="V69" s="35">
        <v>0.85</v>
      </c>
      <c r="W69" s="36">
        <v>8</v>
      </c>
      <c r="Y69" s="31" t="s">
        <v>1554</v>
      </c>
      <c r="AA69" t="str">
        <f t="shared" ref="AA69:AA128" si="8">IF(Z69="",CONCATENATE(Y69),CONCATENATE(Y69," - ",Z69))</f>
        <v>Seating Area, General</v>
      </c>
      <c r="AB69" s="35">
        <v>0.23</v>
      </c>
      <c r="AC69" s="36">
        <v>4</v>
      </c>
      <c r="AE69" s="25" t="s">
        <v>1555</v>
      </c>
      <c r="AF69" t="s">
        <v>392</v>
      </c>
      <c r="AG69" t="str">
        <f t="shared" si="5"/>
        <v>Aging Eye/Low-Vision *11 - Main Entry Lobby</v>
      </c>
      <c r="AH69" s="35">
        <v>0.85</v>
      </c>
      <c r="AI69" s="25" t="s">
        <v>1390</v>
      </c>
      <c r="AJ69" t="s">
        <v>1436</v>
      </c>
      <c r="AM69" s="26"/>
    </row>
    <row r="70" spans="1:39" x14ac:dyDescent="0.25">
      <c r="A70" s="25" t="s">
        <v>1552</v>
      </c>
      <c r="B70" t="s">
        <v>1556</v>
      </c>
      <c r="C70" t="str">
        <f t="shared" si="6"/>
        <v>Gymnasium/Fitness Center - Playing Area</v>
      </c>
      <c r="D70" s="35">
        <v>0.9</v>
      </c>
      <c r="E70" s="36">
        <v>4</v>
      </c>
      <c r="G70" s="25" t="s">
        <v>1552</v>
      </c>
      <c r="H70" t="s">
        <v>1553</v>
      </c>
      <c r="I70" t="str">
        <f t="shared" si="7"/>
        <v>Gymnasium/Fitness Center - Fitness Area</v>
      </c>
      <c r="J70" s="35">
        <v>0.72</v>
      </c>
      <c r="K70" s="36">
        <v>4</v>
      </c>
      <c r="L70" s="19"/>
      <c r="M70" s="31" t="s">
        <v>411</v>
      </c>
      <c r="O70" t="str">
        <f t="shared" si="2"/>
        <v>Sales Area</v>
      </c>
      <c r="P70" s="35">
        <v>1.44</v>
      </c>
      <c r="Q70" s="36">
        <v>6</v>
      </c>
      <c r="R70" s="35"/>
      <c r="S70" s="31" t="s">
        <v>411</v>
      </c>
      <c r="U70" t="str">
        <f t="shared" si="3"/>
        <v>Sales Area</v>
      </c>
      <c r="V70" s="35">
        <v>1.22</v>
      </c>
      <c r="W70" s="36">
        <v>6</v>
      </c>
      <c r="Y70" s="31" t="s">
        <v>405</v>
      </c>
      <c r="AA70" t="str">
        <f t="shared" si="8"/>
        <v>Stairway</v>
      </c>
      <c r="AB70" s="35" t="s">
        <v>1557</v>
      </c>
      <c r="AC70" s="30" t="s">
        <v>1557</v>
      </c>
      <c r="AE70" s="25" t="s">
        <v>1555</v>
      </c>
      <c r="AF70" t="s">
        <v>404</v>
      </c>
      <c r="AG70" t="str">
        <f t="shared" ref="AG70:AG77" si="9">IF(AF70="",AE70,CONCATENATE(AE70," - ",AF70))</f>
        <v>Aging Eye/Low-Vision *11 - Stairwell</v>
      </c>
      <c r="AH70" s="35">
        <v>0.8</v>
      </c>
      <c r="AI70" s="25" t="s">
        <v>214</v>
      </c>
      <c r="AM70" s="26"/>
    </row>
    <row r="71" spans="1:39" x14ac:dyDescent="0.25">
      <c r="A71" s="31" t="s">
        <v>1508</v>
      </c>
      <c r="B71" s="32"/>
      <c r="C71" s="32" t="str">
        <f t="shared" si="6"/>
        <v>Healthcare Facility</v>
      </c>
      <c r="D71" s="37"/>
      <c r="E71" s="34" t="s">
        <v>214</v>
      </c>
      <c r="G71" s="25" t="s">
        <v>1552</v>
      </c>
      <c r="H71" t="s">
        <v>1556</v>
      </c>
      <c r="I71" t="str">
        <f t="shared" si="7"/>
        <v>Gymnasium/Fitness Center - Playing Area</v>
      </c>
      <c r="J71" s="35">
        <v>1.2</v>
      </c>
      <c r="K71" s="36">
        <v>4</v>
      </c>
      <c r="L71" s="19"/>
      <c r="M71" s="31" t="s">
        <v>1554</v>
      </c>
      <c r="O71" t="str">
        <f t="shared" ref="O71:O131" si="10">IF(N71="",CONCATENATE(M71),CONCATENATE(M71," - ",N71))</f>
        <v>Seating Area, General</v>
      </c>
      <c r="P71" s="35">
        <v>0.54</v>
      </c>
      <c r="Q71" s="36">
        <v>4</v>
      </c>
      <c r="R71" s="19"/>
      <c r="S71" s="31" t="s">
        <v>1554</v>
      </c>
      <c r="U71" t="str">
        <f t="shared" ref="U71:U131" si="11">IF(T71="",CONCATENATE(S71),CONCATENATE(S71," - ",T71))</f>
        <v>Seating Area, General</v>
      </c>
      <c r="V71" s="35">
        <v>0.41</v>
      </c>
      <c r="W71" s="36">
        <v>4</v>
      </c>
      <c r="Y71" s="31" t="s">
        <v>404</v>
      </c>
      <c r="AA71" t="str">
        <f t="shared" si="8"/>
        <v>Stairwell</v>
      </c>
      <c r="AB71" s="35">
        <v>0.49</v>
      </c>
      <c r="AC71" s="36">
        <v>10</v>
      </c>
      <c r="AE71" s="25" t="s">
        <v>1555</v>
      </c>
      <c r="AF71" t="s">
        <v>379</v>
      </c>
      <c r="AG71" t="str">
        <f t="shared" si="9"/>
        <v>Aging Eye/Low-Vision *11 - Corridor Area</v>
      </c>
      <c r="AH71" s="35">
        <v>0.8</v>
      </c>
      <c r="AI71" s="25" t="s">
        <v>1406</v>
      </c>
      <c r="AM71" s="26"/>
    </row>
    <row r="72" spans="1:39" x14ac:dyDescent="0.25">
      <c r="A72" s="25" t="s">
        <v>1508</v>
      </c>
      <c r="B72" t="s">
        <v>1558</v>
      </c>
      <c r="C72" t="str">
        <f t="shared" si="6"/>
        <v>Healthcare Facility - Emergency</v>
      </c>
      <c r="D72" s="35">
        <v>2.7</v>
      </c>
      <c r="E72" s="36">
        <v>6</v>
      </c>
      <c r="G72" s="31" t="s">
        <v>1508</v>
      </c>
      <c r="H72" s="32"/>
      <c r="I72" s="32" t="str">
        <f t="shared" si="7"/>
        <v>Healthcare Facility</v>
      </c>
      <c r="J72" s="37"/>
      <c r="K72" s="34" t="s">
        <v>214</v>
      </c>
      <c r="L72" s="33"/>
      <c r="M72" s="31" t="s">
        <v>405</v>
      </c>
      <c r="O72" t="str">
        <f t="shared" si="10"/>
        <v>Stairway</v>
      </c>
      <c r="P72" s="35" t="s">
        <v>1557</v>
      </c>
      <c r="Q72" s="30" t="s">
        <v>1557</v>
      </c>
      <c r="R72" s="33"/>
      <c r="S72" s="31" t="s">
        <v>405</v>
      </c>
      <c r="U72" t="str">
        <f t="shared" si="11"/>
        <v>Stairway</v>
      </c>
      <c r="V72" s="35" t="s">
        <v>1557</v>
      </c>
      <c r="W72" s="30" t="s">
        <v>1557</v>
      </c>
      <c r="Y72" s="31" t="s">
        <v>1539</v>
      </c>
      <c r="Z72" s="32"/>
      <c r="AA72" s="32" t="str">
        <f t="shared" si="8"/>
        <v>Storage Room</v>
      </c>
      <c r="AB72" s="37" t="s">
        <v>214</v>
      </c>
      <c r="AC72" s="34" t="s">
        <v>214</v>
      </c>
      <c r="AE72" s="25" t="s">
        <v>1555</v>
      </c>
      <c r="AF72" t="s">
        <v>1559</v>
      </c>
      <c r="AG72" t="str">
        <f t="shared" si="9"/>
        <v>Aging Eye/Low-Vision *11 - Lounge/Waiting Area</v>
      </c>
      <c r="AH72" s="35">
        <v>0.75</v>
      </c>
      <c r="AI72" s="25" t="s">
        <v>1390</v>
      </c>
      <c r="AM72" s="26"/>
    </row>
    <row r="73" spans="1:39" x14ac:dyDescent="0.25">
      <c r="A73" s="25" t="s">
        <v>1508</v>
      </c>
      <c r="B73" t="s">
        <v>1510</v>
      </c>
      <c r="C73" t="str">
        <f t="shared" si="6"/>
        <v>Healthcare Facility - Exam/Treatment Room</v>
      </c>
      <c r="D73" s="35">
        <v>1.5</v>
      </c>
      <c r="E73" s="36">
        <v>8</v>
      </c>
      <c r="G73" s="25" t="s">
        <v>1508</v>
      </c>
      <c r="H73" t="s">
        <v>1558</v>
      </c>
      <c r="I73" t="str">
        <f t="shared" si="7"/>
        <v>Healthcare Facility - Emergency</v>
      </c>
      <c r="J73" s="35">
        <v>2.2599999999999998</v>
      </c>
      <c r="K73" s="36">
        <v>6</v>
      </c>
      <c r="L73" s="19"/>
      <c r="M73" s="31" t="s">
        <v>404</v>
      </c>
      <c r="O73" t="str">
        <f t="shared" si="10"/>
        <v>Stairwell</v>
      </c>
      <c r="P73" s="35">
        <v>0.69</v>
      </c>
      <c r="Q73" s="36">
        <v>10</v>
      </c>
      <c r="R73" s="19"/>
      <c r="S73" s="31" t="s">
        <v>404</v>
      </c>
      <c r="U73" t="str">
        <f t="shared" si="11"/>
        <v>Stairwell</v>
      </c>
      <c r="V73" s="35">
        <v>0.57999999999999996</v>
      </c>
      <c r="W73" s="36">
        <v>10</v>
      </c>
      <c r="Y73" s="25" t="s">
        <v>1539</v>
      </c>
      <c r="Z73" t="s">
        <v>1560</v>
      </c>
      <c r="AA73" t="str">
        <f t="shared" si="8"/>
        <v>Storage Room - &lt;50sqft</v>
      </c>
      <c r="AB73" s="35">
        <v>0.51</v>
      </c>
      <c r="AC73" s="36">
        <v>6</v>
      </c>
      <c r="AE73" s="25" t="s">
        <v>1555</v>
      </c>
      <c r="AF73" t="s">
        <v>1561</v>
      </c>
      <c r="AG73" t="str">
        <f t="shared" si="9"/>
        <v>Aging Eye/Low-Vision *11 - Multipurpose Room</v>
      </c>
      <c r="AH73" s="35">
        <v>0.95</v>
      </c>
      <c r="AI73" s="25" t="s">
        <v>1390</v>
      </c>
      <c r="AM73" s="26"/>
    </row>
    <row r="74" spans="1:39" x14ac:dyDescent="0.25">
      <c r="A74" s="25" t="s">
        <v>1508</v>
      </c>
      <c r="B74" t="s">
        <v>1562</v>
      </c>
      <c r="C74" t="str">
        <f t="shared" si="6"/>
        <v>Healthcare Facility - Laundry/Washing</v>
      </c>
      <c r="D74" s="35">
        <v>0.6</v>
      </c>
      <c r="E74" s="36">
        <v>6</v>
      </c>
      <c r="G74" s="25" t="s">
        <v>1508</v>
      </c>
      <c r="H74" t="s">
        <v>1510</v>
      </c>
      <c r="I74" t="str">
        <f t="shared" si="7"/>
        <v>Healthcare Facility - Exam/Treatment Room</v>
      </c>
      <c r="J74" s="35">
        <v>1.66</v>
      </c>
      <c r="K74" s="36">
        <v>8</v>
      </c>
      <c r="L74" s="19"/>
      <c r="M74" s="31" t="s">
        <v>1539</v>
      </c>
      <c r="N74" s="32"/>
      <c r="O74" s="32" t="str">
        <f t="shared" si="10"/>
        <v>Storage Room</v>
      </c>
      <c r="P74" s="37" t="s">
        <v>214</v>
      </c>
      <c r="Q74" s="34" t="s">
        <v>214</v>
      </c>
      <c r="R74" s="19"/>
      <c r="S74" s="31" t="s">
        <v>1539</v>
      </c>
      <c r="T74" s="32"/>
      <c r="U74" s="32" t="str">
        <f t="shared" si="11"/>
        <v>Storage Room</v>
      </c>
      <c r="V74" s="37" t="s">
        <v>214</v>
      </c>
      <c r="W74" s="34" t="s">
        <v>214</v>
      </c>
      <c r="Y74" s="25" t="s">
        <v>1539</v>
      </c>
      <c r="Z74" t="s">
        <v>1563</v>
      </c>
      <c r="AA74" t="str">
        <f t="shared" si="8"/>
        <v>Storage Room - &gt;=50sqft</v>
      </c>
      <c r="AB74" s="35">
        <v>0.38</v>
      </c>
      <c r="AC74" s="36">
        <v>6</v>
      </c>
      <c r="AE74" s="25" t="s">
        <v>1555</v>
      </c>
      <c r="AF74" t="s">
        <v>1531</v>
      </c>
      <c r="AG74" t="str">
        <f t="shared" si="9"/>
        <v>Aging Eye/Low-Vision *11 - Religious Worship Area</v>
      </c>
      <c r="AH74" s="35">
        <v>1</v>
      </c>
      <c r="AI74" s="25" t="s">
        <v>1390</v>
      </c>
      <c r="AM74" s="26"/>
    </row>
    <row r="75" spans="1:39" x14ac:dyDescent="0.25">
      <c r="A75" s="25" t="s">
        <v>1508</v>
      </c>
      <c r="B75" t="s">
        <v>1514</v>
      </c>
      <c r="C75" t="str">
        <f t="shared" si="6"/>
        <v>Healthcare Facility - Medical Supply Room</v>
      </c>
      <c r="D75" s="35">
        <v>1.4</v>
      </c>
      <c r="E75" s="36">
        <v>6</v>
      </c>
      <c r="G75" s="25" t="s">
        <v>1508</v>
      </c>
      <c r="H75" t="s">
        <v>1562</v>
      </c>
      <c r="I75" t="str">
        <f t="shared" si="7"/>
        <v>Healthcare Facility - Laundry/Washing</v>
      </c>
      <c r="J75" s="35">
        <v>0.6</v>
      </c>
      <c r="K75" s="36">
        <v>6</v>
      </c>
      <c r="L75" s="19"/>
      <c r="M75" s="25" t="s">
        <v>1539</v>
      </c>
      <c r="N75" t="s">
        <v>1560</v>
      </c>
      <c r="O75" t="str">
        <f t="shared" si="10"/>
        <v>Storage Room - &lt;50sqft</v>
      </c>
      <c r="P75" s="35">
        <v>1.24</v>
      </c>
      <c r="Q75" s="36">
        <v>9</v>
      </c>
      <c r="R75" s="19"/>
      <c r="S75" s="25" t="s">
        <v>1539</v>
      </c>
      <c r="T75" t="s">
        <v>1560</v>
      </c>
      <c r="U75" t="str">
        <f t="shared" si="11"/>
        <v>Storage Room - &lt;50sqft</v>
      </c>
      <c r="V75" s="35">
        <v>0.97</v>
      </c>
      <c r="W75" s="36">
        <v>9</v>
      </c>
      <c r="Y75" s="31" t="s">
        <v>1564</v>
      </c>
      <c r="AA75" t="str">
        <f t="shared" si="8"/>
        <v>Vehicular Maintenance Area</v>
      </c>
      <c r="AB75" s="35">
        <v>0.6</v>
      </c>
      <c r="AC75" s="36">
        <v>4</v>
      </c>
      <c r="AE75" s="25" t="s">
        <v>1555</v>
      </c>
      <c r="AF75" t="s">
        <v>1565</v>
      </c>
      <c r="AG75" t="str">
        <f t="shared" si="9"/>
        <v>Aging Eye/Low-Vision *11 - Dining</v>
      </c>
      <c r="AH75" s="35">
        <v>0.8</v>
      </c>
      <c r="AI75" s="25" t="s">
        <v>1390</v>
      </c>
      <c r="AM75" s="26"/>
    </row>
    <row r="76" spans="1:39" ht="15.75" thickBot="1" x14ac:dyDescent="0.3">
      <c r="A76" s="25" t="s">
        <v>1508</v>
      </c>
      <c r="B76" t="s">
        <v>1516</v>
      </c>
      <c r="C76" t="str">
        <f t="shared" si="6"/>
        <v>Healthcare Facility - Nursery</v>
      </c>
      <c r="D76" s="35">
        <v>0.6</v>
      </c>
      <c r="E76" s="36">
        <v>6</v>
      </c>
      <c r="G76" s="25" t="s">
        <v>1508</v>
      </c>
      <c r="H76" t="s">
        <v>1514</v>
      </c>
      <c r="I76" t="str">
        <f t="shared" si="7"/>
        <v>Healthcare Facility - Medical Supply Room</v>
      </c>
      <c r="J76" s="35">
        <v>1.27</v>
      </c>
      <c r="K76" s="36">
        <v>6</v>
      </c>
      <c r="L76" s="19"/>
      <c r="M76" s="25" t="s">
        <v>1539</v>
      </c>
      <c r="N76" t="s">
        <v>1566</v>
      </c>
      <c r="O76" t="str">
        <f t="shared" si="10"/>
        <v>Storage Room - &gt;=50sqft and &lt;= 1000sqft</v>
      </c>
      <c r="P76" s="35">
        <v>0.63</v>
      </c>
      <c r="Q76" s="36">
        <v>6</v>
      </c>
      <c r="R76" s="19"/>
      <c r="S76" s="25" t="s">
        <v>1539</v>
      </c>
      <c r="T76" t="s">
        <v>1566</v>
      </c>
      <c r="U76" t="str">
        <f t="shared" si="11"/>
        <v>Storage Room - &gt;=50sqft and &lt;= 1000sqft</v>
      </c>
      <c r="V76" s="35">
        <v>0.46</v>
      </c>
      <c r="W76" s="36">
        <v>6</v>
      </c>
      <c r="Y76" s="31" t="s">
        <v>1538</v>
      </c>
      <c r="AA76" t="str">
        <f t="shared" si="8"/>
        <v>Workshop</v>
      </c>
      <c r="AB76" s="35">
        <v>1.26</v>
      </c>
      <c r="AC76" s="36">
        <v>6</v>
      </c>
      <c r="AE76" s="25" t="s">
        <v>1555</v>
      </c>
      <c r="AF76" t="s">
        <v>1522</v>
      </c>
      <c r="AG76" t="str">
        <f t="shared" si="9"/>
        <v>Aging Eye/Low-Vision *11 - Restroom</v>
      </c>
      <c r="AH76" s="35">
        <v>0.8</v>
      </c>
      <c r="AI76" s="38" t="s">
        <v>1391</v>
      </c>
      <c r="AJ76" s="39"/>
      <c r="AK76" s="39"/>
      <c r="AL76" s="39"/>
      <c r="AM76" s="40"/>
    </row>
    <row r="77" spans="1:39" x14ac:dyDescent="0.25">
      <c r="A77" s="25" t="s">
        <v>1508</v>
      </c>
      <c r="B77" t="s">
        <v>1519</v>
      </c>
      <c r="C77" t="str">
        <f t="shared" si="6"/>
        <v>Healthcare Facility - Nurse's Station</v>
      </c>
      <c r="D77" s="35">
        <v>1</v>
      </c>
      <c r="E77" s="36">
        <v>6</v>
      </c>
      <c r="G77" s="25" t="s">
        <v>1508</v>
      </c>
      <c r="H77" t="s">
        <v>1516</v>
      </c>
      <c r="I77" t="str">
        <f t="shared" si="7"/>
        <v>Healthcare Facility - Nursery</v>
      </c>
      <c r="J77" s="35">
        <v>0.88</v>
      </c>
      <c r="K77" s="36">
        <v>6</v>
      </c>
      <c r="L77" s="19"/>
      <c r="M77" s="25" t="s">
        <v>1539</v>
      </c>
      <c r="N77" t="s">
        <v>1567</v>
      </c>
      <c r="O77" t="str">
        <f t="shared" si="10"/>
        <v>Storage Room - All other Storage Rooms</v>
      </c>
      <c r="P77" s="35">
        <v>0.63</v>
      </c>
      <c r="Q77" s="36">
        <v>6</v>
      </c>
      <c r="R77" s="19"/>
      <c r="S77" s="25" t="s">
        <v>1539</v>
      </c>
      <c r="T77" t="s">
        <v>1567</v>
      </c>
      <c r="U77" t="str">
        <f t="shared" si="11"/>
        <v>Storage Room - All other Storage Rooms</v>
      </c>
      <c r="V77" s="35">
        <v>0.46</v>
      </c>
      <c r="W77" s="36">
        <v>6</v>
      </c>
      <c r="Y77" s="31" t="s">
        <v>1568</v>
      </c>
      <c r="Z77" s="32"/>
      <c r="AA77" s="32" t="str">
        <f t="shared" si="8"/>
        <v>Facility for the Visually Impaired *3</v>
      </c>
      <c r="AB77" s="37" t="s">
        <v>214</v>
      </c>
      <c r="AC77" s="34" t="s">
        <v>214</v>
      </c>
      <c r="AE77" s="25" t="s">
        <v>1569</v>
      </c>
      <c r="AG77" t="str">
        <f t="shared" si="9"/>
        <v>Future Tenant - Unidentified</v>
      </c>
      <c r="AH77" s="35">
        <v>0.4</v>
      </c>
      <c r="AM77" s="26"/>
    </row>
    <row r="78" spans="1:39" x14ac:dyDescent="0.25">
      <c r="A78" s="25" t="s">
        <v>1508</v>
      </c>
      <c r="B78" t="s">
        <v>1521</v>
      </c>
      <c r="C78" t="str">
        <f t="shared" si="6"/>
        <v>Healthcare Facility - Operating Room</v>
      </c>
      <c r="D78" s="35">
        <v>2.2000000000000002</v>
      </c>
      <c r="E78" s="36">
        <v>6</v>
      </c>
      <c r="G78" s="25" t="s">
        <v>1508</v>
      </c>
      <c r="H78" t="s">
        <v>1519</v>
      </c>
      <c r="I78" t="str">
        <f t="shared" si="7"/>
        <v>Healthcare Facility - Nurse's Station</v>
      </c>
      <c r="J78" s="35">
        <v>0.87</v>
      </c>
      <c r="K78" s="36">
        <v>6</v>
      </c>
      <c r="L78" s="19"/>
      <c r="M78" s="31" t="s">
        <v>1564</v>
      </c>
      <c r="O78" t="str">
        <f t="shared" si="10"/>
        <v>Vehicular Maintenance Area</v>
      </c>
      <c r="P78" s="35">
        <v>0.67</v>
      </c>
      <c r="Q78" s="36">
        <v>4</v>
      </c>
      <c r="R78" s="33"/>
      <c r="S78" s="31" t="s">
        <v>1564</v>
      </c>
      <c r="U78" t="str">
        <f t="shared" si="11"/>
        <v>Vehicular Maintenance Area</v>
      </c>
      <c r="V78" s="35">
        <v>0.56000000000000005</v>
      </c>
      <c r="W78" s="36">
        <v>4</v>
      </c>
      <c r="Y78" s="25" t="s">
        <v>1568</v>
      </c>
      <c r="Z78" t="s">
        <v>1570</v>
      </c>
      <c r="AA78" t="str">
        <f t="shared" si="8"/>
        <v>Facility for the Visually Impaired *3 - Chapel (not primarily used by residents)</v>
      </c>
      <c r="AB78" s="35">
        <v>0.7</v>
      </c>
      <c r="AC78" s="36">
        <v>4</v>
      </c>
      <c r="AE78" s="25"/>
      <c r="AM78" s="26"/>
    </row>
    <row r="79" spans="1:39" x14ac:dyDescent="0.25">
      <c r="A79" s="25" t="s">
        <v>1508</v>
      </c>
      <c r="B79" t="s">
        <v>1523</v>
      </c>
      <c r="C79" t="str">
        <f t="shared" si="6"/>
        <v>Healthcare Facility - Patient Room</v>
      </c>
      <c r="D79" s="35">
        <v>0.7</v>
      </c>
      <c r="E79" s="36">
        <v>6</v>
      </c>
      <c r="G79" s="25" t="s">
        <v>1508</v>
      </c>
      <c r="H79" t="s">
        <v>1521</v>
      </c>
      <c r="I79" t="str">
        <f t="shared" si="7"/>
        <v>Healthcare Facility - Operating Room</v>
      </c>
      <c r="J79" s="35">
        <v>1.89</v>
      </c>
      <c r="K79" s="36">
        <v>6</v>
      </c>
      <c r="L79" s="19"/>
      <c r="M79" s="31" t="s">
        <v>1538</v>
      </c>
      <c r="O79" t="str">
        <f t="shared" si="10"/>
        <v>Workshop</v>
      </c>
      <c r="P79" s="35">
        <v>1.59</v>
      </c>
      <c r="Q79" s="36">
        <v>6</v>
      </c>
      <c r="R79" s="19"/>
      <c r="S79" s="31" t="s">
        <v>1538</v>
      </c>
      <c r="U79" t="str">
        <f t="shared" si="11"/>
        <v>Workshop</v>
      </c>
      <c r="V79" s="35">
        <v>1.1399999999999999</v>
      </c>
      <c r="W79" s="36">
        <v>6</v>
      </c>
      <c r="Y79" s="25" t="s">
        <v>1568</v>
      </c>
      <c r="Z79" t="s">
        <v>1571</v>
      </c>
      <c r="AA79" t="str">
        <f t="shared" si="8"/>
        <v>Facility for the Visually Impaired *3 - Recreation room/common living room (and not used primarily by staff)</v>
      </c>
      <c r="AB79" s="35">
        <v>1.77</v>
      </c>
      <c r="AC79" s="36">
        <v>6</v>
      </c>
      <c r="AE79" s="25" t="s">
        <v>1572</v>
      </c>
      <c r="AM79" s="26"/>
    </row>
    <row r="80" spans="1:39" ht="45" x14ac:dyDescent="0.25">
      <c r="A80" s="25" t="s">
        <v>1508</v>
      </c>
      <c r="B80" t="s">
        <v>1573</v>
      </c>
      <c r="C80" t="str">
        <f t="shared" si="6"/>
        <v>Healthcare Facility - Pharmacy</v>
      </c>
      <c r="D80" s="35">
        <v>1.2</v>
      </c>
      <c r="E80" s="36">
        <v>6</v>
      </c>
      <c r="G80" s="25" t="s">
        <v>1508</v>
      </c>
      <c r="H80" t="s">
        <v>1523</v>
      </c>
      <c r="I80" t="str">
        <f t="shared" si="7"/>
        <v>Healthcare Facility - Patient Room</v>
      </c>
      <c r="J80" s="35">
        <v>0.62</v>
      </c>
      <c r="K80" s="36">
        <v>6</v>
      </c>
      <c r="L80" s="19"/>
      <c r="M80" s="31" t="s">
        <v>1568</v>
      </c>
      <c r="N80" s="32"/>
      <c r="O80" s="32" t="str">
        <f t="shared" si="10"/>
        <v>Facility for the Visually Impaired *3</v>
      </c>
      <c r="P80" s="37" t="s">
        <v>214</v>
      </c>
      <c r="Q80" s="34" t="s">
        <v>214</v>
      </c>
      <c r="R80" s="19"/>
      <c r="S80" s="31" t="s">
        <v>1568</v>
      </c>
      <c r="T80" s="32"/>
      <c r="U80" s="32" t="str">
        <f t="shared" si="11"/>
        <v>Facility for the Visually Impaired *3</v>
      </c>
      <c r="V80" s="37" t="s">
        <v>214</v>
      </c>
      <c r="W80" s="34" t="s">
        <v>214</v>
      </c>
      <c r="Y80" s="31" t="s">
        <v>1574</v>
      </c>
      <c r="AA80" t="str">
        <f t="shared" si="8"/>
        <v>Automotive (See "Vehicular Maintentance Area)</v>
      </c>
      <c r="AB80" s="35" t="s">
        <v>214</v>
      </c>
      <c r="AC80" s="36" t="s">
        <v>214</v>
      </c>
      <c r="AE80" s="41" t="s">
        <v>1575</v>
      </c>
      <c r="AM80" s="26"/>
    </row>
    <row r="81" spans="1:39" ht="45" x14ac:dyDescent="0.25">
      <c r="A81" s="25" t="s">
        <v>1508</v>
      </c>
      <c r="B81" t="s">
        <v>1525</v>
      </c>
      <c r="C81" t="str">
        <f t="shared" si="6"/>
        <v>Healthcare Facility - Physical Therapy Room</v>
      </c>
      <c r="D81" s="35">
        <v>0.9</v>
      </c>
      <c r="E81" s="36">
        <v>6</v>
      </c>
      <c r="G81" s="25" t="s">
        <v>1508</v>
      </c>
      <c r="H81" t="s">
        <v>1573</v>
      </c>
      <c r="I81" t="str">
        <f t="shared" si="7"/>
        <v>Healthcare Facility - Pharmacy</v>
      </c>
      <c r="J81" s="35">
        <v>1.1399999999999999</v>
      </c>
      <c r="K81" s="36">
        <v>6</v>
      </c>
      <c r="L81" s="19"/>
      <c r="M81" s="25" t="s">
        <v>1568</v>
      </c>
      <c r="N81" t="s">
        <v>1570</v>
      </c>
      <c r="O81" t="str">
        <f t="shared" si="10"/>
        <v>Facility for the Visually Impaired *3 - Chapel (not primarily used by residents)</v>
      </c>
      <c r="P81" s="35">
        <v>2.21</v>
      </c>
      <c r="Q81" s="36">
        <v>4</v>
      </c>
      <c r="R81" s="19"/>
      <c r="S81" s="25" t="s">
        <v>1568</v>
      </c>
      <c r="T81" t="s">
        <v>1570</v>
      </c>
      <c r="U81" t="str">
        <f t="shared" si="11"/>
        <v>Facility for the Visually Impaired *3 - Chapel (not primarily used by residents)</v>
      </c>
      <c r="V81" s="35">
        <v>1.06</v>
      </c>
      <c r="W81" s="36">
        <v>4</v>
      </c>
      <c r="Y81" s="31" t="s">
        <v>1545</v>
      </c>
      <c r="AA81" t="str">
        <f t="shared" si="8"/>
        <v>Convention Center - Exhibit Space</v>
      </c>
      <c r="AB81" s="35">
        <v>0.61</v>
      </c>
      <c r="AC81" s="36">
        <v>4</v>
      </c>
      <c r="AE81" s="41" t="s">
        <v>1576</v>
      </c>
      <c r="AM81" s="26"/>
    </row>
    <row r="82" spans="1:39" ht="30" x14ac:dyDescent="0.25">
      <c r="A82" s="25" t="s">
        <v>1508</v>
      </c>
      <c r="B82" t="s">
        <v>1577</v>
      </c>
      <c r="C82" t="str">
        <f t="shared" si="6"/>
        <v>Healthcare Facility - Radiology/Imaging</v>
      </c>
      <c r="D82" s="35">
        <v>0.4</v>
      </c>
      <c r="E82" s="36">
        <v>6</v>
      </c>
      <c r="G82" s="25" t="s">
        <v>1508</v>
      </c>
      <c r="H82" t="s">
        <v>1525</v>
      </c>
      <c r="I82" t="str">
        <f t="shared" si="7"/>
        <v>Healthcare Facility - Physical Therapy Room</v>
      </c>
      <c r="J82" s="35">
        <v>0.91</v>
      </c>
      <c r="K82" s="36">
        <v>6</v>
      </c>
      <c r="L82" s="19"/>
      <c r="M82" s="25" t="s">
        <v>1568</v>
      </c>
      <c r="N82" t="s">
        <v>1571</v>
      </c>
      <c r="O82" t="str">
        <f t="shared" si="10"/>
        <v>Facility for the Visually Impaired *3 - Recreation room/common living room (and not used primarily by staff)</v>
      </c>
      <c r="P82" s="35">
        <v>2.41</v>
      </c>
      <c r="Q82" s="36">
        <v>6</v>
      </c>
      <c r="R82" s="19"/>
      <c r="S82" s="25" t="s">
        <v>1568</v>
      </c>
      <c r="T82" t="s">
        <v>1571</v>
      </c>
      <c r="U82" t="str">
        <f t="shared" si="11"/>
        <v>Facility for the Visually Impaired *3 - Recreation room/common living room (and not used primarily by staff)</v>
      </c>
      <c r="V82" s="35">
        <v>1.8</v>
      </c>
      <c r="W82" s="36">
        <v>6</v>
      </c>
      <c r="Y82" s="31" t="s">
        <v>1547</v>
      </c>
      <c r="AA82" t="str">
        <f t="shared" si="8"/>
        <v>Dormitory - Living Quarters</v>
      </c>
      <c r="AB82" s="35">
        <v>0.5</v>
      </c>
      <c r="AC82" s="36">
        <v>8</v>
      </c>
      <c r="AE82" s="41" t="s">
        <v>1578</v>
      </c>
      <c r="AM82" s="26"/>
    </row>
    <row r="83" spans="1:39" ht="45" x14ac:dyDescent="0.25">
      <c r="A83" s="25" t="s">
        <v>1508</v>
      </c>
      <c r="B83" t="s">
        <v>1527</v>
      </c>
      <c r="C83" t="str">
        <f t="shared" si="6"/>
        <v>Healthcare Facility - Recovery Room</v>
      </c>
      <c r="D83" s="35">
        <v>0.8</v>
      </c>
      <c r="E83" s="36">
        <v>6</v>
      </c>
      <c r="G83" s="25" t="s">
        <v>1508</v>
      </c>
      <c r="H83" t="s">
        <v>1577</v>
      </c>
      <c r="I83" t="str">
        <f t="shared" si="7"/>
        <v>Healthcare Facility - Radiology/Imaging</v>
      </c>
      <c r="J83" s="35">
        <v>1.32</v>
      </c>
      <c r="K83" s="36">
        <v>6</v>
      </c>
      <c r="L83" s="19"/>
      <c r="M83" s="31" t="s">
        <v>1574</v>
      </c>
      <c r="O83" t="str">
        <f t="shared" si="10"/>
        <v>Automotive (See "Vehicular Maintentance Area)</v>
      </c>
      <c r="P83" s="35" t="s">
        <v>214</v>
      </c>
      <c r="Q83" s="36" t="s">
        <v>214</v>
      </c>
      <c r="R83" s="19"/>
      <c r="S83" s="31" t="s">
        <v>1574</v>
      </c>
      <c r="U83" t="str">
        <f t="shared" si="11"/>
        <v>Automotive (See "Vehicular Maintentance Area)</v>
      </c>
      <c r="V83" s="35" t="s">
        <v>214</v>
      </c>
      <c r="W83" s="36" t="s">
        <v>214</v>
      </c>
      <c r="Y83" s="31" t="s">
        <v>1550</v>
      </c>
      <c r="AA83" t="str">
        <f t="shared" si="8"/>
        <v>Fire Station - Sleeping Quarters</v>
      </c>
      <c r="AB83" s="35">
        <v>0.23</v>
      </c>
      <c r="AC83" s="36">
        <v>6</v>
      </c>
      <c r="AE83" s="41" t="s">
        <v>1579</v>
      </c>
      <c r="AM83" s="26"/>
    </row>
    <row r="84" spans="1:39" ht="30" x14ac:dyDescent="0.25">
      <c r="A84" s="31" t="s">
        <v>1580</v>
      </c>
      <c r="B84" s="32"/>
      <c r="C84" s="32" t="str">
        <f t="shared" si="6"/>
        <v>Hotel/Highway Lodging</v>
      </c>
      <c r="D84" s="37"/>
      <c r="E84" s="34" t="s">
        <v>214</v>
      </c>
      <c r="G84" s="25" t="s">
        <v>1508</v>
      </c>
      <c r="H84" t="s">
        <v>1527</v>
      </c>
      <c r="I84" t="str">
        <f t="shared" si="7"/>
        <v>Healthcare Facility - Recovery Room</v>
      </c>
      <c r="J84" s="35">
        <v>1.1499999999999999</v>
      </c>
      <c r="K84" s="36">
        <v>6</v>
      </c>
      <c r="L84" s="19"/>
      <c r="M84" s="31" t="s">
        <v>1545</v>
      </c>
      <c r="O84" t="str">
        <f t="shared" si="10"/>
        <v>Convention Center - Exhibit Space</v>
      </c>
      <c r="P84" s="35">
        <v>1.45</v>
      </c>
      <c r="Q84" s="36">
        <v>4</v>
      </c>
      <c r="R84" s="33"/>
      <c r="S84" s="31" t="s">
        <v>1545</v>
      </c>
      <c r="U84" t="str">
        <f t="shared" si="11"/>
        <v>Convention Center - Exhibit Space</v>
      </c>
      <c r="V84" s="35">
        <v>0.88</v>
      </c>
      <c r="W84" s="36">
        <v>4</v>
      </c>
      <c r="Y84" s="31" t="s">
        <v>1552</v>
      </c>
      <c r="Z84" s="32"/>
      <c r="AA84" s="32" t="str">
        <f t="shared" si="8"/>
        <v>Gymnasium/Fitness Center</v>
      </c>
      <c r="AB84" s="37" t="s">
        <v>214</v>
      </c>
      <c r="AC84" s="34" t="s">
        <v>214</v>
      </c>
      <c r="AE84" s="41" t="s">
        <v>1581</v>
      </c>
      <c r="AM84" s="26"/>
    </row>
    <row r="85" spans="1:39" ht="75" x14ac:dyDescent="0.25">
      <c r="A85" s="25" t="s">
        <v>1580</v>
      </c>
      <c r="B85" t="s">
        <v>1582</v>
      </c>
      <c r="C85" t="str">
        <f t="shared" si="6"/>
        <v>Hotel/Highway Lodging - Guest Rooms</v>
      </c>
      <c r="D85" s="35">
        <v>1.1000000000000001</v>
      </c>
      <c r="E85" s="36">
        <v>6</v>
      </c>
      <c r="G85" s="31" t="s">
        <v>1580</v>
      </c>
      <c r="H85" s="32"/>
      <c r="I85" s="32" t="str">
        <f t="shared" si="7"/>
        <v>Hotel/Highway Lodging</v>
      </c>
      <c r="J85" s="37" t="s">
        <v>214</v>
      </c>
      <c r="K85" s="34" t="s">
        <v>214</v>
      </c>
      <c r="L85" s="33"/>
      <c r="M85" s="31" t="s">
        <v>1547</v>
      </c>
      <c r="O85" t="str">
        <f t="shared" si="10"/>
        <v>Dormitory - Living Quarters</v>
      </c>
      <c r="P85" s="35">
        <v>0.38</v>
      </c>
      <c r="Q85" s="36">
        <v>8</v>
      </c>
      <c r="R85" s="19"/>
      <c r="S85" s="31" t="s">
        <v>1547</v>
      </c>
      <c r="U85" t="str">
        <f t="shared" si="11"/>
        <v>Dormitory - Living Quarters</v>
      </c>
      <c r="V85" s="35">
        <v>0.54</v>
      </c>
      <c r="W85" s="36">
        <v>8</v>
      </c>
      <c r="Y85" s="25" t="s">
        <v>1552</v>
      </c>
      <c r="Z85" t="s">
        <v>1583</v>
      </c>
      <c r="AA85" t="str">
        <f t="shared" si="8"/>
        <v>Gymnasium/Fitness Center - Exercise Area</v>
      </c>
      <c r="AB85" s="35">
        <v>0.9</v>
      </c>
      <c r="AC85" s="36">
        <v>4</v>
      </c>
      <c r="AE85" s="41" t="s">
        <v>1584</v>
      </c>
      <c r="AM85" s="26"/>
    </row>
    <row r="86" spans="1:39" ht="60" x14ac:dyDescent="0.25">
      <c r="A86" s="31" t="s">
        <v>1465</v>
      </c>
      <c r="B86" s="32"/>
      <c r="C86" s="32" t="str">
        <f t="shared" si="6"/>
        <v>Library</v>
      </c>
      <c r="D86" s="37"/>
      <c r="E86" s="34" t="s">
        <v>214</v>
      </c>
      <c r="G86" s="25" t="s">
        <v>1580</v>
      </c>
      <c r="H86" t="s">
        <v>1582</v>
      </c>
      <c r="I86" t="str">
        <f t="shared" si="7"/>
        <v>Hotel/Highway Lodging - Guest Rooms</v>
      </c>
      <c r="J86" s="35">
        <v>1.1100000000000001</v>
      </c>
      <c r="K86" s="36">
        <v>6</v>
      </c>
      <c r="L86" s="19"/>
      <c r="M86" s="31" t="s">
        <v>1550</v>
      </c>
      <c r="O86" t="str">
        <f t="shared" si="10"/>
        <v>Fire Station - Sleeping Quarters</v>
      </c>
      <c r="P86" s="35">
        <v>0.22</v>
      </c>
      <c r="Q86" s="36">
        <v>6</v>
      </c>
      <c r="R86" s="19"/>
      <c r="S86" s="31" t="s">
        <v>1550</v>
      </c>
      <c r="U86" t="str">
        <f t="shared" si="11"/>
        <v>Fire Station - Sleeping Quarters</v>
      </c>
      <c r="V86" s="35">
        <v>0.2</v>
      </c>
      <c r="W86" s="36">
        <v>6</v>
      </c>
      <c r="Y86" s="25" t="s">
        <v>1552</v>
      </c>
      <c r="Z86" t="s">
        <v>1556</v>
      </c>
      <c r="AA86" t="str">
        <f t="shared" si="8"/>
        <v>Gymnasium/Fitness Center - Playing Area</v>
      </c>
      <c r="AB86" s="35">
        <v>0.85</v>
      </c>
      <c r="AC86" s="36">
        <v>4</v>
      </c>
      <c r="AE86" s="41" t="s">
        <v>1585</v>
      </c>
      <c r="AM86" s="26"/>
    </row>
    <row r="87" spans="1:39" ht="75" x14ac:dyDescent="0.25">
      <c r="A87" s="25" t="s">
        <v>1465</v>
      </c>
      <c r="B87" t="s">
        <v>1586</v>
      </c>
      <c r="C87" t="str">
        <f t="shared" si="6"/>
        <v>Library - Card File and Cataloging</v>
      </c>
      <c r="D87" s="35">
        <v>1.1000000000000001</v>
      </c>
      <c r="E87" s="36">
        <v>4</v>
      </c>
      <c r="G87" s="25" t="s">
        <v>1580</v>
      </c>
      <c r="H87" t="s">
        <v>1587</v>
      </c>
      <c r="I87" t="str">
        <f t="shared" si="7"/>
        <v>Hotel/Highway Lodging - Lodging Guest Rooms</v>
      </c>
      <c r="J87" s="35">
        <v>0.88</v>
      </c>
      <c r="K87" s="36">
        <v>4</v>
      </c>
      <c r="L87" s="19"/>
      <c r="M87" s="31" t="s">
        <v>1552</v>
      </c>
      <c r="N87" s="32"/>
      <c r="O87" s="32" t="str">
        <f t="shared" si="10"/>
        <v>Gymnasium/Fitness Center</v>
      </c>
      <c r="P87" s="37" t="s">
        <v>214</v>
      </c>
      <c r="Q87" s="34" t="s">
        <v>214</v>
      </c>
      <c r="R87" s="33"/>
      <c r="S87" s="31" t="s">
        <v>1552</v>
      </c>
      <c r="T87" s="32"/>
      <c r="U87" s="32" t="str">
        <f t="shared" si="11"/>
        <v>Gymnasium/Fitness Center</v>
      </c>
      <c r="V87" s="37" t="s">
        <v>214</v>
      </c>
      <c r="W87" s="34" t="s">
        <v>214</v>
      </c>
      <c r="Y87" s="31" t="s">
        <v>1508</v>
      </c>
      <c r="Z87" s="32"/>
      <c r="AA87" s="32" t="str">
        <f t="shared" si="8"/>
        <v>Healthcare Facility</v>
      </c>
      <c r="AB87" s="37" t="s">
        <v>214</v>
      </c>
      <c r="AC87" s="34" t="s">
        <v>214</v>
      </c>
      <c r="AE87" s="41" t="s">
        <v>1588</v>
      </c>
      <c r="AM87" s="26"/>
    </row>
    <row r="88" spans="1:39" ht="75" x14ac:dyDescent="0.25">
      <c r="A88" s="25" t="s">
        <v>1465</v>
      </c>
      <c r="B88" t="s">
        <v>1466</v>
      </c>
      <c r="C88" t="str">
        <f t="shared" si="6"/>
        <v>Library - Reading Area</v>
      </c>
      <c r="D88" s="35">
        <v>1.2</v>
      </c>
      <c r="E88" s="36">
        <v>4</v>
      </c>
      <c r="G88" s="31" t="s">
        <v>1465</v>
      </c>
      <c r="H88" s="32"/>
      <c r="I88" s="32" t="str">
        <f t="shared" si="7"/>
        <v>Library</v>
      </c>
      <c r="J88" s="37"/>
      <c r="K88" s="34" t="s">
        <v>214</v>
      </c>
      <c r="L88" s="33"/>
      <c r="M88" s="25" t="s">
        <v>1552</v>
      </c>
      <c r="N88" t="s">
        <v>1583</v>
      </c>
      <c r="O88" t="str">
        <f t="shared" si="10"/>
        <v>Gymnasium/Fitness Center - Exercise Area</v>
      </c>
      <c r="P88" s="35">
        <v>0.72</v>
      </c>
      <c r="Q88" s="36">
        <v>4</v>
      </c>
      <c r="R88" s="19"/>
      <c r="S88" s="25" t="s">
        <v>1552</v>
      </c>
      <c r="T88" t="s">
        <v>1583</v>
      </c>
      <c r="U88" t="str">
        <f t="shared" si="11"/>
        <v>Gymnasium/Fitness Center - Exercise Area</v>
      </c>
      <c r="V88" s="35">
        <v>0.5</v>
      </c>
      <c r="W88" s="36">
        <v>4</v>
      </c>
      <c r="Y88" s="25" t="s">
        <v>1508</v>
      </c>
      <c r="Z88" t="s">
        <v>1510</v>
      </c>
      <c r="AA88" t="str">
        <f t="shared" si="8"/>
        <v>Healthcare Facility - Exam/Treatment Room</v>
      </c>
      <c r="AB88" s="35">
        <v>1.4</v>
      </c>
      <c r="AC88" s="36">
        <v>8</v>
      </c>
      <c r="AE88" s="41" t="s">
        <v>1589</v>
      </c>
      <c r="AM88" s="26"/>
    </row>
    <row r="89" spans="1:39" ht="90" x14ac:dyDescent="0.25">
      <c r="A89" s="25" t="s">
        <v>1465</v>
      </c>
      <c r="B89" t="s">
        <v>1468</v>
      </c>
      <c r="C89" t="str">
        <f t="shared" si="6"/>
        <v>Library - Stacks</v>
      </c>
      <c r="D89" s="35">
        <v>1.7</v>
      </c>
      <c r="E89" s="36">
        <v>4</v>
      </c>
      <c r="G89" s="25" t="s">
        <v>1465</v>
      </c>
      <c r="H89" t="s">
        <v>1586</v>
      </c>
      <c r="I89" t="str">
        <f t="shared" si="7"/>
        <v>Library - Card File and Cataloging</v>
      </c>
      <c r="J89" s="35">
        <v>0.72</v>
      </c>
      <c r="K89" s="36">
        <v>4</v>
      </c>
      <c r="L89" s="19"/>
      <c r="M89" s="25" t="s">
        <v>1552</v>
      </c>
      <c r="N89" t="s">
        <v>1556</v>
      </c>
      <c r="O89" t="str">
        <f t="shared" si="10"/>
        <v>Gymnasium/Fitness Center - Playing Area</v>
      </c>
      <c r="P89" s="35">
        <v>1.2</v>
      </c>
      <c r="Q89" s="36">
        <v>4</v>
      </c>
      <c r="R89" s="19"/>
      <c r="S89" s="25" t="s">
        <v>1552</v>
      </c>
      <c r="T89" t="s">
        <v>1556</v>
      </c>
      <c r="U89" t="str">
        <f t="shared" si="11"/>
        <v>Gymnasium/Fitness Center - Playing Area</v>
      </c>
      <c r="V89" s="35">
        <v>0.82</v>
      </c>
      <c r="W89" s="36">
        <v>4</v>
      </c>
      <c r="Y89" s="25" t="s">
        <v>1508</v>
      </c>
      <c r="Z89" t="s">
        <v>1512</v>
      </c>
      <c r="AA89" t="str">
        <f t="shared" si="8"/>
        <v>Healthcare Facility - Imaging Room</v>
      </c>
      <c r="AB89" s="35">
        <v>0.94</v>
      </c>
      <c r="AC89" s="36">
        <v>6</v>
      </c>
      <c r="AE89" s="41" t="s">
        <v>1590</v>
      </c>
      <c r="AM89" s="26"/>
    </row>
    <row r="90" spans="1:39" ht="105" x14ac:dyDescent="0.25">
      <c r="A90" s="31" t="s">
        <v>1470</v>
      </c>
      <c r="B90" s="32"/>
      <c r="C90" s="32" t="str">
        <f t="shared" si="6"/>
        <v>Manufacturing Facility</v>
      </c>
      <c r="D90" s="37"/>
      <c r="E90" s="34" t="s">
        <v>214</v>
      </c>
      <c r="G90" s="25" t="s">
        <v>1465</v>
      </c>
      <c r="H90" t="s">
        <v>1466</v>
      </c>
      <c r="I90" t="str">
        <f t="shared" si="7"/>
        <v>Library - Reading Area</v>
      </c>
      <c r="J90" s="35">
        <v>0.93</v>
      </c>
      <c r="K90" s="36">
        <v>4</v>
      </c>
      <c r="L90" s="19"/>
      <c r="M90" s="31" t="s">
        <v>1508</v>
      </c>
      <c r="N90" s="32"/>
      <c r="O90" s="32" t="str">
        <f t="shared" si="10"/>
        <v>Healthcare Facility</v>
      </c>
      <c r="P90" s="37" t="s">
        <v>214</v>
      </c>
      <c r="Q90" s="34" t="s">
        <v>214</v>
      </c>
      <c r="R90" s="19"/>
      <c r="S90" s="31" t="s">
        <v>1508</v>
      </c>
      <c r="T90" s="32"/>
      <c r="U90" s="32" t="str">
        <f t="shared" si="11"/>
        <v>Healthcare Facility</v>
      </c>
      <c r="V90" s="37" t="s">
        <v>214</v>
      </c>
      <c r="W90" s="34" t="s">
        <v>214</v>
      </c>
      <c r="Y90" s="25" t="s">
        <v>1508</v>
      </c>
      <c r="Z90" t="s">
        <v>1514</v>
      </c>
      <c r="AA90" t="str">
        <f t="shared" si="8"/>
        <v>Healthcare Facility - Medical Supply Room</v>
      </c>
      <c r="AB90" s="35">
        <v>0.62</v>
      </c>
      <c r="AC90" s="36">
        <v>6</v>
      </c>
      <c r="AE90" s="41" t="s">
        <v>1591</v>
      </c>
      <c r="AM90" s="26"/>
    </row>
    <row r="91" spans="1:39" ht="90" x14ac:dyDescent="0.25">
      <c r="A91" s="25" t="s">
        <v>1470</v>
      </c>
      <c r="B91" t="s">
        <v>1592</v>
      </c>
      <c r="C91" t="str">
        <f t="shared" si="6"/>
        <v>Manufacturing Facility - Detailed Manufacturing Area</v>
      </c>
      <c r="D91" s="35">
        <v>2.1</v>
      </c>
      <c r="E91" s="36">
        <v>4</v>
      </c>
      <c r="G91" s="25" t="s">
        <v>1465</v>
      </c>
      <c r="H91" t="s">
        <v>1468</v>
      </c>
      <c r="I91" t="str">
        <f t="shared" si="7"/>
        <v>Library - Stacks</v>
      </c>
      <c r="J91" s="35">
        <v>1.71</v>
      </c>
      <c r="K91" s="36">
        <v>4</v>
      </c>
      <c r="L91" s="19"/>
      <c r="M91" s="25" t="s">
        <v>1508</v>
      </c>
      <c r="N91" t="s">
        <v>1510</v>
      </c>
      <c r="O91" t="str">
        <f t="shared" si="10"/>
        <v>Healthcare Facility - Exam/Treatment Room</v>
      </c>
      <c r="P91" s="35">
        <v>1.66</v>
      </c>
      <c r="Q91" s="36">
        <v>8</v>
      </c>
      <c r="R91" s="19"/>
      <c r="S91" s="25" t="s">
        <v>1508</v>
      </c>
      <c r="T91" t="s">
        <v>1510</v>
      </c>
      <c r="U91" t="str">
        <f t="shared" si="11"/>
        <v>Healthcare Facility - Exam/Treatment Room</v>
      </c>
      <c r="V91" s="35">
        <v>1.68</v>
      </c>
      <c r="W91" s="36">
        <v>8</v>
      </c>
      <c r="Y91" s="25" t="s">
        <v>1508</v>
      </c>
      <c r="Z91" t="s">
        <v>1516</v>
      </c>
      <c r="AA91" t="str">
        <f t="shared" si="8"/>
        <v>Healthcare Facility - Nursery</v>
      </c>
      <c r="AB91" s="35">
        <v>0.92</v>
      </c>
      <c r="AC91" s="36">
        <v>6</v>
      </c>
      <c r="AE91" s="41" t="s">
        <v>1593</v>
      </c>
      <c r="AM91" s="26"/>
    </row>
    <row r="92" spans="1:39" ht="120.75" thickBot="1" x14ac:dyDescent="0.3">
      <c r="A92" s="25" t="s">
        <v>1470</v>
      </c>
      <c r="B92" t="s">
        <v>1594</v>
      </c>
      <c r="C92" t="str">
        <f t="shared" si="6"/>
        <v>Manufacturing Facility - Equipment Room</v>
      </c>
      <c r="D92" s="35">
        <v>1.2</v>
      </c>
      <c r="E92" s="36">
        <v>6</v>
      </c>
      <c r="G92" s="31" t="s">
        <v>1470</v>
      </c>
      <c r="H92" s="32"/>
      <c r="I92" s="32" t="str">
        <f t="shared" si="7"/>
        <v>Manufacturing Facility</v>
      </c>
      <c r="J92" s="37"/>
      <c r="K92" s="34" t="s">
        <v>214</v>
      </c>
      <c r="L92" s="33"/>
      <c r="M92" s="25" t="s">
        <v>1508</v>
      </c>
      <c r="N92" t="s">
        <v>1512</v>
      </c>
      <c r="O92" t="str">
        <f t="shared" si="10"/>
        <v>Healthcare Facility - Imaging Room</v>
      </c>
      <c r="P92" s="35">
        <v>1.51</v>
      </c>
      <c r="Q92" s="36">
        <v>6</v>
      </c>
      <c r="R92" s="19"/>
      <c r="S92" s="25" t="s">
        <v>1508</v>
      </c>
      <c r="T92" t="s">
        <v>1512</v>
      </c>
      <c r="U92" t="str">
        <f t="shared" si="11"/>
        <v>Healthcare Facility - Imaging Room</v>
      </c>
      <c r="V92" s="35">
        <v>1.06</v>
      </c>
      <c r="W92" s="36">
        <v>6</v>
      </c>
      <c r="Y92" s="25" t="s">
        <v>1508</v>
      </c>
      <c r="Z92" t="s">
        <v>1519</v>
      </c>
      <c r="AA92" t="str">
        <f t="shared" si="8"/>
        <v>Healthcare Facility - Nurse's Station</v>
      </c>
      <c r="AB92" s="35">
        <v>1.17</v>
      </c>
      <c r="AC92" s="36">
        <v>6</v>
      </c>
      <c r="AE92" s="42" t="s">
        <v>1595</v>
      </c>
      <c r="AF92" s="39"/>
      <c r="AG92" s="39"/>
      <c r="AH92" s="39"/>
      <c r="AI92" s="39"/>
      <c r="AJ92" s="39"/>
      <c r="AK92" s="39"/>
      <c r="AL92" s="39"/>
      <c r="AM92" s="40"/>
    </row>
    <row r="93" spans="1:39" x14ac:dyDescent="0.25">
      <c r="A93" s="25" t="s">
        <v>1470</v>
      </c>
      <c r="B93" t="s">
        <v>1596</v>
      </c>
      <c r="C93" t="str">
        <f t="shared" si="6"/>
        <v>Manufacturing Facility - Control Room</v>
      </c>
      <c r="D93" s="35">
        <v>0.7</v>
      </c>
      <c r="E93" s="36">
        <v>4</v>
      </c>
      <c r="G93" s="25" t="s">
        <v>1470</v>
      </c>
      <c r="H93" t="s">
        <v>1592</v>
      </c>
      <c r="I93" t="str">
        <f t="shared" si="7"/>
        <v>Manufacturing Facility - Detailed Manufacturing Area</v>
      </c>
      <c r="J93" s="35">
        <v>1.29</v>
      </c>
      <c r="K93" s="36">
        <v>4</v>
      </c>
      <c r="L93" s="19"/>
      <c r="M93" s="25" t="s">
        <v>1508</v>
      </c>
      <c r="N93" t="s">
        <v>1514</v>
      </c>
      <c r="O93" t="str">
        <f t="shared" si="10"/>
        <v>Healthcare Facility - Medical Supply Room</v>
      </c>
      <c r="P93" s="35">
        <v>0.74</v>
      </c>
      <c r="Q93" s="36">
        <v>6</v>
      </c>
      <c r="R93" s="19"/>
      <c r="S93" s="25" t="s">
        <v>1508</v>
      </c>
      <c r="T93" t="s">
        <v>1514</v>
      </c>
      <c r="U93" t="str">
        <f t="shared" si="11"/>
        <v>Healthcare Facility - Medical Supply Room</v>
      </c>
      <c r="V93" s="35">
        <v>0.54</v>
      </c>
      <c r="W93" s="36">
        <v>6</v>
      </c>
      <c r="Y93" s="25" t="s">
        <v>1508</v>
      </c>
      <c r="Z93" t="s">
        <v>1521</v>
      </c>
      <c r="AA93" t="str">
        <f t="shared" si="8"/>
        <v>Healthcare Facility - Operating Room</v>
      </c>
      <c r="AB93" s="35">
        <v>2.2599999999999998</v>
      </c>
      <c r="AC93" s="36">
        <v>6</v>
      </c>
    </row>
    <row r="94" spans="1:39" x14ac:dyDescent="0.25">
      <c r="A94" s="25" t="s">
        <v>1470</v>
      </c>
      <c r="B94" t="s">
        <v>1597</v>
      </c>
      <c r="C94" t="str">
        <f t="shared" si="6"/>
        <v>Manufacturing Facility - High Bay Area (&gt;25 ft floor to ceiling height)</v>
      </c>
      <c r="D94" s="35">
        <v>1.7</v>
      </c>
      <c r="E94" s="36">
        <v>4</v>
      </c>
      <c r="G94" s="25" t="s">
        <v>1470</v>
      </c>
      <c r="H94" t="s">
        <v>1594</v>
      </c>
      <c r="I94" t="str">
        <f t="shared" si="7"/>
        <v>Manufacturing Facility - Equipment Room</v>
      </c>
      <c r="J94" s="35">
        <v>0.95</v>
      </c>
      <c r="K94" s="36">
        <v>6</v>
      </c>
      <c r="L94" s="19"/>
      <c r="M94" s="25" t="s">
        <v>1508</v>
      </c>
      <c r="N94" t="s">
        <v>1516</v>
      </c>
      <c r="O94" t="str">
        <f t="shared" si="10"/>
        <v>Healthcare Facility - Nursery</v>
      </c>
      <c r="P94" s="35">
        <v>0.88</v>
      </c>
      <c r="Q94" s="36">
        <v>6</v>
      </c>
      <c r="R94" s="19"/>
      <c r="S94" s="25" t="s">
        <v>1508</v>
      </c>
      <c r="T94" t="s">
        <v>1516</v>
      </c>
      <c r="U94" t="str">
        <f t="shared" si="11"/>
        <v>Healthcare Facility - Nursery</v>
      </c>
      <c r="V94" s="35">
        <v>1</v>
      </c>
      <c r="W94" s="36">
        <v>6</v>
      </c>
      <c r="Y94" s="25" t="s">
        <v>1508</v>
      </c>
      <c r="Z94" t="s">
        <v>1523</v>
      </c>
      <c r="AA94" t="str">
        <f t="shared" si="8"/>
        <v>Healthcare Facility - Patient Room</v>
      </c>
      <c r="AB94" s="35">
        <v>0.68</v>
      </c>
      <c r="AC94" s="36">
        <v>6</v>
      </c>
    </row>
    <row r="95" spans="1:39" x14ac:dyDescent="0.25">
      <c r="A95" s="25" t="s">
        <v>1470</v>
      </c>
      <c r="B95" t="s">
        <v>1598</v>
      </c>
      <c r="C95" t="str">
        <f t="shared" si="6"/>
        <v>Manufacturing Facility - Low Bay Area (&lt;25 ft floor to ceiling height</v>
      </c>
      <c r="D95" s="35">
        <v>1.2</v>
      </c>
      <c r="E95" s="36">
        <v>4</v>
      </c>
      <c r="G95" s="25" t="s">
        <v>1470</v>
      </c>
      <c r="H95" t="s">
        <v>1599</v>
      </c>
      <c r="I95" t="str">
        <f t="shared" si="7"/>
        <v>Manufacturing Facility - Extra High Bay Area (&gt;50 ft floor to ceiling height)</v>
      </c>
      <c r="J95" s="35">
        <v>1.05</v>
      </c>
      <c r="K95" s="36">
        <v>4</v>
      </c>
      <c r="L95" s="19"/>
      <c r="M95" s="25" t="s">
        <v>1508</v>
      </c>
      <c r="N95" t="s">
        <v>1519</v>
      </c>
      <c r="O95" t="str">
        <f t="shared" si="10"/>
        <v>Healthcare Facility - Nurse's Station</v>
      </c>
      <c r="P95" s="35">
        <v>0.71</v>
      </c>
      <c r="Q95" s="36">
        <v>6</v>
      </c>
      <c r="R95" s="19"/>
      <c r="S95" s="25" t="s">
        <v>1508</v>
      </c>
      <c r="T95" t="s">
        <v>1519</v>
      </c>
      <c r="U95" t="str">
        <f t="shared" si="11"/>
        <v>Healthcare Facility - Nurse's Station</v>
      </c>
      <c r="V95" s="35">
        <v>0.81</v>
      </c>
      <c r="W95" s="36">
        <v>6</v>
      </c>
      <c r="Y95" s="25" t="s">
        <v>1508</v>
      </c>
      <c r="Z95" t="s">
        <v>1525</v>
      </c>
      <c r="AA95" t="str">
        <f t="shared" si="8"/>
        <v>Healthcare Facility - Physical Therapy Room</v>
      </c>
      <c r="AB95" s="35">
        <v>0.91</v>
      </c>
      <c r="AC95" s="36">
        <v>6</v>
      </c>
    </row>
    <row r="96" spans="1:39" x14ac:dyDescent="0.25">
      <c r="A96" s="31" t="s">
        <v>1535</v>
      </c>
      <c r="B96" s="32"/>
      <c r="C96" s="32" t="str">
        <f t="shared" si="6"/>
        <v>Museum</v>
      </c>
      <c r="D96" s="37"/>
      <c r="E96" s="34" t="s">
        <v>214</v>
      </c>
      <c r="G96" s="25" t="s">
        <v>1470</v>
      </c>
      <c r="H96" t="s">
        <v>1600</v>
      </c>
      <c r="I96" t="str">
        <f t="shared" si="7"/>
        <v>Manufacturing Facility - High Bay Area (25 to 50 ft floor to ceiling height)</v>
      </c>
      <c r="J96" s="35">
        <v>1.23</v>
      </c>
      <c r="K96" s="36">
        <v>4</v>
      </c>
      <c r="L96" s="19"/>
      <c r="M96" s="25" t="s">
        <v>1508</v>
      </c>
      <c r="N96" t="s">
        <v>1521</v>
      </c>
      <c r="O96" t="str">
        <f t="shared" si="10"/>
        <v>Healthcare Facility - Operating Room</v>
      </c>
      <c r="P96" s="35">
        <v>2.48</v>
      </c>
      <c r="Q96" s="36">
        <v>6</v>
      </c>
      <c r="R96" s="19"/>
      <c r="S96" s="25" t="s">
        <v>1508</v>
      </c>
      <c r="T96" t="s">
        <v>1521</v>
      </c>
      <c r="U96" t="str">
        <f t="shared" si="11"/>
        <v>Healthcare Facility - Operating Room</v>
      </c>
      <c r="V96" s="35">
        <v>2.17</v>
      </c>
      <c r="W96" s="36">
        <v>6</v>
      </c>
      <c r="Y96" s="25" t="s">
        <v>1508</v>
      </c>
      <c r="Z96" t="s">
        <v>1527</v>
      </c>
      <c r="AA96" t="str">
        <f t="shared" si="8"/>
        <v>Healthcare Facility - Recovery Room</v>
      </c>
      <c r="AB96" s="35">
        <v>1.25</v>
      </c>
      <c r="AC96" s="36">
        <v>6</v>
      </c>
    </row>
    <row r="97" spans="1:29" x14ac:dyDescent="0.25">
      <c r="A97" s="25" t="s">
        <v>1535</v>
      </c>
      <c r="B97" t="s">
        <v>1601</v>
      </c>
      <c r="C97" t="str">
        <f t="shared" si="6"/>
        <v>Museum - General Exhibition Area</v>
      </c>
      <c r="D97" s="35">
        <v>1</v>
      </c>
      <c r="E97" s="36">
        <v>6</v>
      </c>
      <c r="G97" s="25" t="s">
        <v>1470</v>
      </c>
      <c r="H97" t="s">
        <v>1598</v>
      </c>
      <c r="I97" t="str">
        <f t="shared" si="7"/>
        <v>Manufacturing Facility - Low Bay Area (&lt;25 ft floor to ceiling height</v>
      </c>
      <c r="J97" s="35">
        <v>1.19</v>
      </c>
      <c r="K97" s="36">
        <v>4</v>
      </c>
      <c r="L97" s="19"/>
      <c r="M97" s="25" t="s">
        <v>1508</v>
      </c>
      <c r="N97" t="s">
        <v>1523</v>
      </c>
      <c r="O97" t="str">
        <f t="shared" si="10"/>
        <v>Healthcare Facility - Patient Room</v>
      </c>
      <c r="P97" s="35">
        <v>0.62</v>
      </c>
      <c r="Q97" s="36">
        <v>6</v>
      </c>
      <c r="R97" s="33"/>
      <c r="S97" s="25" t="s">
        <v>1508</v>
      </c>
      <c r="T97" t="s">
        <v>1523</v>
      </c>
      <c r="U97" t="str">
        <f t="shared" si="11"/>
        <v>Healthcare Facility - Patient Room</v>
      </c>
      <c r="V97" s="35">
        <v>0.62</v>
      </c>
      <c r="W97" s="36">
        <v>6</v>
      </c>
      <c r="Y97" s="31" t="s">
        <v>1465</v>
      </c>
      <c r="Z97" s="32"/>
      <c r="AA97" s="32" t="str">
        <f t="shared" si="8"/>
        <v>Library</v>
      </c>
      <c r="AB97" s="37" t="s">
        <v>214</v>
      </c>
      <c r="AC97" s="34" t="s">
        <v>214</v>
      </c>
    </row>
    <row r="98" spans="1:29" x14ac:dyDescent="0.25">
      <c r="A98" s="25" t="s">
        <v>1535</v>
      </c>
      <c r="B98" t="s">
        <v>1451</v>
      </c>
      <c r="C98" t="str">
        <f t="shared" si="6"/>
        <v>Museum - Restoration Room</v>
      </c>
      <c r="D98" s="35">
        <v>1.7</v>
      </c>
      <c r="E98" s="36">
        <v>6</v>
      </c>
      <c r="G98" s="31" t="s">
        <v>1535</v>
      </c>
      <c r="H98" s="32"/>
      <c r="I98" s="32" t="str">
        <f t="shared" si="7"/>
        <v>Museum</v>
      </c>
      <c r="J98" s="37"/>
      <c r="K98" s="34" t="s">
        <v>214</v>
      </c>
      <c r="L98" s="33"/>
      <c r="M98" s="25" t="s">
        <v>1508</v>
      </c>
      <c r="N98" t="s">
        <v>1525</v>
      </c>
      <c r="O98" t="str">
        <f t="shared" si="10"/>
        <v>Healthcare Facility - Physical Therapy Room</v>
      </c>
      <c r="P98" s="35">
        <v>0.91</v>
      </c>
      <c r="Q98" s="36">
        <v>6</v>
      </c>
      <c r="R98" s="19"/>
      <c r="S98" s="25" t="s">
        <v>1508</v>
      </c>
      <c r="T98" t="s">
        <v>1525</v>
      </c>
      <c r="U98" t="str">
        <f t="shared" si="11"/>
        <v>Healthcare Facility - Physical Therapy Room</v>
      </c>
      <c r="V98" s="35">
        <v>0.84</v>
      </c>
      <c r="W98" s="36">
        <v>6</v>
      </c>
      <c r="Y98" s="25" t="s">
        <v>1465</v>
      </c>
      <c r="Z98" t="s">
        <v>1466</v>
      </c>
      <c r="AA98" t="str">
        <f t="shared" si="8"/>
        <v>Library - Reading Area</v>
      </c>
      <c r="AB98" s="35">
        <v>0.96</v>
      </c>
      <c r="AC98" s="36">
        <v>4</v>
      </c>
    </row>
    <row r="99" spans="1:29" x14ac:dyDescent="0.25">
      <c r="A99" s="31" t="s">
        <v>1602</v>
      </c>
      <c r="C99" t="str">
        <f t="shared" si="6"/>
        <v>Post Office - Sorting Area</v>
      </c>
      <c r="D99" s="35">
        <v>1.2</v>
      </c>
      <c r="E99" s="36">
        <v>4</v>
      </c>
      <c r="G99" s="25" t="s">
        <v>1535</v>
      </c>
      <c r="H99" t="s">
        <v>1601</v>
      </c>
      <c r="I99" t="str">
        <f t="shared" si="7"/>
        <v>Museum - General Exhibition Area</v>
      </c>
      <c r="J99" s="35">
        <v>1.05</v>
      </c>
      <c r="K99" s="36">
        <v>6</v>
      </c>
      <c r="L99" s="19"/>
      <c r="M99" s="25" t="s">
        <v>1508</v>
      </c>
      <c r="N99" t="s">
        <v>1527</v>
      </c>
      <c r="O99" t="str">
        <f t="shared" si="10"/>
        <v>Healthcare Facility - Recovery Room</v>
      </c>
      <c r="P99" s="35">
        <v>1.1499999999999999</v>
      </c>
      <c r="Q99" s="36">
        <v>6</v>
      </c>
      <c r="R99" s="19"/>
      <c r="S99" s="25" t="s">
        <v>1508</v>
      </c>
      <c r="T99" t="s">
        <v>1527</v>
      </c>
      <c r="U99" t="str">
        <f t="shared" si="11"/>
        <v>Healthcare Facility - Recovery Room</v>
      </c>
      <c r="V99" s="35">
        <v>1.03</v>
      </c>
      <c r="W99" s="36">
        <v>6</v>
      </c>
      <c r="Y99" s="25" t="s">
        <v>1465</v>
      </c>
      <c r="Z99" t="s">
        <v>1468</v>
      </c>
      <c r="AA99" t="str">
        <f t="shared" si="8"/>
        <v>Library - Stacks</v>
      </c>
      <c r="AB99" s="35">
        <v>1.18</v>
      </c>
      <c r="AC99" s="36">
        <v>4</v>
      </c>
    </row>
    <row r="100" spans="1:29" x14ac:dyDescent="0.25">
      <c r="A100" s="31" t="s">
        <v>1603</v>
      </c>
      <c r="B100" s="32"/>
      <c r="C100" s="32" t="str">
        <f t="shared" si="6"/>
        <v>Religion Facility</v>
      </c>
      <c r="D100" s="37"/>
      <c r="E100" s="34" t="s">
        <v>214</v>
      </c>
      <c r="G100" s="25" t="s">
        <v>1535</v>
      </c>
      <c r="H100" t="s">
        <v>1451</v>
      </c>
      <c r="I100" t="str">
        <f t="shared" si="7"/>
        <v>Museum - Restoration Room</v>
      </c>
      <c r="J100" s="35">
        <v>1.02</v>
      </c>
      <c r="K100" s="36">
        <v>6</v>
      </c>
      <c r="L100" s="19"/>
      <c r="M100" s="31" t="s">
        <v>1465</v>
      </c>
      <c r="N100" s="32"/>
      <c r="O100" s="32" t="str">
        <f t="shared" si="10"/>
        <v>Library</v>
      </c>
      <c r="P100" s="37" t="s">
        <v>214</v>
      </c>
      <c r="Q100" s="34" t="s">
        <v>214</v>
      </c>
      <c r="R100" s="33"/>
      <c r="S100" s="31" t="s">
        <v>1465</v>
      </c>
      <c r="T100" s="32"/>
      <c r="U100" s="32" t="str">
        <f t="shared" si="11"/>
        <v>Library</v>
      </c>
      <c r="V100" s="37" t="s">
        <v>214</v>
      </c>
      <c r="W100" s="34" t="s">
        <v>214</v>
      </c>
      <c r="Y100" s="31" t="s">
        <v>1470</v>
      </c>
      <c r="Z100" s="32"/>
      <c r="AA100" s="32" t="str">
        <f t="shared" si="8"/>
        <v>Manufacturing Facility</v>
      </c>
      <c r="AB100" s="37" t="s">
        <v>214</v>
      </c>
      <c r="AC100" s="34" t="s">
        <v>214</v>
      </c>
    </row>
    <row r="101" spans="1:29" x14ac:dyDescent="0.25">
      <c r="A101" s="25" t="s">
        <v>1603</v>
      </c>
      <c r="B101" t="s">
        <v>1604</v>
      </c>
      <c r="C101" t="str">
        <f t="shared" si="6"/>
        <v>Religion Facility - Fellowhip Hall</v>
      </c>
      <c r="D101" s="35">
        <v>0.9</v>
      </c>
      <c r="E101" s="36">
        <v>4</v>
      </c>
      <c r="G101" s="31" t="s">
        <v>1605</v>
      </c>
      <c r="I101" t="str">
        <f t="shared" si="7"/>
        <v>Performing Arts Theater - Dressing Room</v>
      </c>
      <c r="J101" s="35">
        <v>0.4</v>
      </c>
      <c r="K101" s="36">
        <v>6</v>
      </c>
      <c r="L101" s="19"/>
      <c r="M101" s="25" t="s">
        <v>1465</v>
      </c>
      <c r="N101" t="s">
        <v>1466</v>
      </c>
      <c r="O101" t="str">
        <f t="shared" si="10"/>
        <v>Library - Reading Area</v>
      </c>
      <c r="P101" s="35">
        <v>1.06</v>
      </c>
      <c r="Q101" s="36">
        <v>4</v>
      </c>
      <c r="R101" s="19"/>
      <c r="S101" s="25" t="s">
        <v>1465</v>
      </c>
      <c r="T101" t="s">
        <v>1466</v>
      </c>
      <c r="U101" t="str">
        <f t="shared" si="11"/>
        <v>Library - Reading Area</v>
      </c>
      <c r="V101" s="35">
        <v>0.82</v>
      </c>
      <c r="W101" s="36">
        <v>4</v>
      </c>
      <c r="Y101" s="25" t="s">
        <v>1470</v>
      </c>
      <c r="Z101" t="s">
        <v>1592</v>
      </c>
      <c r="AA101" t="str">
        <f t="shared" si="8"/>
        <v>Manufacturing Facility - Detailed Manufacturing Area</v>
      </c>
      <c r="AB101" s="35">
        <v>0.8</v>
      </c>
      <c r="AC101" s="36">
        <v>4</v>
      </c>
    </row>
    <row r="102" spans="1:29" x14ac:dyDescent="0.25">
      <c r="A102" s="25" t="s">
        <v>1603</v>
      </c>
      <c r="B102" t="s">
        <v>1606</v>
      </c>
      <c r="C102" t="str">
        <f t="shared" si="6"/>
        <v>Religion Facility - Worship/Pulpit/Choir Area</v>
      </c>
      <c r="D102" s="35">
        <v>2.4</v>
      </c>
      <c r="E102" s="36">
        <v>4</v>
      </c>
      <c r="G102" s="31" t="s">
        <v>1602</v>
      </c>
      <c r="I102" t="str">
        <f t="shared" si="7"/>
        <v>Post Office - Sorting Area</v>
      </c>
      <c r="J102" s="35">
        <v>0.94</v>
      </c>
      <c r="K102" s="36">
        <v>4</v>
      </c>
      <c r="L102" s="19"/>
      <c r="M102" s="25" t="s">
        <v>1465</v>
      </c>
      <c r="N102" t="s">
        <v>1468</v>
      </c>
      <c r="O102" t="str">
        <f t="shared" si="10"/>
        <v>Library - Stacks</v>
      </c>
      <c r="P102" s="35">
        <v>1.71</v>
      </c>
      <c r="Q102" s="36">
        <v>4</v>
      </c>
      <c r="R102" s="19"/>
      <c r="S102" s="25" t="s">
        <v>1465</v>
      </c>
      <c r="T102" t="s">
        <v>1468</v>
      </c>
      <c r="U102" t="str">
        <f t="shared" si="11"/>
        <v>Library - Stacks</v>
      </c>
      <c r="V102" s="35">
        <v>1.2</v>
      </c>
      <c r="W102" s="36">
        <v>4</v>
      </c>
      <c r="Y102" s="25" t="s">
        <v>1470</v>
      </c>
      <c r="Z102" t="s">
        <v>1594</v>
      </c>
      <c r="AA102" t="str">
        <f t="shared" si="8"/>
        <v>Manufacturing Facility - Equipment Room</v>
      </c>
      <c r="AB102" s="35">
        <v>0.76</v>
      </c>
      <c r="AC102" s="36">
        <v>6</v>
      </c>
    </row>
    <row r="103" spans="1:29" x14ac:dyDescent="0.25">
      <c r="A103" s="31" t="s">
        <v>1607</v>
      </c>
      <c r="B103" s="32"/>
      <c r="C103" s="32" t="str">
        <f t="shared" si="6"/>
        <v>Retail Facilities</v>
      </c>
      <c r="D103" s="37"/>
      <c r="E103" s="34" t="s">
        <v>214</v>
      </c>
      <c r="G103" s="31" t="s">
        <v>1603</v>
      </c>
      <c r="H103" s="32"/>
      <c r="I103" s="32" t="str">
        <f t="shared" si="7"/>
        <v>Religion Facility</v>
      </c>
      <c r="J103" s="37"/>
      <c r="K103" s="34" t="s">
        <v>214</v>
      </c>
      <c r="L103" s="33"/>
      <c r="M103" s="31" t="s">
        <v>1470</v>
      </c>
      <c r="N103" s="32"/>
      <c r="O103" s="32" t="str">
        <f t="shared" si="10"/>
        <v>Manufacturing Facility</v>
      </c>
      <c r="P103" s="37" t="s">
        <v>214</v>
      </c>
      <c r="Q103" s="34" t="s">
        <v>214</v>
      </c>
      <c r="R103" s="19"/>
      <c r="S103" s="31" t="s">
        <v>1470</v>
      </c>
      <c r="T103" s="32"/>
      <c r="U103" s="32" t="str">
        <f t="shared" si="11"/>
        <v>Manufacturing Facility</v>
      </c>
      <c r="V103" s="37" t="s">
        <v>214</v>
      </c>
      <c r="W103" s="34" t="s">
        <v>214</v>
      </c>
      <c r="Y103" s="25" t="s">
        <v>1470</v>
      </c>
      <c r="Z103" t="s">
        <v>1599</v>
      </c>
      <c r="AA103" t="str">
        <f t="shared" si="8"/>
        <v>Manufacturing Facility - Extra High Bay Area (&gt;50 ft floor to ceiling height)</v>
      </c>
      <c r="AB103" s="35">
        <v>1.42</v>
      </c>
      <c r="AC103" s="36">
        <v>8</v>
      </c>
    </row>
    <row r="104" spans="1:29" x14ac:dyDescent="0.25">
      <c r="A104" s="25" t="s">
        <v>1607</v>
      </c>
      <c r="B104" t="s">
        <v>1608</v>
      </c>
      <c r="C104" t="str">
        <f t="shared" si="6"/>
        <v>Retail Facilities - Dressing/fitting room</v>
      </c>
      <c r="D104" s="35">
        <v>0.6</v>
      </c>
      <c r="E104" s="36">
        <v>8</v>
      </c>
      <c r="G104" s="25" t="s">
        <v>1603</v>
      </c>
      <c r="H104" t="s">
        <v>1604</v>
      </c>
      <c r="I104" t="str">
        <f t="shared" si="7"/>
        <v>Religion Facility - Fellowhip Hall</v>
      </c>
      <c r="J104" s="35">
        <v>0.64</v>
      </c>
      <c r="K104" s="36">
        <v>4</v>
      </c>
      <c r="L104" s="19"/>
      <c r="M104" s="25" t="s">
        <v>1470</v>
      </c>
      <c r="N104" t="s">
        <v>1592</v>
      </c>
      <c r="O104" t="str">
        <f t="shared" si="10"/>
        <v>Manufacturing Facility - Detailed Manufacturing Area</v>
      </c>
      <c r="P104" s="35">
        <v>1.29</v>
      </c>
      <c r="Q104" s="36">
        <v>4</v>
      </c>
      <c r="R104" s="19"/>
      <c r="S104" s="25" t="s">
        <v>1470</v>
      </c>
      <c r="T104" t="s">
        <v>1592</v>
      </c>
      <c r="U104" t="str">
        <f t="shared" si="11"/>
        <v>Manufacturing Facility - Detailed Manufacturing Area</v>
      </c>
      <c r="V104" s="35">
        <v>0.93</v>
      </c>
      <c r="W104" s="36">
        <v>4</v>
      </c>
      <c r="Y104" s="25" t="s">
        <v>1470</v>
      </c>
      <c r="Z104" t="s">
        <v>1600</v>
      </c>
      <c r="AA104" t="str">
        <f t="shared" si="8"/>
        <v>Manufacturing Facility - High Bay Area (25 to 50 ft floor to ceiling height)</v>
      </c>
      <c r="AB104" s="35">
        <v>1.24</v>
      </c>
      <c r="AC104" s="36">
        <v>6</v>
      </c>
    </row>
    <row r="105" spans="1:29" x14ac:dyDescent="0.25">
      <c r="A105" s="25" t="s">
        <v>1607</v>
      </c>
      <c r="B105" t="s">
        <v>1609</v>
      </c>
      <c r="C105" t="str">
        <f t="shared" si="6"/>
        <v>Retail Facilities - Mall concourse</v>
      </c>
      <c r="D105" s="35">
        <v>1.7</v>
      </c>
      <c r="E105" s="36">
        <v>4</v>
      </c>
      <c r="G105" s="25" t="s">
        <v>1603</v>
      </c>
      <c r="H105" t="s">
        <v>1606</v>
      </c>
      <c r="I105" t="str">
        <f t="shared" si="7"/>
        <v>Religion Facility - Worship/Pulpit/Choir Area</v>
      </c>
      <c r="J105" s="35">
        <v>1.53</v>
      </c>
      <c r="K105" s="36">
        <v>4</v>
      </c>
      <c r="L105" s="19"/>
      <c r="M105" s="25" t="s">
        <v>1470</v>
      </c>
      <c r="N105" t="s">
        <v>1594</v>
      </c>
      <c r="O105" t="str">
        <f t="shared" si="10"/>
        <v>Manufacturing Facility - Equipment Room</v>
      </c>
      <c r="P105" s="35">
        <v>0.74</v>
      </c>
      <c r="Q105" s="36">
        <v>6</v>
      </c>
      <c r="R105" s="19"/>
      <c r="S105" s="25" t="s">
        <v>1470</v>
      </c>
      <c r="T105" t="s">
        <v>1594</v>
      </c>
      <c r="U105" t="str">
        <f t="shared" si="11"/>
        <v>Manufacturing Facility - Equipment Room</v>
      </c>
      <c r="V105" s="35">
        <v>0.65</v>
      </c>
      <c r="W105" s="36">
        <v>6</v>
      </c>
      <c r="Y105" s="25" t="s">
        <v>1470</v>
      </c>
      <c r="Z105" t="s">
        <v>1598</v>
      </c>
      <c r="AA105" t="str">
        <f t="shared" si="8"/>
        <v>Manufacturing Facility - Low Bay Area (&lt;25 ft floor to ceiling height</v>
      </c>
      <c r="AB105" s="35">
        <v>0.86</v>
      </c>
      <c r="AC105" s="36">
        <v>3</v>
      </c>
    </row>
    <row r="106" spans="1:29" x14ac:dyDescent="0.25">
      <c r="A106" s="31" t="s">
        <v>1610</v>
      </c>
      <c r="B106" s="32"/>
      <c r="C106" s="32" t="str">
        <f t="shared" si="6"/>
        <v>Sports Arena - Playing Area *8</v>
      </c>
      <c r="D106" s="37"/>
      <c r="E106" s="34" t="s">
        <v>214</v>
      </c>
      <c r="G106" s="31" t="s">
        <v>1607</v>
      </c>
      <c r="H106" s="32"/>
      <c r="I106" s="32" t="str">
        <f t="shared" si="7"/>
        <v>Retail Facilities</v>
      </c>
      <c r="J106" s="37"/>
      <c r="K106" s="34" t="s">
        <v>214</v>
      </c>
      <c r="L106" s="33"/>
      <c r="M106" s="25" t="s">
        <v>1470</v>
      </c>
      <c r="N106" t="s">
        <v>1599</v>
      </c>
      <c r="O106" t="str">
        <f t="shared" si="10"/>
        <v>Manufacturing Facility - Extra High Bay Area (&gt;50 ft floor to ceiling height)</v>
      </c>
      <c r="P106" s="35">
        <v>1.05</v>
      </c>
      <c r="Q106" s="36">
        <v>4</v>
      </c>
      <c r="R106" s="33"/>
      <c r="S106" s="25" t="s">
        <v>1470</v>
      </c>
      <c r="T106" t="s">
        <v>1599</v>
      </c>
      <c r="U106" t="str">
        <f t="shared" si="11"/>
        <v>Manufacturing Facility - Extra High Bay Area (&gt;50 ft floor to ceiling height)</v>
      </c>
      <c r="V106" s="35">
        <v>1.05</v>
      </c>
      <c r="W106" s="36">
        <v>4</v>
      </c>
      <c r="Y106" s="31" t="s">
        <v>1535</v>
      </c>
      <c r="Z106" s="32"/>
      <c r="AA106" s="32" t="str">
        <f t="shared" si="8"/>
        <v>Museum</v>
      </c>
      <c r="AB106" s="37" t="s">
        <v>214</v>
      </c>
      <c r="AC106" s="34" t="s">
        <v>214</v>
      </c>
    </row>
    <row r="107" spans="1:29" x14ac:dyDescent="0.25">
      <c r="A107" s="25" t="s">
        <v>1610</v>
      </c>
      <c r="B107" t="s">
        <v>1611</v>
      </c>
      <c r="C107" t="str">
        <f t="shared" si="6"/>
        <v>Sports Arena - Playing Area *8 - Cour Sports Area</v>
      </c>
      <c r="D107" s="35">
        <v>2.2999999999999998</v>
      </c>
      <c r="E107" s="36">
        <v>4</v>
      </c>
      <c r="G107" s="25" t="s">
        <v>1607</v>
      </c>
      <c r="H107" t="s">
        <v>1608</v>
      </c>
      <c r="I107" t="str">
        <f t="shared" si="7"/>
        <v>Retail Facilities - Dressing/fitting room</v>
      </c>
      <c r="J107" s="35">
        <v>0.87</v>
      </c>
      <c r="K107" s="36">
        <v>8</v>
      </c>
      <c r="L107" s="19"/>
      <c r="M107" s="25" t="s">
        <v>1470</v>
      </c>
      <c r="N107" t="s">
        <v>1600</v>
      </c>
      <c r="O107" t="str">
        <f t="shared" si="10"/>
        <v>Manufacturing Facility - High Bay Area (25 to 50 ft floor to ceiling height)</v>
      </c>
      <c r="P107" s="35">
        <v>1.23</v>
      </c>
      <c r="Q107" s="36">
        <v>4</v>
      </c>
      <c r="R107" s="19"/>
      <c r="S107" s="25" t="s">
        <v>1470</v>
      </c>
      <c r="T107" t="s">
        <v>1600</v>
      </c>
      <c r="U107" t="str">
        <f t="shared" si="11"/>
        <v>Manufacturing Facility - High Bay Area (25 to 50 ft floor to ceiling height)</v>
      </c>
      <c r="V107" s="35">
        <v>0.75</v>
      </c>
      <c r="W107" s="36">
        <v>4</v>
      </c>
      <c r="Y107" s="25" t="s">
        <v>1535</v>
      </c>
      <c r="Z107" t="s">
        <v>1601</v>
      </c>
      <c r="AA107" t="str">
        <f t="shared" si="8"/>
        <v>Museum - General Exhibition Area</v>
      </c>
      <c r="AB107" s="35">
        <v>0.31</v>
      </c>
      <c r="AC107" s="36">
        <v>6</v>
      </c>
    </row>
    <row r="108" spans="1:29" x14ac:dyDescent="0.25">
      <c r="A108" s="25" t="s">
        <v>1610</v>
      </c>
      <c r="B108" t="s">
        <v>1612</v>
      </c>
      <c r="C108" t="str">
        <f t="shared" si="6"/>
        <v>Sports Arena - Playing Area *8 - Indoor Playing Field Area</v>
      </c>
      <c r="D108" s="35">
        <v>1.4</v>
      </c>
      <c r="E108" s="36">
        <v>4</v>
      </c>
      <c r="G108" s="25" t="s">
        <v>1607</v>
      </c>
      <c r="H108" t="s">
        <v>1609</v>
      </c>
      <c r="I108" t="str">
        <f t="shared" si="7"/>
        <v>Retail Facilities - Mall concourse</v>
      </c>
      <c r="J108" s="35">
        <v>1.1000000000000001</v>
      </c>
      <c r="K108" s="36">
        <v>4</v>
      </c>
      <c r="L108" s="19"/>
      <c r="M108" s="25" t="s">
        <v>1470</v>
      </c>
      <c r="N108" t="s">
        <v>1598</v>
      </c>
      <c r="O108" t="str">
        <f t="shared" si="10"/>
        <v>Manufacturing Facility - Low Bay Area (&lt;25 ft floor to ceiling height</v>
      </c>
      <c r="P108" s="35">
        <v>1.19</v>
      </c>
      <c r="Q108" s="36">
        <v>4</v>
      </c>
      <c r="R108" s="19"/>
      <c r="S108" s="25" t="s">
        <v>1470</v>
      </c>
      <c r="T108" t="s">
        <v>1598</v>
      </c>
      <c r="U108" t="str">
        <f t="shared" si="11"/>
        <v>Manufacturing Facility - Low Bay Area (&lt;25 ft floor to ceiling height</v>
      </c>
      <c r="V108" s="35">
        <v>0.96</v>
      </c>
      <c r="W108" s="36">
        <v>4</v>
      </c>
      <c r="Y108" s="25" t="s">
        <v>1535</v>
      </c>
      <c r="Z108" t="s">
        <v>1451</v>
      </c>
      <c r="AA108" t="str">
        <f t="shared" si="8"/>
        <v>Museum - Restoration Room</v>
      </c>
      <c r="AB108" s="35">
        <v>1.1000000000000001</v>
      </c>
      <c r="AC108" s="36">
        <v>6</v>
      </c>
    </row>
    <row r="109" spans="1:29" x14ac:dyDescent="0.25">
      <c r="A109" s="25" t="s">
        <v>1610</v>
      </c>
      <c r="B109" t="s">
        <v>1613</v>
      </c>
      <c r="C109" t="str">
        <f t="shared" si="6"/>
        <v>Sports Arena - Playing Area *8 - Ring Sports Arena</v>
      </c>
      <c r="D109" s="35">
        <v>2.7</v>
      </c>
      <c r="E109" s="36">
        <v>4</v>
      </c>
      <c r="G109" s="31" t="s">
        <v>1610</v>
      </c>
      <c r="H109" s="32"/>
      <c r="I109" s="32" t="str">
        <f t="shared" si="7"/>
        <v>Sports Arena - Playing Area *8</v>
      </c>
      <c r="J109" s="37"/>
      <c r="K109" s="34" t="s">
        <v>214</v>
      </c>
      <c r="L109" s="33"/>
      <c r="M109" s="31" t="s">
        <v>1535</v>
      </c>
      <c r="N109" s="32"/>
      <c r="O109" s="32" t="str">
        <f t="shared" si="10"/>
        <v>Museum</v>
      </c>
      <c r="P109" s="37" t="s">
        <v>214</v>
      </c>
      <c r="Q109" s="34" t="s">
        <v>214</v>
      </c>
      <c r="R109" s="19"/>
      <c r="S109" s="31" t="s">
        <v>1535</v>
      </c>
      <c r="T109" s="32"/>
      <c r="U109" s="32" t="str">
        <f t="shared" si="11"/>
        <v>Museum</v>
      </c>
      <c r="V109" s="37" t="s">
        <v>214</v>
      </c>
      <c r="W109" s="34" t="s">
        <v>214</v>
      </c>
      <c r="Y109" s="31" t="s">
        <v>1605</v>
      </c>
      <c r="AA109" t="str">
        <f t="shared" si="8"/>
        <v>Performing Arts Theater - Dressing Room</v>
      </c>
      <c r="AB109" s="35">
        <v>0.41</v>
      </c>
      <c r="AC109" s="36">
        <v>6</v>
      </c>
    </row>
    <row r="110" spans="1:29" x14ac:dyDescent="0.25">
      <c r="A110" s="31" t="s">
        <v>1614</v>
      </c>
      <c r="B110" s="32"/>
      <c r="C110" s="32" t="str">
        <f t="shared" si="6"/>
        <v>Transportation Facility</v>
      </c>
      <c r="D110" s="37"/>
      <c r="E110" s="34" t="s">
        <v>214</v>
      </c>
      <c r="G110" s="25" t="s">
        <v>1610</v>
      </c>
      <c r="H110" t="s">
        <v>1615</v>
      </c>
      <c r="I110" t="str">
        <f t="shared" si="7"/>
        <v>Sports Arena - Playing Area *8 - Class I Facility</v>
      </c>
      <c r="J110" s="35">
        <v>0.30099999999999999</v>
      </c>
      <c r="K110" s="36">
        <v>4</v>
      </c>
      <c r="L110" s="19"/>
      <c r="M110" s="25" t="s">
        <v>1535</v>
      </c>
      <c r="N110" t="s">
        <v>1601</v>
      </c>
      <c r="O110" t="str">
        <f t="shared" si="10"/>
        <v>Museum - General Exhibition Area</v>
      </c>
      <c r="P110" s="35">
        <v>1.05</v>
      </c>
      <c r="Q110" s="36">
        <v>6</v>
      </c>
      <c r="R110" s="19"/>
      <c r="S110" s="25" t="s">
        <v>1535</v>
      </c>
      <c r="T110" t="s">
        <v>1601</v>
      </c>
      <c r="U110" t="str">
        <f t="shared" si="11"/>
        <v>Museum - General Exhibition Area</v>
      </c>
      <c r="V110" s="35">
        <v>1.05</v>
      </c>
      <c r="W110" s="36">
        <v>6</v>
      </c>
      <c r="Y110" s="31" t="s">
        <v>1602</v>
      </c>
      <c r="AA110" t="str">
        <f t="shared" si="8"/>
        <v>Post Office - Sorting Area</v>
      </c>
      <c r="AB110" s="35">
        <v>0.76</v>
      </c>
      <c r="AC110" s="36">
        <v>4</v>
      </c>
    </row>
    <row r="111" spans="1:29" x14ac:dyDescent="0.25">
      <c r="A111" s="25" t="s">
        <v>1614</v>
      </c>
      <c r="B111" t="s">
        <v>1616</v>
      </c>
      <c r="C111" t="str">
        <f t="shared" si="6"/>
        <v>Transportation Facility - Baggage/carousel area</v>
      </c>
      <c r="D111" s="35">
        <v>1</v>
      </c>
      <c r="E111" s="36">
        <v>4</v>
      </c>
      <c r="G111" s="25" t="s">
        <v>1610</v>
      </c>
      <c r="H111" t="s">
        <v>1617</v>
      </c>
      <c r="I111" t="str">
        <f t="shared" si="7"/>
        <v>Sports Arena - Playing Area *8 - Class II Facility</v>
      </c>
      <c r="J111" s="35">
        <v>1.92</v>
      </c>
      <c r="K111" s="36">
        <v>4</v>
      </c>
      <c r="L111" s="19"/>
      <c r="M111" s="25" t="s">
        <v>1535</v>
      </c>
      <c r="N111" t="s">
        <v>1451</v>
      </c>
      <c r="O111" t="str">
        <f t="shared" si="10"/>
        <v>Museum - Restoration Room</v>
      </c>
      <c r="P111" s="35">
        <v>1.02</v>
      </c>
      <c r="Q111" s="36">
        <v>6</v>
      </c>
      <c r="R111" s="33"/>
      <c r="S111" s="25" t="s">
        <v>1535</v>
      </c>
      <c r="T111" t="s">
        <v>1451</v>
      </c>
      <c r="U111" t="str">
        <f t="shared" si="11"/>
        <v>Museum - Restoration Room</v>
      </c>
      <c r="V111" s="35">
        <v>0.85</v>
      </c>
      <c r="W111" s="36">
        <v>6</v>
      </c>
      <c r="Y111" s="31" t="s">
        <v>1603</v>
      </c>
      <c r="Z111" s="32"/>
      <c r="AA111" s="32" t="str">
        <f t="shared" si="8"/>
        <v>Religion Facility</v>
      </c>
      <c r="AB111" s="37" t="s">
        <v>214</v>
      </c>
      <c r="AC111" s="34" t="s">
        <v>214</v>
      </c>
    </row>
    <row r="112" spans="1:29" x14ac:dyDescent="0.25">
      <c r="A112" s="25" t="s">
        <v>1614</v>
      </c>
      <c r="B112" t="s">
        <v>1618</v>
      </c>
      <c r="C112" t="str">
        <f t="shared" si="6"/>
        <v>Transportation Facility - Airport concourse</v>
      </c>
      <c r="D112" s="35">
        <v>0.6</v>
      </c>
      <c r="E112" s="36">
        <v>4</v>
      </c>
      <c r="G112" s="25" t="s">
        <v>1610</v>
      </c>
      <c r="H112" t="s">
        <v>1619</v>
      </c>
      <c r="I112" t="str">
        <f t="shared" si="7"/>
        <v>Sports Arena - Playing Area *8 - Class III Facility</v>
      </c>
      <c r="J112" s="35">
        <v>1.2</v>
      </c>
      <c r="K112" s="36">
        <v>4</v>
      </c>
      <c r="L112" s="19"/>
      <c r="M112" s="31" t="s">
        <v>1605</v>
      </c>
      <c r="O112" t="str">
        <f t="shared" si="10"/>
        <v>Performing Arts Theater - Dressing Room</v>
      </c>
      <c r="P112" s="35">
        <v>0.61</v>
      </c>
      <c r="Q112" s="36">
        <v>6</v>
      </c>
      <c r="R112" s="19"/>
      <c r="S112" s="31" t="s">
        <v>1605</v>
      </c>
      <c r="U112" t="str">
        <f t="shared" si="11"/>
        <v>Performing Arts Theater - Dressing Room</v>
      </c>
      <c r="V112" s="35">
        <v>0.36</v>
      </c>
      <c r="W112" s="36">
        <v>6</v>
      </c>
      <c r="Y112" s="25" t="s">
        <v>1603</v>
      </c>
      <c r="Z112" t="s">
        <v>1604</v>
      </c>
      <c r="AA112" t="str">
        <f t="shared" si="8"/>
        <v>Religion Facility - Fellowhip Hall</v>
      </c>
      <c r="AB112" s="35">
        <v>0.54</v>
      </c>
      <c r="AC112" s="36">
        <v>4</v>
      </c>
    </row>
    <row r="113" spans="1:29" x14ac:dyDescent="0.25">
      <c r="A113" s="25" t="s">
        <v>1614</v>
      </c>
      <c r="B113" t="s">
        <v>1620</v>
      </c>
      <c r="C113" t="str">
        <f t="shared" si="6"/>
        <v>Transportation Facility - Ticket counter</v>
      </c>
      <c r="D113" s="35">
        <v>1.5</v>
      </c>
      <c r="E113" s="36">
        <v>4</v>
      </c>
      <c r="G113" s="25" t="s">
        <v>1610</v>
      </c>
      <c r="H113" t="s">
        <v>1621</v>
      </c>
      <c r="I113" t="str">
        <f t="shared" si="7"/>
        <v>Sports Arena - Playing Area *8 - Class IV Facility</v>
      </c>
      <c r="J113" s="35">
        <v>0.72</v>
      </c>
      <c r="K113" s="36">
        <v>4</v>
      </c>
      <c r="L113" s="19"/>
      <c r="M113" s="31" t="s">
        <v>1602</v>
      </c>
      <c r="O113" t="str">
        <f t="shared" si="10"/>
        <v>Post Office - Sorting Area</v>
      </c>
      <c r="P113" s="35">
        <v>0.94</v>
      </c>
      <c r="Q113" s="36">
        <v>4</v>
      </c>
      <c r="R113" s="19"/>
      <c r="S113" s="31" t="s">
        <v>1602</v>
      </c>
      <c r="U113" t="str">
        <f t="shared" si="11"/>
        <v>Post Office - Sorting Area</v>
      </c>
      <c r="V113" s="35">
        <v>0.68</v>
      </c>
      <c r="W113" s="36">
        <v>4</v>
      </c>
      <c r="Y113" s="25" t="s">
        <v>1603</v>
      </c>
      <c r="Z113" t="s">
        <v>1606</v>
      </c>
      <c r="AA113" t="str">
        <f t="shared" si="8"/>
        <v>Religion Facility - Worship/Pulpit/Choir Area</v>
      </c>
      <c r="AB113" s="35">
        <v>0.85</v>
      </c>
      <c r="AC113" s="36">
        <v>4</v>
      </c>
    </row>
    <row r="114" spans="1:29" x14ac:dyDescent="0.25">
      <c r="A114" s="31" t="s">
        <v>1622</v>
      </c>
      <c r="B114" s="32"/>
      <c r="C114" s="32" t="str">
        <f t="shared" si="6"/>
        <v>Warehouse - Storage Area</v>
      </c>
      <c r="D114" s="37"/>
      <c r="E114" s="34" t="s">
        <v>214</v>
      </c>
      <c r="G114" s="25" t="s">
        <v>1610</v>
      </c>
      <c r="H114" t="s">
        <v>1613</v>
      </c>
      <c r="I114" t="str">
        <f t="shared" si="7"/>
        <v>Sports Arena - Playing Area *8 - Ring Sports Arena</v>
      </c>
      <c r="J114" s="35">
        <v>2.68</v>
      </c>
      <c r="K114" s="36">
        <v>4</v>
      </c>
      <c r="L114" s="19"/>
      <c r="M114" s="31" t="s">
        <v>1603</v>
      </c>
      <c r="N114" s="32"/>
      <c r="O114" s="32" t="str">
        <f t="shared" si="10"/>
        <v>Religion Facility</v>
      </c>
      <c r="P114" s="37" t="s">
        <v>214</v>
      </c>
      <c r="Q114" s="34" t="s">
        <v>214</v>
      </c>
      <c r="R114" s="33"/>
      <c r="S114" s="31" t="s">
        <v>1603</v>
      </c>
      <c r="T114" s="32"/>
      <c r="U114" s="32" t="str">
        <f t="shared" si="11"/>
        <v>Religion Facility</v>
      </c>
      <c r="V114" s="37" t="s">
        <v>214</v>
      </c>
      <c r="W114" s="34" t="s">
        <v>214</v>
      </c>
      <c r="Y114" s="31" t="s">
        <v>1607</v>
      </c>
      <c r="Z114" s="32"/>
      <c r="AA114" s="32" t="str">
        <f t="shared" si="8"/>
        <v>Retail Facilities</v>
      </c>
      <c r="AB114" s="37" t="s">
        <v>214</v>
      </c>
      <c r="AC114" s="34" t="s">
        <v>214</v>
      </c>
    </row>
    <row r="115" spans="1:29" x14ac:dyDescent="0.25">
      <c r="A115" s="25" t="s">
        <v>1622</v>
      </c>
      <c r="B115" t="s">
        <v>1623</v>
      </c>
      <c r="C115" t="str">
        <f t="shared" si="6"/>
        <v>Warehouse - Storage Area - Medium/Bulky Material Storage</v>
      </c>
      <c r="D115" s="35">
        <v>0.9</v>
      </c>
      <c r="E115" s="36">
        <v>4</v>
      </c>
      <c r="G115" s="31" t="s">
        <v>1614</v>
      </c>
      <c r="H115" s="32"/>
      <c r="I115" s="32" t="str">
        <f t="shared" si="7"/>
        <v>Transportation Facility</v>
      </c>
      <c r="J115" s="37"/>
      <c r="K115" s="34" t="s">
        <v>214</v>
      </c>
      <c r="L115" s="33"/>
      <c r="M115" s="25" t="s">
        <v>1603</v>
      </c>
      <c r="N115" t="s">
        <v>1604</v>
      </c>
      <c r="O115" t="str">
        <f t="shared" si="10"/>
        <v>Religion Facility - Fellowhip Hall</v>
      </c>
      <c r="P115" s="35">
        <v>0.64</v>
      </c>
      <c r="Q115" s="36">
        <v>4</v>
      </c>
      <c r="R115" s="19"/>
      <c r="S115" s="25" t="s">
        <v>1603</v>
      </c>
      <c r="T115" t="s">
        <v>1604</v>
      </c>
      <c r="U115" t="str">
        <f t="shared" si="11"/>
        <v>Religion Facility - Fellowhip Hall</v>
      </c>
      <c r="V115" s="35">
        <v>0.55000000000000004</v>
      </c>
      <c r="W115" s="36">
        <v>4</v>
      </c>
      <c r="Y115" s="25" t="s">
        <v>1607</v>
      </c>
      <c r="Z115" t="s">
        <v>1608</v>
      </c>
      <c r="AA115" t="str">
        <f t="shared" si="8"/>
        <v>Retail Facilities - Dressing/fitting room</v>
      </c>
      <c r="AB115" s="35">
        <v>0.51</v>
      </c>
      <c r="AC115" s="36">
        <v>8</v>
      </c>
    </row>
    <row r="116" spans="1:29" x14ac:dyDescent="0.25">
      <c r="A116" s="25" t="s">
        <v>1622</v>
      </c>
      <c r="B116" t="s">
        <v>1624</v>
      </c>
      <c r="C116" t="str">
        <f t="shared" si="6"/>
        <v>Warehouse - Storage Area - Fine Material Storagte</v>
      </c>
      <c r="D116" s="35">
        <v>1.4</v>
      </c>
      <c r="E116" s="36">
        <v>6</v>
      </c>
      <c r="G116" s="25" t="s">
        <v>1614</v>
      </c>
      <c r="H116" t="s">
        <v>1616</v>
      </c>
      <c r="I116" t="str">
        <f t="shared" si="7"/>
        <v>Transportation Facility - Baggage/carousel area</v>
      </c>
      <c r="J116" s="35">
        <v>0.76</v>
      </c>
      <c r="K116" s="36">
        <v>4</v>
      </c>
      <c r="L116" s="19"/>
      <c r="M116" s="25" t="s">
        <v>1603</v>
      </c>
      <c r="N116" t="s">
        <v>1606</v>
      </c>
      <c r="O116" t="str">
        <f t="shared" si="10"/>
        <v>Religion Facility - Worship/Pulpit/Choir Area</v>
      </c>
      <c r="P116" s="35">
        <v>1.53</v>
      </c>
      <c r="Q116" s="36">
        <v>4</v>
      </c>
      <c r="R116" s="19"/>
      <c r="S116" s="25" t="s">
        <v>1603</v>
      </c>
      <c r="T116" t="s">
        <v>1606</v>
      </c>
      <c r="U116" t="str">
        <f t="shared" si="11"/>
        <v>Religion Facility - Worship/Pulpit/Choir Area</v>
      </c>
      <c r="V116" s="35">
        <v>1.53</v>
      </c>
      <c r="W116" s="36">
        <v>4</v>
      </c>
      <c r="Y116" s="25" t="s">
        <v>1607</v>
      </c>
      <c r="Z116" t="s">
        <v>1609</v>
      </c>
      <c r="AA116" t="str">
        <f t="shared" si="8"/>
        <v>Retail Facilities - Mall concourse</v>
      </c>
      <c r="AB116" s="35">
        <v>0.82</v>
      </c>
      <c r="AC116" s="36">
        <v>4</v>
      </c>
    </row>
    <row r="117" spans="1:29" x14ac:dyDescent="0.25">
      <c r="A117" s="25"/>
      <c r="E117" s="26"/>
      <c r="G117" s="25" t="s">
        <v>1614</v>
      </c>
      <c r="H117" t="s">
        <v>1618</v>
      </c>
      <c r="I117" t="str">
        <f t="shared" si="7"/>
        <v>Transportation Facility - Airport concourse</v>
      </c>
      <c r="J117" s="35">
        <v>0.33600000000000002</v>
      </c>
      <c r="K117" s="36">
        <v>4</v>
      </c>
      <c r="L117" s="19"/>
      <c r="M117" s="31" t="s">
        <v>1607</v>
      </c>
      <c r="N117" s="32"/>
      <c r="O117" s="32" t="str">
        <f t="shared" si="10"/>
        <v>Retail Facilities</v>
      </c>
      <c r="P117" s="37" t="s">
        <v>214</v>
      </c>
      <c r="Q117" s="34" t="s">
        <v>214</v>
      </c>
      <c r="R117" s="33"/>
      <c r="S117" s="31" t="s">
        <v>1607</v>
      </c>
      <c r="T117" s="32"/>
      <c r="U117" s="32" t="str">
        <f t="shared" si="11"/>
        <v>Retail Facilities</v>
      </c>
      <c r="V117" s="37" t="s">
        <v>214</v>
      </c>
      <c r="W117" s="34" t="s">
        <v>214</v>
      </c>
      <c r="Y117" s="31" t="s">
        <v>1610</v>
      </c>
      <c r="Z117" s="32"/>
      <c r="AA117" s="32" t="str">
        <f t="shared" si="8"/>
        <v>Sports Arena - Playing Area *8</v>
      </c>
      <c r="AB117" s="37" t="s">
        <v>214</v>
      </c>
      <c r="AC117" s="34" t="s">
        <v>214</v>
      </c>
    </row>
    <row r="118" spans="1:29" x14ac:dyDescent="0.25">
      <c r="A118" s="25" t="s">
        <v>1625</v>
      </c>
      <c r="E118" s="26"/>
      <c r="G118" s="25" t="s">
        <v>1614</v>
      </c>
      <c r="H118" t="s">
        <v>1620</v>
      </c>
      <c r="I118" t="str">
        <f t="shared" si="7"/>
        <v>Transportation Facility - Ticket counter</v>
      </c>
      <c r="J118" s="35">
        <v>1.08</v>
      </c>
      <c r="K118" s="36">
        <v>4</v>
      </c>
      <c r="L118" s="19"/>
      <c r="M118" s="25" t="s">
        <v>1607</v>
      </c>
      <c r="N118" t="s">
        <v>1608</v>
      </c>
      <c r="O118" t="str">
        <f t="shared" si="10"/>
        <v>Retail Facilities - Dressing/fitting room</v>
      </c>
      <c r="P118" s="35">
        <v>0.71</v>
      </c>
      <c r="Q118" s="36">
        <v>8</v>
      </c>
      <c r="R118" s="19"/>
      <c r="S118" s="25" t="s">
        <v>1607</v>
      </c>
      <c r="T118" t="s">
        <v>1608</v>
      </c>
      <c r="U118" t="str">
        <f t="shared" si="11"/>
        <v>Retail Facilities - Dressing/fitting room</v>
      </c>
      <c r="V118" s="35">
        <v>0.5</v>
      </c>
      <c r="W118" s="36">
        <v>8</v>
      </c>
      <c r="Y118" s="25" t="s">
        <v>1610</v>
      </c>
      <c r="Z118" t="s">
        <v>1615</v>
      </c>
      <c r="AA118" t="str">
        <f t="shared" si="8"/>
        <v>Sports Arena - Playing Area *8 - Class I Facility</v>
      </c>
      <c r="AB118" s="35">
        <v>2.94</v>
      </c>
      <c r="AC118" s="36">
        <v>4</v>
      </c>
    </row>
    <row r="119" spans="1:29" ht="60" x14ac:dyDescent="0.25">
      <c r="A119" s="41" t="s">
        <v>1626</v>
      </c>
      <c r="E119" s="26"/>
      <c r="G119" s="31" t="s">
        <v>1622</v>
      </c>
      <c r="H119" s="32"/>
      <c r="I119" s="32" t="str">
        <f t="shared" si="7"/>
        <v>Warehouse - Storage Area</v>
      </c>
      <c r="J119" s="37"/>
      <c r="K119" s="34" t="s">
        <v>214</v>
      </c>
      <c r="L119" s="33"/>
      <c r="M119" s="25" t="s">
        <v>1607</v>
      </c>
      <c r="N119" t="s">
        <v>1609</v>
      </c>
      <c r="O119" t="str">
        <f t="shared" si="10"/>
        <v>Retail Facilities - Mall concourse</v>
      </c>
      <c r="P119" s="35">
        <v>1.1000000000000001</v>
      </c>
      <c r="Q119" s="36">
        <v>4</v>
      </c>
      <c r="R119" s="19"/>
      <c r="S119" s="25" t="s">
        <v>1607</v>
      </c>
      <c r="T119" t="s">
        <v>1609</v>
      </c>
      <c r="U119" t="str">
        <f t="shared" si="11"/>
        <v>Retail Facilities - Mall concourse</v>
      </c>
      <c r="V119" s="35">
        <v>0.9</v>
      </c>
      <c r="W119" s="36">
        <v>4</v>
      </c>
      <c r="Y119" s="25" t="s">
        <v>1610</v>
      </c>
      <c r="Z119" t="s">
        <v>1617</v>
      </c>
      <c r="AA119" t="str">
        <f t="shared" si="8"/>
        <v>Sports Arena - Playing Area *8 - Class II Facility</v>
      </c>
      <c r="AB119" s="35">
        <v>2.0099999999999998</v>
      </c>
      <c r="AC119" s="36">
        <v>4</v>
      </c>
    </row>
    <row r="120" spans="1:29" ht="60" x14ac:dyDescent="0.25">
      <c r="A120" s="41" t="s">
        <v>1627</v>
      </c>
      <c r="E120" s="26"/>
      <c r="G120" s="25" t="s">
        <v>1622</v>
      </c>
      <c r="H120" t="s">
        <v>1623</v>
      </c>
      <c r="I120" t="str">
        <f t="shared" si="7"/>
        <v>Warehouse - Storage Area - Medium/Bulky Material Storage</v>
      </c>
      <c r="J120" s="35">
        <v>0.57999999999999996</v>
      </c>
      <c r="K120" s="36">
        <v>4</v>
      </c>
      <c r="L120" s="19"/>
      <c r="M120" s="31" t="s">
        <v>1610</v>
      </c>
      <c r="N120" s="32"/>
      <c r="O120" s="32" t="str">
        <f t="shared" si="10"/>
        <v>Sports Arena - Playing Area *8</v>
      </c>
      <c r="P120" s="37" t="s">
        <v>214</v>
      </c>
      <c r="Q120" s="34" t="s">
        <v>214</v>
      </c>
      <c r="R120" s="19"/>
      <c r="S120" s="31" t="s">
        <v>1610</v>
      </c>
      <c r="T120" s="32"/>
      <c r="U120" s="32" t="str">
        <f t="shared" si="11"/>
        <v>Sports Arena - Playing Area *8</v>
      </c>
      <c r="V120" s="37" t="s">
        <v>214</v>
      </c>
      <c r="W120" s="34" t="s">
        <v>214</v>
      </c>
      <c r="Y120" s="25" t="s">
        <v>1610</v>
      </c>
      <c r="Z120" t="s">
        <v>1619</v>
      </c>
      <c r="AA120" t="str">
        <f t="shared" si="8"/>
        <v>Sports Arena - Playing Area *8 - Class III Facility</v>
      </c>
      <c r="AB120" s="35">
        <v>1.3</v>
      </c>
      <c r="AC120" s="36">
        <v>4</v>
      </c>
    </row>
    <row r="121" spans="1:29" ht="120" x14ac:dyDescent="0.25">
      <c r="A121" s="41" t="s">
        <v>1628</v>
      </c>
      <c r="E121" s="26"/>
      <c r="G121" s="25" t="s">
        <v>1622</v>
      </c>
      <c r="H121" t="s">
        <v>1624</v>
      </c>
      <c r="I121" t="str">
        <f t="shared" si="7"/>
        <v>Warehouse - Storage Area - Fine Material Storagte</v>
      </c>
      <c r="J121" s="35">
        <v>0.95</v>
      </c>
      <c r="K121" s="36">
        <v>6</v>
      </c>
      <c r="L121" s="19"/>
      <c r="M121" s="25" t="s">
        <v>1610</v>
      </c>
      <c r="N121" t="s">
        <v>1615</v>
      </c>
      <c r="O121" t="str">
        <f t="shared" si="10"/>
        <v>Sports Arena - Playing Area *8 - Class I Facility</v>
      </c>
      <c r="P121" s="35">
        <v>3.68</v>
      </c>
      <c r="Q121" s="36">
        <v>4</v>
      </c>
      <c r="R121" s="19"/>
      <c r="S121" s="25" t="s">
        <v>1610</v>
      </c>
      <c r="T121" t="s">
        <v>1615</v>
      </c>
      <c r="U121" t="str">
        <f t="shared" si="11"/>
        <v>Sports Arena - Playing Area *8 - Class I Facility</v>
      </c>
      <c r="V121" s="35">
        <v>2.4700000000000002</v>
      </c>
      <c r="W121" s="36">
        <v>4</v>
      </c>
      <c r="Y121" s="25" t="s">
        <v>1610</v>
      </c>
      <c r="Z121" t="s">
        <v>1621</v>
      </c>
      <c r="AA121" t="str">
        <f t="shared" si="8"/>
        <v>Sports Arena - Playing Area *8 - Class IV Facility</v>
      </c>
      <c r="AB121" s="35">
        <v>0.86</v>
      </c>
      <c r="AC121" s="36">
        <v>4</v>
      </c>
    </row>
    <row r="122" spans="1:29" x14ac:dyDescent="0.25">
      <c r="A122" s="41" t="s">
        <v>1629</v>
      </c>
      <c r="E122" s="26"/>
      <c r="G122" s="25"/>
      <c r="K122" s="26"/>
      <c r="M122" s="25" t="s">
        <v>1610</v>
      </c>
      <c r="N122" t="s">
        <v>1617</v>
      </c>
      <c r="O122" t="str">
        <f t="shared" si="10"/>
        <v>Sports Arena - Playing Area *8 - Class II Facility</v>
      </c>
      <c r="P122" s="35">
        <v>2.4</v>
      </c>
      <c r="Q122" s="36">
        <v>4</v>
      </c>
      <c r="R122" s="33"/>
      <c r="S122" s="25" t="s">
        <v>1610</v>
      </c>
      <c r="T122" t="s">
        <v>1617</v>
      </c>
      <c r="U122" t="str">
        <f t="shared" si="11"/>
        <v>Sports Arena - Playing Area *8 - Class II Facility</v>
      </c>
      <c r="V122" s="35">
        <v>1.96</v>
      </c>
      <c r="W122" s="36">
        <v>4</v>
      </c>
      <c r="Y122" s="31" t="s">
        <v>1614</v>
      </c>
      <c r="Z122" s="32"/>
      <c r="AA122" s="32" t="str">
        <f t="shared" si="8"/>
        <v>Transportation Facility</v>
      </c>
      <c r="AB122" s="37" t="s">
        <v>214</v>
      </c>
      <c r="AC122" s="34" t="s">
        <v>214</v>
      </c>
    </row>
    <row r="123" spans="1:29" ht="30" x14ac:dyDescent="0.25">
      <c r="A123" s="41" t="s">
        <v>1630</v>
      </c>
      <c r="E123" s="26"/>
      <c r="G123" s="25" t="s">
        <v>1625</v>
      </c>
      <c r="K123" s="26"/>
      <c r="M123" s="25" t="s">
        <v>1610</v>
      </c>
      <c r="N123" t="s">
        <v>1619</v>
      </c>
      <c r="O123" t="str">
        <f t="shared" si="10"/>
        <v>Sports Arena - Playing Area *8 - Class III Facility</v>
      </c>
      <c r="P123" s="35">
        <v>1.8</v>
      </c>
      <c r="Q123" s="36">
        <v>4</v>
      </c>
      <c r="R123" s="19"/>
      <c r="S123" s="25" t="s">
        <v>1610</v>
      </c>
      <c r="T123" t="s">
        <v>1619</v>
      </c>
      <c r="U123" t="str">
        <f t="shared" si="11"/>
        <v>Sports Arena - Playing Area *8 - Class III Facility</v>
      </c>
      <c r="V123" s="35">
        <v>1.7</v>
      </c>
      <c r="W123" s="36">
        <v>4</v>
      </c>
      <c r="Y123" s="25" t="s">
        <v>1614</v>
      </c>
      <c r="Z123" t="s">
        <v>1616</v>
      </c>
      <c r="AA123" t="str">
        <f t="shared" si="8"/>
        <v>Transportation Facility - Baggage/carousel area</v>
      </c>
      <c r="AB123" s="35">
        <v>0.39</v>
      </c>
      <c r="AC123" s="36">
        <v>4</v>
      </c>
    </row>
    <row r="124" spans="1:29" ht="45" x14ac:dyDescent="0.25">
      <c r="A124" s="41" t="s">
        <v>1631</v>
      </c>
      <c r="E124" s="26"/>
      <c r="G124" s="41" t="s">
        <v>1626</v>
      </c>
      <c r="K124" s="26"/>
      <c r="M124" s="25" t="s">
        <v>1610</v>
      </c>
      <c r="N124" t="s">
        <v>1621</v>
      </c>
      <c r="O124" t="str">
        <f t="shared" si="10"/>
        <v>Sports Arena - Playing Area *8 - Class IV Facility</v>
      </c>
      <c r="P124" s="35">
        <v>1.2</v>
      </c>
      <c r="Q124" s="36">
        <v>4</v>
      </c>
      <c r="R124" s="19"/>
      <c r="S124" s="25" t="s">
        <v>1610</v>
      </c>
      <c r="T124" t="s">
        <v>1621</v>
      </c>
      <c r="U124" t="str">
        <f t="shared" si="11"/>
        <v>Sports Arena - Playing Area *8 - Class IV Facility</v>
      </c>
      <c r="V124" s="35">
        <v>1.1299999999999999</v>
      </c>
      <c r="W124" s="36">
        <v>4</v>
      </c>
      <c r="Y124" s="25" t="s">
        <v>1614</v>
      </c>
      <c r="Z124" t="s">
        <v>1618</v>
      </c>
      <c r="AA124" t="str">
        <f t="shared" si="8"/>
        <v>Transportation Facility - Airport concourse</v>
      </c>
      <c r="AB124" s="35">
        <v>0.25</v>
      </c>
      <c r="AC124" s="36">
        <v>4</v>
      </c>
    </row>
    <row r="125" spans="1:29" ht="90" x14ac:dyDescent="0.25">
      <c r="A125" s="41" t="s">
        <v>1632</v>
      </c>
      <c r="E125" s="26"/>
      <c r="G125" s="41" t="s">
        <v>1627</v>
      </c>
      <c r="K125" s="26"/>
      <c r="M125" s="31" t="s">
        <v>1614</v>
      </c>
      <c r="N125" s="32"/>
      <c r="O125" s="32" t="str">
        <f t="shared" si="10"/>
        <v>Transportation Facility</v>
      </c>
      <c r="P125" s="37" t="s">
        <v>214</v>
      </c>
      <c r="Q125" s="34" t="s">
        <v>214</v>
      </c>
      <c r="R125" s="19"/>
      <c r="S125" s="31" t="s">
        <v>1614</v>
      </c>
      <c r="T125" s="32"/>
      <c r="U125" s="32" t="str">
        <f t="shared" si="11"/>
        <v>Transportation Facility</v>
      </c>
      <c r="V125" s="37" t="s">
        <v>214</v>
      </c>
      <c r="W125" s="34" t="s">
        <v>214</v>
      </c>
      <c r="Y125" s="25" t="s">
        <v>1614</v>
      </c>
      <c r="Z125" t="s">
        <v>1620</v>
      </c>
      <c r="AA125" t="str">
        <f t="shared" si="8"/>
        <v>Transportation Facility - Ticket counter</v>
      </c>
      <c r="AB125" s="35">
        <v>0.51</v>
      </c>
      <c r="AC125" s="36">
        <v>4</v>
      </c>
    </row>
    <row r="126" spans="1:29" ht="90.75" thickBot="1" x14ac:dyDescent="0.3">
      <c r="A126" s="42" t="s">
        <v>1633</v>
      </c>
      <c r="B126" s="39"/>
      <c r="C126" s="39"/>
      <c r="D126" s="39"/>
      <c r="E126" s="40"/>
      <c r="G126" s="41" t="s">
        <v>1628</v>
      </c>
      <c r="K126" s="26"/>
      <c r="M126" s="25" t="s">
        <v>1614</v>
      </c>
      <c r="N126" t="s">
        <v>1616</v>
      </c>
      <c r="O126" t="str">
        <f t="shared" si="10"/>
        <v>Transportation Facility - Baggage/carousel area</v>
      </c>
      <c r="P126" s="35">
        <v>0.53</v>
      </c>
      <c r="Q126" s="36">
        <v>4</v>
      </c>
      <c r="R126" s="33"/>
      <c r="S126" s="25" t="s">
        <v>1614</v>
      </c>
      <c r="T126" t="s">
        <v>1616</v>
      </c>
      <c r="U126" t="str">
        <f t="shared" si="11"/>
        <v>Transportation Facility - Baggage/carousel area</v>
      </c>
      <c r="V126" s="35">
        <v>0.45</v>
      </c>
      <c r="W126" s="36">
        <v>4</v>
      </c>
      <c r="Y126" s="31" t="s">
        <v>1622</v>
      </c>
      <c r="Z126" s="32"/>
      <c r="AA126" s="32" t="str">
        <f t="shared" si="8"/>
        <v>Warehouse - Storage Area</v>
      </c>
      <c r="AB126" s="37" t="s">
        <v>214</v>
      </c>
      <c r="AC126" s="34" t="s">
        <v>214</v>
      </c>
    </row>
    <row r="127" spans="1:29" x14ac:dyDescent="0.25">
      <c r="G127" s="41" t="s">
        <v>1629</v>
      </c>
      <c r="K127" s="26"/>
      <c r="M127" s="25" t="s">
        <v>1614</v>
      </c>
      <c r="N127" t="s">
        <v>1618</v>
      </c>
      <c r="O127" t="str">
        <f t="shared" si="10"/>
        <v>Transportation Facility - Airport concourse</v>
      </c>
      <c r="P127" s="35">
        <v>0.36</v>
      </c>
      <c r="Q127" s="36">
        <v>4</v>
      </c>
      <c r="R127" s="19"/>
      <c r="S127" s="25" t="s">
        <v>1614</v>
      </c>
      <c r="T127" t="s">
        <v>1618</v>
      </c>
      <c r="U127" t="str">
        <f t="shared" si="11"/>
        <v>Transportation Facility - Airport concourse</v>
      </c>
      <c r="V127" s="35">
        <v>0.31</v>
      </c>
      <c r="W127" s="36">
        <v>4</v>
      </c>
      <c r="Y127" s="25" t="s">
        <v>1622</v>
      </c>
      <c r="Z127" t="s">
        <v>1634</v>
      </c>
      <c r="AA127" t="str">
        <f t="shared" si="8"/>
        <v>Warehouse - Storage Area - Medium to bulky, palletized items</v>
      </c>
      <c r="AB127" s="35">
        <v>0.33</v>
      </c>
      <c r="AC127" s="36">
        <v>4</v>
      </c>
    </row>
    <row r="128" spans="1:29" x14ac:dyDescent="0.25">
      <c r="G128" s="41" t="s">
        <v>1630</v>
      </c>
      <c r="K128" s="26"/>
      <c r="M128" s="25" t="s">
        <v>1614</v>
      </c>
      <c r="N128" t="s">
        <v>1620</v>
      </c>
      <c r="O128" t="str">
        <f t="shared" si="10"/>
        <v>Transportation Facility - Ticket counter</v>
      </c>
      <c r="P128" s="35">
        <v>0.8</v>
      </c>
      <c r="Q128" s="36">
        <v>4</v>
      </c>
      <c r="R128" s="19"/>
      <c r="S128" s="25" t="s">
        <v>1614</v>
      </c>
      <c r="T128" t="s">
        <v>1620</v>
      </c>
      <c r="U128" t="str">
        <f t="shared" si="11"/>
        <v>Transportation Facility - Ticket counter</v>
      </c>
      <c r="V128" s="35">
        <v>0.62</v>
      </c>
      <c r="W128" s="36">
        <v>4</v>
      </c>
      <c r="Y128" s="25" t="s">
        <v>1622</v>
      </c>
      <c r="Z128" t="s">
        <v>1635</v>
      </c>
      <c r="AA128" t="str">
        <f t="shared" si="8"/>
        <v>Warehouse - Storage Area - Smaller, hand-carried items *5</v>
      </c>
      <c r="AB128" s="35">
        <v>0.69</v>
      </c>
      <c r="AC128" s="36">
        <v>6</v>
      </c>
    </row>
    <row r="129" spans="7:29" ht="45" x14ac:dyDescent="0.25">
      <c r="G129" s="41" t="s">
        <v>1631</v>
      </c>
      <c r="K129" s="26"/>
      <c r="M129" s="31" t="s">
        <v>1622</v>
      </c>
      <c r="N129" s="32"/>
      <c r="O129" s="32" t="str">
        <f t="shared" si="10"/>
        <v>Warehouse - Storage Area</v>
      </c>
      <c r="P129" s="37" t="s">
        <v>214</v>
      </c>
      <c r="Q129" s="34" t="s">
        <v>214</v>
      </c>
      <c r="R129" s="19"/>
      <c r="S129" s="31" t="s">
        <v>1622</v>
      </c>
      <c r="T129" s="32"/>
      <c r="U129" s="32" t="str">
        <f t="shared" si="11"/>
        <v>Warehouse - Storage Area</v>
      </c>
      <c r="V129" s="37" t="s">
        <v>214</v>
      </c>
      <c r="W129" s="34" t="s">
        <v>214</v>
      </c>
      <c r="Y129" s="25"/>
      <c r="AC129" s="26"/>
    </row>
    <row r="130" spans="7:29" ht="75" x14ac:dyDescent="0.25">
      <c r="G130" s="41" t="s">
        <v>1632</v>
      </c>
      <c r="K130" s="26"/>
      <c r="M130" s="25" t="s">
        <v>1622</v>
      </c>
      <c r="N130" t="s">
        <v>1634</v>
      </c>
      <c r="O130" t="str">
        <f t="shared" si="10"/>
        <v>Warehouse - Storage Area - Medium to bulky, palletized items</v>
      </c>
      <c r="P130" s="35">
        <v>0.57999999999999996</v>
      </c>
      <c r="Q130" s="36">
        <v>4</v>
      </c>
      <c r="R130" s="19"/>
      <c r="S130" s="25" t="s">
        <v>1622</v>
      </c>
      <c r="T130" t="s">
        <v>1634</v>
      </c>
      <c r="U130" t="str">
        <f t="shared" si="11"/>
        <v>Warehouse - Storage Area - Medium to bulky, palletized items</v>
      </c>
      <c r="V130" s="35">
        <v>0.35</v>
      </c>
      <c r="W130" s="36">
        <v>4</v>
      </c>
      <c r="Y130" s="25" t="s">
        <v>1625</v>
      </c>
      <c r="AC130" s="26"/>
    </row>
    <row r="131" spans="7:29" ht="60.75" thickBot="1" x14ac:dyDescent="0.3">
      <c r="G131" s="42" t="s">
        <v>1633</v>
      </c>
      <c r="H131" s="39"/>
      <c r="I131" s="39"/>
      <c r="J131" s="39"/>
      <c r="K131" s="40"/>
      <c r="M131" s="25" t="s">
        <v>1622</v>
      </c>
      <c r="N131" t="s">
        <v>1635</v>
      </c>
      <c r="O131" t="str">
        <f t="shared" si="10"/>
        <v>Warehouse - Storage Area - Smaller, hand-carried items *5</v>
      </c>
      <c r="P131" s="35">
        <v>0.95</v>
      </c>
      <c r="Q131" s="36">
        <v>6</v>
      </c>
      <c r="R131" s="19"/>
      <c r="S131" s="25" t="s">
        <v>1622</v>
      </c>
      <c r="T131" t="s">
        <v>1635</v>
      </c>
      <c r="U131" t="str">
        <f t="shared" si="11"/>
        <v>Warehouse - Storage Area - Smaller, hand-carried items *5</v>
      </c>
      <c r="V131" s="35">
        <v>0.69</v>
      </c>
      <c r="W131" s="36">
        <v>6</v>
      </c>
      <c r="Y131" s="41" t="s">
        <v>1626</v>
      </c>
      <c r="AC131" s="26"/>
    </row>
    <row r="132" spans="7:29" ht="60" x14ac:dyDescent="0.25">
      <c r="M132" s="25" t="s">
        <v>1625</v>
      </c>
      <c r="Q132" s="26"/>
      <c r="S132" s="25" t="s">
        <v>1625</v>
      </c>
      <c r="W132" s="26"/>
      <c r="Y132" s="41" t="s">
        <v>1627</v>
      </c>
      <c r="AC132" s="26"/>
    </row>
    <row r="133" spans="7:29" ht="120" x14ac:dyDescent="0.25">
      <c r="M133" s="41" t="s">
        <v>1626</v>
      </c>
      <c r="Q133" s="26"/>
      <c r="S133" s="41" t="s">
        <v>1626</v>
      </c>
      <c r="W133" s="26"/>
      <c r="Y133" s="41" t="s">
        <v>1628</v>
      </c>
      <c r="AC133" s="26"/>
    </row>
    <row r="134" spans="7:29" ht="45" x14ac:dyDescent="0.25">
      <c r="M134" s="41" t="s">
        <v>1627</v>
      </c>
      <c r="Q134" s="26"/>
      <c r="S134" s="41" t="s">
        <v>1627</v>
      </c>
      <c r="W134" s="26"/>
      <c r="Y134" s="41" t="s">
        <v>1629</v>
      </c>
      <c r="AC134" s="26"/>
    </row>
    <row r="135" spans="7:29" ht="90" x14ac:dyDescent="0.25">
      <c r="M135" s="41" t="s">
        <v>1628</v>
      </c>
      <c r="Q135" s="26"/>
      <c r="S135" s="41" t="s">
        <v>1628</v>
      </c>
      <c r="W135" s="26"/>
      <c r="Y135" s="41" t="s">
        <v>1630</v>
      </c>
      <c r="AC135" s="26"/>
    </row>
    <row r="136" spans="7:29" ht="45" x14ac:dyDescent="0.25">
      <c r="M136" s="41" t="s">
        <v>1629</v>
      </c>
      <c r="Q136" s="26"/>
      <c r="S136" s="41" t="s">
        <v>1629</v>
      </c>
      <c r="W136" s="26"/>
      <c r="Y136" s="41" t="s">
        <v>1631</v>
      </c>
      <c r="AC136" s="26"/>
    </row>
    <row r="137" spans="7:29" ht="90" x14ac:dyDescent="0.25">
      <c r="M137" s="41" t="s">
        <v>1630</v>
      </c>
      <c r="Q137" s="26"/>
      <c r="S137" s="41" t="s">
        <v>1630</v>
      </c>
      <c r="W137" s="26"/>
      <c r="Y137" s="41" t="s">
        <v>1632</v>
      </c>
      <c r="AC137" s="26"/>
    </row>
    <row r="138" spans="7:29" ht="45.75" thickBot="1" x14ac:dyDescent="0.3">
      <c r="M138" s="41" t="s">
        <v>1631</v>
      </c>
      <c r="Q138" s="26"/>
      <c r="S138" s="41" t="s">
        <v>1631</v>
      </c>
      <c r="W138" s="26"/>
      <c r="Y138" s="42" t="s">
        <v>1633</v>
      </c>
      <c r="Z138" s="39"/>
      <c r="AA138" s="39"/>
      <c r="AB138" s="39"/>
      <c r="AC138" s="40"/>
    </row>
    <row r="139" spans="7:29" ht="75" x14ac:dyDescent="0.25">
      <c r="M139" s="41" t="s">
        <v>1632</v>
      </c>
      <c r="Q139" s="26"/>
      <c r="S139" s="41" t="s">
        <v>1632</v>
      </c>
      <c r="W139" s="26"/>
    </row>
    <row r="140" spans="7:29" ht="15.75" thickBot="1" x14ac:dyDescent="0.3">
      <c r="M140" s="42" t="s">
        <v>1633</v>
      </c>
      <c r="N140" s="39"/>
      <c r="O140" s="39"/>
      <c r="P140" s="39"/>
      <c r="Q140" s="40"/>
      <c r="S140" s="42" t="s">
        <v>1633</v>
      </c>
      <c r="T140" s="39"/>
      <c r="U140" s="39"/>
      <c r="V140" s="39"/>
      <c r="W140" s="40"/>
    </row>
  </sheetData>
  <mergeCells count="1">
    <mergeCell ref="AI2:AM2"/>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7D288-432B-460F-BE77-12FF6D9DF640}">
  <sheetPr codeName="Sheet15"/>
  <dimension ref="A1:BI189"/>
  <sheetViews>
    <sheetView topLeftCell="N1" zoomScale="70" zoomScaleNormal="70" workbookViewId="0">
      <selection activeCell="BD9" sqref="BD9"/>
    </sheetView>
  </sheetViews>
  <sheetFormatPr defaultColWidth="9.140625" defaultRowHeight="15" x14ac:dyDescent="0.25"/>
  <cols>
    <col min="1" max="1" width="55.7109375" style="3" bestFit="1" customWidth="1"/>
    <col min="2" max="3" width="15.42578125" customWidth="1"/>
    <col min="4" max="4" width="18.28515625" customWidth="1"/>
    <col min="5" max="5" width="24.7109375" customWidth="1"/>
    <col min="6" max="6" width="22.85546875" customWidth="1"/>
    <col min="7" max="9" width="15.7109375" customWidth="1"/>
    <col min="10" max="10" width="25" customWidth="1"/>
    <col min="11" max="11" width="16.7109375" bestFit="1" customWidth="1"/>
    <col min="12" max="12" width="20.5703125" bestFit="1" customWidth="1"/>
    <col min="13" max="13" width="21.5703125" bestFit="1" customWidth="1"/>
    <col min="14" max="14" width="20.28515625" bestFit="1" customWidth="1"/>
    <col min="15" max="15" width="18.28515625" bestFit="1" customWidth="1"/>
    <col min="16" max="17" width="18.7109375" bestFit="1" customWidth="1"/>
    <col min="18" max="18" width="17.42578125" bestFit="1" customWidth="1"/>
    <col min="19" max="19" width="18.5703125" bestFit="1" customWidth="1"/>
    <col min="20" max="20" width="18.28515625" bestFit="1" customWidth="1"/>
    <col min="21" max="21" width="10.7109375" customWidth="1"/>
    <col min="22" max="22" width="82.140625" bestFit="1" customWidth="1"/>
    <col min="23" max="24" width="15.42578125" customWidth="1"/>
    <col min="25" max="26" width="10.7109375" customWidth="1"/>
    <col min="27" max="27" width="15.7109375" customWidth="1"/>
    <col min="28" max="28" width="20.85546875" customWidth="1"/>
    <col min="29" max="29" width="11.140625" customWidth="1"/>
    <col min="34" max="34" width="15.7109375" customWidth="1"/>
    <col min="35" max="35" width="20.85546875" customWidth="1"/>
    <col min="36" max="36" width="11.140625" customWidth="1"/>
    <col min="42" max="42" width="20.85546875" customWidth="1"/>
    <col min="43" max="43" width="11.140625" customWidth="1"/>
    <col min="48" max="48" width="15.7109375" customWidth="1"/>
    <col min="49" max="49" width="20.85546875" customWidth="1"/>
    <col min="50" max="50" width="11.140625" customWidth="1"/>
    <col min="56" max="56" width="20.85546875" customWidth="1"/>
    <col min="57" max="57" width="11.140625" customWidth="1"/>
  </cols>
  <sheetData>
    <row r="1" spans="1:61" s="44" customFormat="1" ht="23.25" x14ac:dyDescent="0.35">
      <c r="A1" s="43" t="s">
        <v>1636</v>
      </c>
    </row>
    <row r="2" spans="1:61" s="44" customFormat="1" ht="15.75" thickBot="1" x14ac:dyDescent="0.3">
      <c r="A2" s="45"/>
    </row>
    <row r="3" spans="1:61" s="44" customFormat="1" ht="16.5" customHeight="1" thickBot="1" x14ac:dyDescent="0.3">
      <c r="A3" s="46"/>
      <c r="B3" s="855" t="s">
        <v>1637</v>
      </c>
      <c r="C3" s="856"/>
      <c r="D3" s="856"/>
      <c r="E3" s="856"/>
      <c r="F3" s="856"/>
      <c r="G3" s="855" t="s">
        <v>1638</v>
      </c>
      <c r="H3" s="856"/>
      <c r="I3" s="856"/>
      <c r="J3" s="857"/>
      <c r="K3" s="855" t="s">
        <v>1639</v>
      </c>
      <c r="L3" s="856"/>
      <c r="M3" s="856"/>
      <c r="N3" s="856"/>
      <c r="O3" s="858"/>
      <c r="P3" s="855" t="s">
        <v>1640</v>
      </c>
      <c r="Q3" s="856"/>
      <c r="R3" s="856"/>
      <c r="S3" s="856"/>
      <c r="T3" s="858"/>
    </row>
    <row r="4" spans="1:61" s="44" customFormat="1" ht="47.25" x14ac:dyDescent="0.25">
      <c r="A4" s="47" t="s">
        <v>1641</v>
      </c>
      <c r="B4" s="48" t="s">
        <v>500</v>
      </c>
      <c r="C4" s="49" t="s">
        <v>1642</v>
      </c>
      <c r="D4" s="49" t="s">
        <v>1236</v>
      </c>
      <c r="E4" s="49" t="s">
        <v>1643</v>
      </c>
      <c r="F4" s="50" t="s">
        <v>1644</v>
      </c>
      <c r="G4" s="48" t="s">
        <v>1645</v>
      </c>
      <c r="H4" s="49" t="s">
        <v>1646</v>
      </c>
      <c r="I4" s="49" t="s">
        <v>1647</v>
      </c>
      <c r="J4" s="50" t="s">
        <v>1648</v>
      </c>
      <c r="K4" s="48" t="s">
        <v>1649</v>
      </c>
      <c r="L4" s="49" t="s">
        <v>1650</v>
      </c>
      <c r="M4" s="49" t="s">
        <v>1651</v>
      </c>
      <c r="N4" s="49" t="s">
        <v>1652</v>
      </c>
      <c r="O4" s="50" t="s">
        <v>1653</v>
      </c>
      <c r="P4" s="48" t="s">
        <v>1649</v>
      </c>
      <c r="Q4" s="49" t="s">
        <v>1650</v>
      </c>
      <c r="R4" s="49" t="s">
        <v>1651</v>
      </c>
      <c r="S4" s="49" t="s">
        <v>1652</v>
      </c>
      <c r="T4" s="50" t="s">
        <v>1653</v>
      </c>
    </row>
    <row r="5" spans="1:61" s="44" customFormat="1" ht="18.75" thickBot="1" x14ac:dyDescent="0.3">
      <c r="A5" s="51"/>
      <c r="B5" s="52" t="s">
        <v>1654</v>
      </c>
      <c r="C5" s="52" t="s">
        <v>1654</v>
      </c>
      <c r="D5" s="53" t="s">
        <v>1654</v>
      </c>
      <c r="E5" s="53" t="s">
        <v>1655</v>
      </c>
      <c r="F5" s="54" t="s">
        <v>1655</v>
      </c>
      <c r="G5" s="52" t="s">
        <v>1656</v>
      </c>
      <c r="H5" s="53" t="s">
        <v>1656</v>
      </c>
      <c r="I5" s="53" t="s">
        <v>1656</v>
      </c>
      <c r="J5" s="54" t="s">
        <v>1657</v>
      </c>
      <c r="K5" s="52" t="s">
        <v>1658</v>
      </c>
      <c r="L5" s="53" t="s">
        <v>1659</v>
      </c>
      <c r="M5" s="53" t="s">
        <v>1660</v>
      </c>
      <c r="N5" s="53" t="s">
        <v>1660</v>
      </c>
      <c r="O5" s="54" t="s">
        <v>1661</v>
      </c>
      <c r="P5" s="52" t="s">
        <v>1658</v>
      </c>
      <c r="Q5" s="53" t="s">
        <v>1659</v>
      </c>
      <c r="R5" s="53" t="s">
        <v>1660</v>
      </c>
      <c r="S5" s="53" t="s">
        <v>1660</v>
      </c>
      <c r="T5" s="54" t="s">
        <v>1661</v>
      </c>
      <c r="AB5" s="55" t="s">
        <v>1662</v>
      </c>
      <c r="AC5" s="56"/>
      <c r="AD5" s="56"/>
      <c r="AE5" s="56"/>
      <c r="AF5" s="56"/>
      <c r="AG5" s="56"/>
      <c r="AI5" s="55" t="s">
        <v>1663</v>
      </c>
      <c r="AJ5" s="56"/>
      <c r="AK5" s="56"/>
      <c r="AL5" s="56"/>
      <c r="AM5" s="56"/>
      <c r="AN5" s="56"/>
      <c r="AO5" s="56"/>
      <c r="AP5" s="55" t="s">
        <v>1664</v>
      </c>
      <c r="AQ5" s="56"/>
      <c r="AR5" s="56"/>
      <c r="AS5" s="56"/>
      <c r="AT5" s="56"/>
      <c r="AU5" s="56"/>
      <c r="AW5" s="55" t="s">
        <v>1665</v>
      </c>
      <c r="AX5" s="56"/>
      <c r="AY5" s="56"/>
      <c r="AZ5" s="56"/>
      <c r="BA5" s="56"/>
      <c r="BB5" s="56"/>
      <c r="BD5" s="55" t="s">
        <v>1666</v>
      </c>
      <c r="BE5" s="56"/>
      <c r="BF5" s="56"/>
      <c r="BG5" s="56"/>
      <c r="BH5" s="56"/>
      <c r="BI5" s="56"/>
    </row>
    <row r="6" spans="1:61" s="62" customFormat="1" ht="48" thickBot="1" x14ac:dyDescent="0.2">
      <c r="A6" s="57" t="s">
        <v>1641</v>
      </c>
      <c r="B6" s="58" t="s">
        <v>1667</v>
      </c>
      <c r="C6" s="58" t="s">
        <v>500</v>
      </c>
      <c r="D6" s="59" t="s">
        <v>1236</v>
      </c>
      <c r="E6" s="58" t="s">
        <v>1668</v>
      </c>
      <c r="F6" s="60" t="s">
        <v>1669</v>
      </c>
      <c r="G6" s="58" t="s">
        <v>1670</v>
      </c>
      <c r="H6" s="58" t="s">
        <v>1671</v>
      </c>
      <c r="I6" s="58" t="s">
        <v>1672</v>
      </c>
      <c r="J6" s="58" t="s">
        <v>1673</v>
      </c>
      <c r="K6" s="61" t="s">
        <v>1674</v>
      </c>
      <c r="L6" s="58" t="s">
        <v>1675</v>
      </c>
      <c r="M6" s="58" t="s">
        <v>1676</v>
      </c>
      <c r="N6" s="58" t="s">
        <v>1677</v>
      </c>
      <c r="O6" s="60" t="s">
        <v>1678</v>
      </c>
      <c r="P6" s="61" t="s">
        <v>1679</v>
      </c>
      <c r="Q6" s="58" t="s">
        <v>1680</v>
      </c>
      <c r="R6" s="58" t="s">
        <v>1681</v>
      </c>
      <c r="S6" s="58" t="s">
        <v>1682</v>
      </c>
      <c r="T6" s="60" t="s">
        <v>1683</v>
      </c>
      <c r="V6" s="63" t="s">
        <v>1641</v>
      </c>
      <c r="W6" s="64" t="s">
        <v>1684</v>
      </c>
      <c r="X6" s="64" t="s">
        <v>1685</v>
      </c>
      <c r="Y6" s="64" t="s">
        <v>1686</v>
      </c>
      <c r="Z6" s="64" t="s">
        <v>337</v>
      </c>
      <c r="AB6" s="65"/>
      <c r="AC6" s="854" t="s">
        <v>1687</v>
      </c>
      <c r="AD6" s="854"/>
      <c r="AE6" s="854" t="s">
        <v>1688</v>
      </c>
      <c r="AF6" s="854"/>
      <c r="AG6" s="66" t="s">
        <v>1689</v>
      </c>
      <c r="AI6" s="65"/>
      <c r="AJ6" s="854" t="s">
        <v>1687</v>
      </c>
      <c r="AK6" s="854"/>
      <c r="AL6" s="854" t="s">
        <v>1688</v>
      </c>
      <c r="AM6" s="854"/>
      <c r="AN6" s="66" t="s">
        <v>1689</v>
      </c>
      <c r="AO6" s="597"/>
      <c r="AP6" s="65"/>
      <c r="AQ6" s="854" t="s">
        <v>1687</v>
      </c>
      <c r="AR6" s="854"/>
      <c r="AS6" s="854" t="s">
        <v>1688</v>
      </c>
      <c r="AT6" s="854"/>
      <c r="AU6" s="66" t="s">
        <v>1689</v>
      </c>
      <c r="AW6" s="65"/>
      <c r="AX6" s="854" t="s">
        <v>1687</v>
      </c>
      <c r="AY6" s="854"/>
      <c r="AZ6" s="854" t="s">
        <v>1688</v>
      </c>
      <c r="BA6" s="854"/>
      <c r="BB6" s="66" t="s">
        <v>1689</v>
      </c>
      <c r="BD6" s="65"/>
      <c r="BE6" s="854" t="s">
        <v>1687</v>
      </c>
      <c r="BF6" s="854"/>
      <c r="BG6" s="854" t="s">
        <v>1688</v>
      </c>
      <c r="BH6" s="854"/>
      <c r="BI6" s="66" t="s">
        <v>1689</v>
      </c>
    </row>
    <row r="7" spans="1:61" ht="20.100000000000001" customHeight="1" x14ac:dyDescent="0.25">
      <c r="A7" s="67" t="s">
        <v>1690</v>
      </c>
      <c r="B7" s="68">
        <v>1.81</v>
      </c>
      <c r="C7" s="68">
        <f>space_classification[[#This Row],[Lighting (A90.1 -2010)]]*0.85</f>
        <v>1.5385</v>
      </c>
      <c r="D7" s="69">
        <v>16</v>
      </c>
      <c r="E7" s="68">
        <v>250</v>
      </c>
      <c r="F7" s="70">
        <v>200</v>
      </c>
      <c r="G7" s="68"/>
      <c r="H7" s="68"/>
      <c r="I7" s="68"/>
      <c r="J7" s="70"/>
      <c r="K7" s="68">
        <v>25</v>
      </c>
      <c r="L7" s="68">
        <v>10</v>
      </c>
      <c r="M7" s="68">
        <v>0.18</v>
      </c>
      <c r="N7" s="68">
        <v>0</v>
      </c>
      <c r="O7" s="70">
        <v>0</v>
      </c>
      <c r="P7" s="68">
        <v>10</v>
      </c>
      <c r="Q7" s="68">
        <v>15</v>
      </c>
      <c r="R7" s="68">
        <v>0.15</v>
      </c>
      <c r="S7" s="68">
        <v>0</v>
      </c>
      <c r="T7" s="70">
        <v>0</v>
      </c>
      <c r="V7" s="71" t="s">
        <v>214</v>
      </c>
      <c r="W7" s="72"/>
      <c r="X7" s="72"/>
      <c r="Y7" s="72"/>
      <c r="Z7" s="72"/>
      <c r="AB7" s="73" t="s">
        <v>1691</v>
      </c>
      <c r="AC7" s="74" t="s">
        <v>1692</v>
      </c>
      <c r="AD7" s="74" t="s">
        <v>1693</v>
      </c>
      <c r="AE7" s="74" t="s">
        <v>1694</v>
      </c>
      <c r="AF7" s="74" t="s">
        <v>1695</v>
      </c>
      <c r="AG7" s="66" t="s">
        <v>1696</v>
      </c>
      <c r="AI7" s="73" t="s">
        <v>1691</v>
      </c>
      <c r="AJ7" s="74" t="s">
        <v>1692</v>
      </c>
      <c r="AK7" s="74" t="s">
        <v>1693</v>
      </c>
      <c r="AL7" s="74" t="s">
        <v>1694</v>
      </c>
      <c r="AM7" s="74" t="s">
        <v>1695</v>
      </c>
      <c r="AN7" s="66" t="s">
        <v>1696</v>
      </c>
      <c r="AO7" s="597"/>
      <c r="AP7" s="73" t="s">
        <v>1691</v>
      </c>
      <c r="AQ7" s="74" t="s">
        <v>1692</v>
      </c>
      <c r="AR7" s="74" t="s">
        <v>1693</v>
      </c>
      <c r="AS7" s="74" t="s">
        <v>1694</v>
      </c>
      <c r="AT7" s="74" t="s">
        <v>1695</v>
      </c>
      <c r="AU7" s="66" t="s">
        <v>1696</v>
      </c>
      <c r="AW7" s="73" t="s">
        <v>1691</v>
      </c>
      <c r="AX7" s="74" t="s">
        <v>1692</v>
      </c>
      <c r="AY7" s="74" t="s">
        <v>1693</v>
      </c>
      <c r="AZ7" s="74" t="s">
        <v>1694</v>
      </c>
      <c r="BA7" s="74" t="s">
        <v>1695</v>
      </c>
      <c r="BB7" s="66" t="s">
        <v>1696</v>
      </c>
      <c r="BD7" s="73" t="s">
        <v>1691</v>
      </c>
      <c r="BE7" s="74" t="s">
        <v>1692</v>
      </c>
      <c r="BF7" s="74" t="s">
        <v>1693</v>
      </c>
      <c r="BG7" s="74" t="s">
        <v>1694</v>
      </c>
      <c r="BH7" s="74" t="s">
        <v>1695</v>
      </c>
      <c r="BI7" s="66" t="s">
        <v>1696</v>
      </c>
    </row>
    <row r="8" spans="1:61" ht="20.100000000000001" customHeight="1" x14ac:dyDescent="0.25">
      <c r="A8" s="67" t="s">
        <v>1697</v>
      </c>
      <c r="B8" s="68">
        <v>1.81</v>
      </c>
      <c r="C8" s="68">
        <f>space_classification[[#This Row],[Lighting (A90.1 -2010)]]*0.85</f>
        <v>1.5385</v>
      </c>
      <c r="D8" s="69">
        <v>2</v>
      </c>
      <c r="E8" s="68">
        <v>250</v>
      </c>
      <c r="F8" s="70">
        <v>200</v>
      </c>
      <c r="G8" s="68"/>
      <c r="H8" s="68"/>
      <c r="I8" s="68"/>
      <c r="J8" s="70"/>
      <c r="K8" s="68">
        <v>25</v>
      </c>
      <c r="L8" s="68">
        <v>10</v>
      </c>
      <c r="M8" s="68">
        <v>0.18</v>
      </c>
      <c r="N8" s="68">
        <v>0</v>
      </c>
      <c r="O8" s="70">
        <v>0</v>
      </c>
      <c r="P8" s="68">
        <v>10</v>
      </c>
      <c r="Q8" s="68">
        <v>15</v>
      </c>
      <c r="R8" s="68">
        <v>0.15</v>
      </c>
      <c r="S8" s="68">
        <v>0</v>
      </c>
      <c r="T8" s="70">
        <v>0</v>
      </c>
      <c r="V8" s="75" t="s">
        <v>1698</v>
      </c>
      <c r="W8" s="75"/>
      <c r="X8" s="75"/>
      <c r="Y8" s="75"/>
      <c r="Z8" s="75"/>
      <c r="AB8" s="76" t="s">
        <v>1699</v>
      </c>
      <c r="AC8" s="77">
        <v>10</v>
      </c>
      <c r="AD8" s="77">
        <v>0.18</v>
      </c>
      <c r="AE8" s="77">
        <v>5</v>
      </c>
      <c r="AF8" s="77">
        <v>0.9</v>
      </c>
      <c r="AG8" s="77">
        <v>20</v>
      </c>
      <c r="AI8" s="76" t="s">
        <v>1699</v>
      </c>
      <c r="AJ8" s="77">
        <v>10</v>
      </c>
      <c r="AK8" s="77">
        <v>0.18</v>
      </c>
      <c r="AL8" s="77">
        <v>5</v>
      </c>
      <c r="AM8" s="77">
        <v>0.9</v>
      </c>
      <c r="AN8" s="77">
        <v>20</v>
      </c>
      <c r="AO8" s="598"/>
      <c r="AP8" s="76" t="s">
        <v>1699</v>
      </c>
      <c r="AQ8" s="77">
        <v>10</v>
      </c>
      <c r="AR8" s="77">
        <v>0.18</v>
      </c>
      <c r="AS8" s="77">
        <v>5</v>
      </c>
      <c r="AT8" s="77">
        <v>0.9</v>
      </c>
      <c r="AU8" s="77">
        <v>20</v>
      </c>
      <c r="AW8" s="76" t="s">
        <v>1699</v>
      </c>
      <c r="AX8" s="77">
        <v>10</v>
      </c>
      <c r="AY8" s="77">
        <v>0.18</v>
      </c>
      <c r="AZ8" s="77">
        <v>5</v>
      </c>
      <c r="BA8" s="77">
        <v>0.9</v>
      </c>
      <c r="BB8" s="77">
        <v>20</v>
      </c>
      <c r="BD8" s="76" t="s">
        <v>1699</v>
      </c>
      <c r="BE8" s="77">
        <v>10</v>
      </c>
      <c r="BF8" s="77">
        <v>0.18</v>
      </c>
      <c r="BG8" s="77">
        <v>5</v>
      </c>
      <c r="BH8" s="77">
        <v>0.9</v>
      </c>
      <c r="BI8" s="77">
        <v>20</v>
      </c>
    </row>
    <row r="9" spans="1:61" ht="20.100000000000001" customHeight="1" x14ac:dyDescent="0.25">
      <c r="A9" s="78" t="s">
        <v>1700</v>
      </c>
      <c r="B9" s="68">
        <v>1.66</v>
      </c>
      <c r="C9" s="68">
        <f>space_classification[[#This Row],[Lighting (A90.1 -2010)]]*0.85</f>
        <v>1.4109999999999998</v>
      </c>
      <c r="D9" s="69">
        <v>0</v>
      </c>
      <c r="E9" s="68">
        <v>250</v>
      </c>
      <c r="F9" s="70">
        <v>200</v>
      </c>
      <c r="G9" s="79">
        <v>0</v>
      </c>
      <c r="H9" s="79">
        <v>0</v>
      </c>
      <c r="I9" s="79">
        <v>10</v>
      </c>
      <c r="J9" s="80" t="s">
        <v>1701</v>
      </c>
      <c r="K9" s="68"/>
      <c r="L9" s="68"/>
      <c r="M9" s="68"/>
      <c r="N9" s="68"/>
      <c r="O9" s="70"/>
      <c r="P9" s="68"/>
      <c r="Q9" s="68">
        <v>15</v>
      </c>
      <c r="R9" s="68">
        <v>0.15</v>
      </c>
      <c r="S9" s="68"/>
      <c r="T9" s="70"/>
      <c r="V9" t="s">
        <v>1702</v>
      </c>
      <c r="W9" s="19">
        <v>0.21</v>
      </c>
      <c r="X9" s="19">
        <v>0.15</v>
      </c>
      <c r="Y9" s="19">
        <v>2</v>
      </c>
      <c r="Z9" s="19"/>
      <c r="AB9" s="76" t="s">
        <v>1703</v>
      </c>
      <c r="AC9" s="77">
        <v>5</v>
      </c>
      <c r="AD9" s="77">
        <v>0.06</v>
      </c>
      <c r="AE9" s="77">
        <v>2.5</v>
      </c>
      <c r="AF9" s="77">
        <v>0.3</v>
      </c>
      <c r="AG9" s="77">
        <v>150</v>
      </c>
      <c r="AI9" s="76" t="s">
        <v>1703</v>
      </c>
      <c r="AJ9" s="77">
        <v>5</v>
      </c>
      <c r="AK9" s="77">
        <v>0.06</v>
      </c>
      <c r="AL9" s="77">
        <v>2.5</v>
      </c>
      <c r="AM9" s="77">
        <v>0.3</v>
      </c>
      <c r="AN9" s="77">
        <v>150</v>
      </c>
      <c r="AO9" s="598"/>
      <c r="AP9" s="76" t="s">
        <v>1703</v>
      </c>
      <c r="AQ9" s="77">
        <v>5</v>
      </c>
      <c r="AR9" s="77">
        <v>0.06</v>
      </c>
      <c r="AS9" s="77">
        <v>2.5</v>
      </c>
      <c r="AT9" s="77">
        <v>0.3</v>
      </c>
      <c r="AU9" s="77">
        <v>150</v>
      </c>
      <c r="AW9" s="76" t="s">
        <v>1703</v>
      </c>
      <c r="AX9" s="77">
        <v>5</v>
      </c>
      <c r="AY9" s="77">
        <v>0.06</v>
      </c>
      <c r="AZ9" s="77">
        <v>2.5</v>
      </c>
      <c r="BA9" s="77">
        <v>0.3</v>
      </c>
      <c r="BB9" s="77">
        <v>150</v>
      </c>
      <c r="BD9" s="76" t="s">
        <v>1703</v>
      </c>
      <c r="BE9" s="77">
        <v>5</v>
      </c>
      <c r="BF9" s="77">
        <v>0.06</v>
      </c>
      <c r="BG9" s="77">
        <v>2.5</v>
      </c>
      <c r="BH9" s="77">
        <v>0.3</v>
      </c>
      <c r="BI9" s="77">
        <v>150</v>
      </c>
    </row>
    <row r="10" spans="1:61" ht="20.100000000000001" customHeight="1" x14ac:dyDescent="0.25">
      <c r="A10" s="67" t="s">
        <v>1704</v>
      </c>
      <c r="B10" s="68">
        <v>1.66</v>
      </c>
      <c r="C10" s="68">
        <f>space_classification[[#This Row],[Lighting (A90.1 -2010)]]*0.85</f>
        <v>1.4109999999999998</v>
      </c>
      <c r="D10" s="69">
        <v>0</v>
      </c>
      <c r="E10" s="68">
        <v>250</v>
      </c>
      <c r="F10" s="70">
        <v>200</v>
      </c>
      <c r="G10" s="79">
        <v>0</v>
      </c>
      <c r="H10" s="79">
        <v>0</v>
      </c>
      <c r="I10" s="79">
        <v>10</v>
      </c>
      <c r="J10" s="80" t="s">
        <v>1705</v>
      </c>
      <c r="K10" s="68"/>
      <c r="L10" s="68"/>
      <c r="M10" s="68"/>
      <c r="N10" s="68"/>
      <c r="O10" s="70"/>
      <c r="P10" s="68"/>
      <c r="Q10" s="68">
        <v>15</v>
      </c>
      <c r="R10" s="68">
        <v>0.15</v>
      </c>
      <c r="S10" s="68"/>
      <c r="T10" s="70"/>
      <c r="V10" t="s">
        <v>1706</v>
      </c>
      <c r="W10" s="19">
        <v>0.15</v>
      </c>
      <c r="X10" s="19"/>
      <c r="Y10" s="19">
        <v>3</v>
      </c>
      <c r="Z10" s="19"/>
      <c r="AB10" s="76" t="s">
        <v>1707</v>
      </c>
      <c r="AC10" s="77">
        <v>5</v>
      </c>
      <c r="AD10" s="77">
        <v>0.06</v>
      </c>
      <c r="AE10" s="77">
        <v>2.5</v>
      </c>
      <c r="AF10" s="77">
        <v>0.3</v>
      </c>
      <c r="AG10" s="77">
        <v>5</v>
      </c>
      <c r="AI10" s="76" t="s">
        <v>1707</v>
      </c>
      <c r="AJ10" s="77">
        <v>5</v>
      </c>
      <c r="AK10" s="77">
        <v>0.06</v>
      </c>
      <c r="AL10" s="77">
        <v>2.5</v>
      </c>
      <c r="AM10" s="77">
        <v>0.3</v>
      </c>
      <c r="AN10" s="77">
        <v>5</v>
      </c>
      <c r="AO10" s="598"/>
      <c r="AP10" s="76" t="s">
        <v>1707</v>
      </c>
      <c r="AQ10" s="77">
        <v>5</v>
      </c>
      <c r="AR10" s="77">
        <v>0.06</v>
      </c>
      <c r="AS10" s="77">
        <v>2.5</v>
      </c>
      <c r="AT10" s="77">
        <v>0.3</v>
      </c>
      <c r="AU10" s="77">
        <v>5</v>
      </c>
      <c r="AW10" s="76" t="s">
        <v>1707</v>
      </c>
      <c r="AX10" s="77">
        <v>5</v>
      </c>
      <c r="AY10" s="77">
        <v>0.06</v>
      </c>
      <c r="AZ10" s="77">
        <v>2.5</v>
      </c>
      <c r="BA10" s="77">
        <v>0.3</v>
      </c>
      <c r="BB10" s="77">
        <v>5</v>
      </c>
      <c r="BD10" s="76" t="s">
        <v>1707</v>
      </c>
      <c r="BE10" s="77">
        <v>5</v>
      </c>
      <c r="BF10" s="77">
        <v>0.06</v>
      </c>
      <c r="BG10" s="77">
        <v>2.5</v>
      </c>
      <c r="BH10" s="77">
        <v>0.3</v>
      </c>
      <c r="BI10" s="77">
        <v>5</v>
      </c>
    </row>
    <row r="11" spans="1:61" ht="20.100000000000001" customHeight="1" x14ac:dyDescent="0.25">
      <c r="A11" s="67" t="s">
        <v>1708</v>
      </c>
      <c r="B11" s="68">
        <v>1.66</v>
      </c>
      <c r="C11" s="68">
        <f>space_classification[[#This Row],[Lighting (A90.1 -2010)]]*0.85</f>
        <v>1.4109999999999998</v>
      </c>
      <c r="D11" s="69">
        <v>0</v>
      </c>
      <c r="E11" s="68">
        <v>250</v>
      </c>
      <c r="F11" s="70">
        <v>200</v>
      </c>
      <c r="G11" s="79">
        <v>0</v>
      </c>
      <c r="H11" s="79">
        <v>10</v>
      </c>
      <c r="I11" s="79">
        <v>0</v>
      </c>
      <c r="J11" s="80" t="s">
        <v>1709</v>
      </c>
      <c r="K11" s="68"/>
      <c r="L11" s="68"/>
      <c r="M11" s="68"/>
      <c r="N11" s="68"/>
      <c r="O11" s="70"/>
      <c r="P11" s="68"/>
      <c r="Q11" s="68">
        <v>15</v>
      </c>
      <c r="R11" s="68">
        <v>0.15</v>
      </c>
      <c r="S11" s="68"/>
      <c r="T11" s="70"/>
      <c r="V11" t="s">
        <v>1710</v>
      </c>
      <c r="W11" s="19">
        <v>0.38</v>
      </c>
      <c r="X11" s="19">
        <v>0.15</v>
      </c>
      <c r="Y11" s="19">
        <v>1</v>
      </c>
      <c r="Z11" s="19"/>
      <c r="AB11" s="76" t="s">
        <v>1711</v>
      </c>
      <c r="AC11" s="77">
        <v>7.5</v>
      </c>
      <c r="AD11" s="77">
        <v>0.06</v>
      </c>
      <c r="AE11" s="77">
        <v>3.8</v>
      </c>
      <c r="AF11" s="77">
        <v>0.3</v>
      </c>
      <c r="AG11" s="77">
        <v>15</v>
      </c>
      <c r="AI11" s="76" t="s">
        <v>1711</v>
      </c>
      <c r="AJ11" s="77">
        <v>7.5</v>
      </c>
      <c r="AK11" s="77">
        <v>0.06</v>
      </c>
      <c r="AL11" s="77">
        <v>3.8</v>
      </c>
      <c r="AM11" s="77">
        <v>0.3</v>
      </c>
      <c r="AN11" s="77">
        <v>15</v>
      </c>
      <c r="AO11" s="598"/>
      <c r="AP11" s="76" t="s">
        <v>1711</v>
      </c>
      <c r="AQ11" s="77">
        <v>7.5</v>
      </c>
      <c r="AR11" s="77">
        <v>0.06</v>
      </c>
      <c r="AS11" s="77">
        <v>3.8</v>
      </c>
      <c r="AT11" s="77">
        <v>0.3</v>
      </c>
      <c r="AU11" s="77">
        <v>15</v>
      </c>
      <c r="AW11" s="76" t="s">
        <v>1711</v>
      </c>
      <c r="AX11" s="77">
        <v>7.5</v>
      </c>
      <c r="AY11" s="77">
        <v>0.06</v>
      </c>
      <c r="AZ11" s="77">
        <v>3.8</v>
      </c>
      <c r="BA11" s="77">
        <v>0.3</v>
      </c>
      <c r="BB11" s="77">
        <v>15</v>
      </c>
      <c r="BD11" s="76" t="s">
        <v>1711</v>
      </c>
      <c r="BE11" s="77">
        <v>7.5</v>
      </c>
      <c r="BF11" s="77">
        <v>0.06</v>
      </c>
      <c r="BG11" s="77">
        <v>3.8</v>
      </c>
      <c r="BH11" s="77">
        <v>0.3</v>
      </c>
      <c r="BI11" s="77">
        <v>15</v>
      </c>
    </row>
    <row r="12" spans="1:61" ht="20.100000000000001" customHeight="1" x14ac:dyDescent="0.25">
      <c r="A12" s="78" t="s">
        <v>1712</v>
      </c>
      <c r="B12" s="68">
        <v>1.24</v>
      </c>
      <c r="C12" s="68">
        <f>space_classification[[#This Row],[Lighting (A90.1 -2010)]]*0.85</f>
        <v>1.054</v>
      </c>
      <c r="D12" s="69">
        <v>1</v>
      </c>
      <c r="E12" s="68">
        <v>250</v>
      </c>
      <c r="F12" s="70">
        <v>200</v>
      </c>
      <c r="G12" s="68"/>
      <c r="H12" s="68"/>
      <c r="I12" s="68"/>
      <c r="J12" s="70"/>
      <c r="K12" s="68">
        <v>20</v>
      </c>
      <c r="L12" s="68">
        <v>10</v>
      </c>
      <c r="M12" s="68">
        <v>0.18</v>
      </c>
      <c r="N12" s="68">
        <v>0</v>
      </c>
      <c r="O12" s="70">
        <v>0</v>
      </c>
      <c r="P12" s="68">
        <v>50</v>
      </c>
      <c r="Q12" s="68">
        <v>15</v>
      </c>
      <c r="R12" s="68">
        <v>0.15</v>
      </c>
      <c r="S12" s="68">
        <v>0</v>
      </c>
      <c r="T12" s="70">
        <v>0</v>
      </c>
      <c r="V12" t="s">
        <v>1713</v>
      </c>
      <c r="W12" s="19">
        <v>0.38</v>
      </c>
      <c r="X12" s="19">
        <v>0.15</v>
      </c>
      <c r="Y12" s="19">
        <v>1</v>
      </c>
      <c r="Z12" s="19"/>
      <c r="AB12" s="76" t="s">
        <v>1714</v>
      </c>
      <c r="AC12" s="77">
        <v>7.5</v>
      </c>
      <c r="AD12" s="77">
        <v>0.06</v>
      </c>
      <c r="AE12" s="77">
        <v>3.8</v>
      </c>
      <c r="AF12" s="77">
        <v>0.3</v>
      </c>
      <c r="AG12" s="77">
        <v>25</v>
      </c>
      <c r="AI12" s="76" t="s">
        <v>1714</v>
      </c>
      <c r="AJ12" s="77">
        <v>7.5</v>
      </c>
      <c r="AK12" s="77">
        <v>0.06</v>
      </c>
      <c r="AL12" s="77">
        <v>3.8</v>
      </c>
      <c r="AM12" s="77">
        <v>0.3</v>
      </c>
      <c r="AN12" s="77">
        <v>25</v>
      </c>
      <c r="AO12" s="598"/>
      <c r="AP12" s="76" t="s">
        <v>1714</v>
      </c>
      <c r="AQ12" s="77">
        <v>7.5</v>
      </c>
      <c r="AR12" s="77">
        <v>0.06</v>
      </c>
      <c r="AS12" s="77">
        <v>3.8</v>
      </c>
      <c r="AT12" s="77">
        <v>0.3</v>
      </c>
      <c r="AU12" s="77">
        <v>25</v>
      </c>
      <c r="AW12" s="76" t="s">
        <v>1714</v>
      </c>
      <c r="AX12" s="77">
        <v>7.5</v>
      </c>
      <c r="AY12" s="77">
        <v>0.06</v>
      </c>
      <c r="AZ12" s="77">
        <v>3.8</v>
      </c>
      <c r="BA12" s="77">
        <v>0.3</v>
      </c>
      <c r="BB12" s="77">
        <v>25</v>
      </c>
      <c r="BD12" s="76" t="s">
        <v>1714</v>
      </c>
      <c r="BE12" s="77">
        <v>7.5</v>
      </c>
      <c r="BF12" s="77">
        <v>0.06</v>
      </c>
      <c r="BG12" s="77">
        <v>3.8</v>
      </c>
      <c r="BH12" s="77">
        <v>0.3</v>
      </c>
      <c r="BI12" s="77">
        <v>25</v>
      </c>
    </row>
    <row r="13" spans="1:61" ht="20.100000000000001" customHeight="1" x14ac:dyDescent="0.25">
      <c r="A13" s="78" t="s">
        <v>1715</v>
      </c>
      <c r="B13" s="68">
        <v>0.63</v>
      </c>
      <c r="C13" s="68">
        <f>space_classification[[#This Row],[Lighting (A90.1 -2010)]]*0.85</f>
        <v>0.53549999999999998</v>
      </c>
      <c r="D13" s="69">
        <v>0</v>
      </c>
      <c r="E13" s="68">
        <v>250</v>
      </c>
      <c r="F13" s="70">
        <v>200</v>
      </c>
      <c r="G13" s="68"/>
      <c r="H13" s="68"/>
      <c r="I13" s="68"/>
      <c r="J13" s="70"/>
      <c r="K13" s="68">
        <v>100</v>
      </c>
      <c r="L13" s="68">
        <v>7.5</v>
      </c>
      <c r="M13" s="68">
        <v>0.06</v>
      </c>
      <c r="N13" s="68">
        <v>0</v>
      </c>
      <c r="O13" s="70">
        <v>0</v>
      </c>
      <c r="P13" s="68">
        <v>50</v>
      </c>
      <c r="Q13" s="68">
        <v>15</v>
      </c>
      <c r="R13" s="68">
        <v>0.15</v>
      </c>
      <c r="S13" s="68">
        <v>0</v>
      </c>
      <c r="T13" s="70">
        <v>0</v>
      </c>
      <c r="V13" t="s">
        <v>1716</v>
      </c>
      <c r="W13" s="19">
        <v>0.38</v>
      </c>
      <c r="X13" s="19">
        <v>0.15</v>
      </c>
      <c r="Y13" s="19">
        <v>1</v>
      </c>
      <c r="Z13" s="19"/>
      <c r="AB13" s="76" t="s">
        <v>1717</v>
      </c>
      <c r="AC13" s="77">
        <v>5</v>
      </c>
      <c r="AD13" s="77">
        <v>0.06</v>
      </c>
      <c r="AE13" s="77">
        <v>2.5</v>
      </c>
      <c r="AF13" s="77">
        <v>0.3</v>
      </c>
      <c r="AG13" s="77">
        <v>20</v>
      </c>
      <c r="AI13" s="76" t="s">
        <v>1717</v>
      </c>
      <c r="AJ13" s="77">
        <v>5</v>
      </c>
      <c r="AK13" s="77">
        <v>0.06</v>
      </c>
      <c r="AL13" s="77">
        <v>2.5</v>
      </c>
      <c r="AM13" s="77">
        <v>0.3</v>
      </c>
      <c r="AN13" s="77">
        <v>20</v>
      </c>
      <c r="AO13" s="598"/>
      <c r="AP13" s="76" t="s">
        <v>1717</v>
      </c>
      <c r="AQ13" s="77">
        <v>5</v>
      </c>
      <c r="AR13" s="77">
        <v>0.06</v>
      </c>
      <c r="AS13" s="77">
        <v>2.5</v>
      </c>
      <c r="AT13" s="77">
        <v>0.3</v>
      </c>
      <c r="AU13" s="77">
        <v>20</v>
      </c>
      <c r="AW13" s="76" t="s">
        <v>1717</v>
      </c>
      <c r="AX13" s="77">
        <v>5</v>
      </c>
      <c r="AY13" s="77">
        <v>0.06</v>
      </c>
      <c r="AZ13" s="77">
        <v>2.5</v>
      </c>
      <c r="BA13" s="77">
        <v>0.3</v>
      </c>
      <c r="BB13" s="77">
        <v>20</v>
      </c>
      <c r="BD13" s="76" t="s">
        <v>1717</v>
      </c>
      <c r="BE13" s="77">
        <v>5</v>
      </c>
      <c r="BF13" s="77">
        <v>0.06</v>
      </c>
      <c r="BG13" s="77">
        <v>2.5</v>
      </c>
      <c r="BH13" s="77">
        <v>0.3</v>
      </c>
      <c r="BI13" s="77">
        <v>20</v>
      </c>
    </row>
    <row r="14" spans="1:61" ht="20.100000000000001" customHeight="1" x14ac:dyDescent="0.25">
      <c r="A14" s="67" t="s">
        <v>1411</v>
      </c>
      <c r="B14" s="68">
        <v>0.63</v>
      </c>
      <c r="C14" s="68">
        <f>space_classification[[#This Row],[Lighting (A90.1 -2010)]]*0.85</f>
        <v>0.53549999999999998</v>
      </c>
      <c r="D14" s="69">
        <v>1</v>
      </c>
      <c r="E14" s="68">
        <v>250</v>
      </c>
      <c r="F14" s="70">
        <v>200</v>
      </c>
      <c r="G14" s="68"/>
      <c r="H14" s="68"/>
      <c r="I14" s="68"/>
      <c r="J14" s="70"/>
      <c r="K14" s="68">
        <v>150</v>
      </c>
      <c r="L14" s="68">
        <v>5</v>
      </c>
      <c r="M14" s="68">
        <v>0.06</v>
      </c>
      <c r="N14" s="68">
        <v>0</v>
      </c>
      <c r="O14" s="70">
        <v>0</v>
      </c>
      <c r="P14" s="68">
        <v>50</v>
      </c>
      <c r="Q14" s="68">
        <v>15</v>
      </c>
      <c r="R14" s="68">
        <v>0.15</v>
      </c>
      <c r="S14" s="68">
        <v>0</v>
      </c>
      <c r="T14" s="70">
        <v>0</v>
      </c>
      <c r="V14" t="s">
        <v>1718</v>
      </c>
      <c r="W14" s="19" t="s">
        <v>214</v>
      </c>
      <c r="X14" s="19">
        <v>0.15</v>
      </c>
      <c r="Y14" s="19">
        <v>1</v>
      </c>
      <c r="Z14" s="19"/>
      <c r="AB14" s="76" t="s">
        <v>1719</v>
      </c>
      <c r="AC14" s="77">
        <v>7.5</v>
      </c>
      <c r="AD14" s="77">
        <v>0.18</v>
      </c>
      <c r="AE14" s="77">
        <v>3.8</v>
      </c>
      <c r="AF14" s="77">
        <v>0.9</v>
      </c>
      <c r="AG14" s="77">
        <v>100</v>
      </c>
      <c r="AI14" s="76" t="s">
        <v>1719</v>
      </c>
      <c r="AJ14" s="77">
        <v>7.5</v>
      </c>
      <c r="AK14" s="77">
        <v>0.18</v>
      </c>
      <c r="AL14" s="77">
        <v>3.8</v>
      </c>
      <c r="AM14" s="77">
        <v>0.9</v>
      </c>
      <c r="AN14" s="77">
        <v>100</v>
      </c>
      <c r="AO14" s="598"/>
      <c r="AP14" s="76" t="s">
        <v>1719</v>
      </c>
      <c r="AQ14" s="77">
        <v>7.5</v>
      </c>
      <c r="AR14" s="77">
        <v>0.18</v>
      </c>
      <c r="AS14" s="77">
        <v>3.8</v>
      </c>
      <c r="AT14" s="77">
        <v>0.9</v>
      </c>
      <c r="AU14" s="77">
        <v>100</v>
      </c>
      <c r="AW14" s="76" t="s">
        <v>1719</v>
      </c>
      <c r="AX14" s="77">
        <v>7.5</v>
      </c>
      <c r="AY14" s="77">
        <v>0.18</v>
      </c>
      <c r="AZ14" s="77">
        <v>3.8</v>
      </c>
      <c r="BA14" s="77">
        <v>0.9</v>
      </c>
      <c r="BB14" s="77">
        <v>100</v>
      </c>
      <c r="BD14" s="76" t="s">
        <v>1719</v>
      </c>
      <c r="BE14" s="77">
        <v>7.5</v>
      </c>
      <c r="BF14" s="77">
        <v>0.18</v>
      </c>
      <c r="BG14" s="77">
        <v>3.8</v>
      </c>
      <c r="BH14" s="77">
        <v>0.9</v>
      </c>
      <c r="BI14" s="77">
        <v>100</v>
      </c>
    </row>
    <row r="15" spans="1:61" ht="20.100000000000001" customHeight="1" x14ac:dyDescent="0.25">
      <c r="A15" s="67" t="s">
        <v>1720</v>
      </c>
      <c r="B15" s="68">
        <v>0.67</v>
      </c>
      <c r="C15" s="68">
        <f>space_classification[[#This Row],[Lighting (A90.1 -2010)]]*0.85</f>
        <v>0.56950000000000001</v>
      </c>
      <c r="D15" s="69">
        <v>2</v>
      </c>
      <c r="E15" s="68">
        <v>275</v>
      </c>
      <c r="F15" s="70">
        <v>275</v>
      </c>
      <c r="G15" s="68"/>
      <c r="H15" s="68"/>
      <c r="I15" s="68"/>
      <c r="J15" s="70"/>
      <c r="K15" s="68">
        <v>0</v>
      </c>
      <c r="L15" s="68">
        <v>0</v>
      </c>
      <c r="M15" s="68">
        <v>0</v>
      </c>
      <c r="N15" s="68">
        <v>1.5</v>
      </c>
      <c r="O15" s="70">
        <v>0</v>
      </c>
      <c r="P15" s="68"/>
      <c r="Q15" s="68">
        <v>15</v>
      </c>
      <c r="R15" s="68">
        <v>0.15</v>
      </c>
      <c r="S15" s="68">
        <v>1.5</v>
      </c>
      <c r="T15" s="70">
        <v>0</v>
      </c>
      <c r="V15" t="s">
        <v>1721</v>
      </c>
      <c r="W15" s="19">
        <v>0.15</v>
      </c>
      <c r="X15" s="19"/>
      <c r="Y15" s="19">
        <v>2</v>
      </c>
      <c r="Z15" s="19"/>
      <c r="AB15" s="76" t="s">
        <v>1722</v>
      </c>
      <c r="AC15" s="77">
        <v>20</v>
      </c>
      <c r="AD15" s="77">
        <v>0.12</v>
      </c>
      <c r="AE15" s="77">
        <v>10</v>
      </c>
      <c r="AF15" s="77">
        <v>0.6</v>
      </c>
      <c r="AG15" s="77">
        <v>25</v>
      </c>
      <c r="AI15" s="76" t="s">
        <v>1722</v>
      </c>
      <c r="AJ15" s="77">
        <v>20</v>
      </c>
      <c r="AK15" s="77">
        <v>0.12</v>
      </c>
      <c r="AL15" s="77">
        <v>10</v>
      </c>
      <c r="AM15" s="77">
        <v>0.6</v>
      </c>
      <c r="AN15" s="77">
        <v>25</v>
      </c>
      <c r="AO15" s="598"/>
      <c r="AP15" s="76" t="s">
        <v>1722</v>
      </c>
      <c r="AQ15" s="77">
        <v>20</v>
      </c>
      <c r="AR15" s="77">
        <v>0.12</v>
      </c>
      <c r="AS15" s="77">
        <v>10</v>
      </c>
      <c r="AT15" s="77">
        <v>0.6</v>
      </c>
      <c r="AU15" s="77">
        <v>25</v>
      </c>
      <c r="AW15" s="76" t="s">
        <v>1722</v>
      </c>
      <c r="AX15" s="77">
        <v>20</v>
      </c>
      <c r="AY15" s="77">
        <v>0.12</v>
      </c>
      <c r="AZ15" s="77">
        <v>10</v>
      </c>
      <c r="BA15" s="77">
        <v>0.6</v>
      </c>
      <c r="BB15" s="77">
        <v>25</v>
      </c>
      <c r="BD15" s="76" t="s">
        <v>1722</v>
      </c>
      <c r="BE15" s="77">
        <v>20</v>
      </c>
      <c r="BF15" s="77">
        <v>0.12</v>
      </c>
      <c r="BG15" s="77">
        <v>10</v>
      </c>
      <c r="BH15" s="77">
        <v>0.6</v>
      </c>
      <c r="BI15" s="77">
        <v>25</v>
      </c>
    </row>
    <row r="16" spans="1:61" ht="20.100000000000001" customHeight="1" x14ac:dyDescent="0.25">
      <c r="A16" s="78" t="s">
        <v>1723</v>
      </c>
      <c r="B16" s="68">
        <v>1.81</v>
      </c>
      <c r="C16" s="68">
        <f>space_classification[[#This Row],[Lighting (A90.1 -2010)]]*0.85</f>
        <v>1.5385</v>
      </c>
      <c r="D16" s="69">
        <v>15</v>
      </c>
      <c r="E16" s="68">
        <v>250</v>
      </c>
      <c r="F16" s="70">
        <v>200</v>
      </c>
      <c r="G16" s="68"/>
      <c r="H16" s="68"/>
      <c r="I16" s="68"/>
      <c r="J16" s="70"/>
      <c r="K16" s="68">
        <v>25</v>
      </c>
      <c r="L16" s="68">
        <v>10</v>
      </c>
      <c r="M16" s="68">
        <v>0.18</v>
      </c>
      <c r="N16" s="68">
        <v>0</v>
      </c>
      <c r="O16" s="70">
        <v>0</v>
      </c>
      <c r="P16" s="68"/>
      <c r="Q16" s="68">
        <v>15</v>
      </c>
      <c r="R16" s="68">
        <v>0.15</v>
      </c>
      <c r="S16" s="68">
        <v>0</v>
      </c>
      <c r="T16" s="70">
        <v>0</v>
      </c>
      <c r="V16" t="s">
        <v>1724</v>
      </c>
      <c r="W16" s="19">
        <v>0.15</v>
      </c>
      <c r="X16" s="19"/>
      <c r="Y16" s="19">
        <v>2</v>
      </c>
      <c r="Z16" s="19"/>
      <c r="AB16" s="76" t="s">
        <v>1725</v>
      </c>
      <c r="AC16" s="77">
        <v>5</v>
      </c>
      <c r="AD16" s="77">
        <v>0.06</v>
      </c>
      <c r="AE16" s="77">
        <v>2.5</v>
      </c>
      <c r="AF16" s="77">
        <v>0.3</v>
      </c>
      <c r="AG16" s="77">
        <v>10</v>
      </c>
      <c r="AI16" s="76" t="s">
        <v>1725</v>
      </c>
      <c r="AJ16" s="77">
        <v>5</v>
      </c>
      <c r="AK16" s="77">
        <v>0.06</v>
      </c>
      <c r="AL16" s="77">
        <v>2.5</v>
      </c>
      <c r="AM16" s="77">
        <v>0.3</v>
      </c>
      <c r="AN16" s="77">
        <v>10</v>
      </c>
      <c r="AO16" s="598"/>
      <c r="AP16" s="76" t="s">
        <v>1725</v>
      </c>
      <c r="AQ16" s="77">
        <v>5</v>
      </c>
      <c r="AR16" s="77">
        <v>0.06</v>
      </c>
      <c r="AS16" s="77">
        <v>2.5</v>
      </c>
      <c r="AT16" s="77">
        <v>0.3</v>
      </c>
      <c r="AU16" s="77">
        <v>10</v>
      </c>
      <c r="AW16" s="76" t="s">
        <v>1725</v>
      </c>
      <c r="AX16" s="77">
        <v>5</v>
      </c>
      <c r="AY16" s="77">
        <v>0.06</v>
      </c>
      <c r="AZ16" s="77">
        <v>2.5</v>
      </c>
      <c r="BA16" s="77">
        <v>0.3</v>
      </c>
      <c r="BB16" s="77">
        <v>10</v>
      </c>
      <c r="BD16" s="76" t="s">
        <v>1725</v>
      </c>
      <c r="BE16" s="77">
        <v>5</v>
      </c>
      <c r="BF16" s="77">
        <v>0.06</v>
      </c>
      <c r="BG16" s="77">
        <v>2.5</v>
      </c>
      <c r="BH16" s="77">
        <v>0.3</v>
      </c>
      <c r="BI16" s="77">
        <v>10</v>
      </c>
    </row>
    <row r="17" spans="1:61" ht="20.100000000000001" customHeight="1" x14ac:dyDescent="0.25">
      <c r="A17" s="78" t="s">
        <v>1726</v>
      </c>
      <c r="B17" s="68">
        <v>1.66</v>
      </c>
      <c r="C17" s="68">
        <f>space_classification[[#This Row],[Lighting (A90.1 -2010)]]*0.85</f>
        <v>1.4109999999999998</v>
      </c>
      <c r="D17" s="69">
        <v>2</v>
      </c>
      <c r="E17" s="68">
        <v>250</v>
      </c>
      <c r="F17" s="70">
        <v>200</v>
      </c>
      <c r="G17" s="68">
        <v>2</v>
      </c>
      <c r="H17" s="68">
        <v>0</v>
      </c>
      <c r="I17" s="68">
        <v>12</v>
      </c>
      <c r="J17" s="70" t="s">
        <v>1727</v>
      </c>
      <c r="K17" s="68"/>
      <c r="L17" s="68"/>
      <c r="M17" s="68"/>
      <c r="N17" s="68"/>
      <c r="O17" s="70"/>
      <c r="P17" s="68">
        <v>4.16</v>
      </c>
      <c r="Q17" s="68">
        <v>15</v>
      </c>
      <c r="R17" s="68">
        <v>0.15</v>
      </c>
      <c r="S17" s="68"/>
      <c r="T17" s="70"/>
      <c r="V17" t="s">
        <v>1728</v>
      </c>
      <c r="W17" s="19">
        <v>0.15</v>
      </c>
      <c r="X17" s="19"/>
      <c r="Y17" s="19">
        <v>2</v>
      </c>
      <c r="Z17" s="19"/>
      <c r="AB17" s="76" t="s">
        <v>1729</v>
      </c>
      <c r="AC17" s="77">
        <v>7.5</v>
      </c>
      <c r="AD17" s="77">
        <v>0.06</v>
      </c>
      <c r="AE17" s="77">
        <v>3.8</v>
      </c>
      <c r="AF17" s="77">
        <v>0.3</v>
      </c>
      <c r="AG17" s="77">
        <v>50</v>
      </c>
      <c r="AI17" s="76" t="s">
        <v>1729</v>
      </c>
      <c r="AJ17" s="77">
        <v>7.5</v>
      </c>
      <c r="AK17" s="77">
        <v>0.06</v>
      </c>
      <c r="AL17" s="77">
        <v>3.8</v>
      </c>
      <c r="AM17" s="77">
        <v>0.3</v>
      </c>
      <c r="AN17" s="77">
        <v>50</v>
      </c>
      <c r="AO17" s="598"/>
      <c r="AP17" s="76" t="s">
        <v>1729</v>
      </c>
      <c r="AQ17" s="77">
        <v>7.5</v>
      </c>
      <c r="AR17" s="77">
        <v>0.06</v>
      </c>
      <c r="AS17" s="77">
        <v>3.8</v>
      </c>
      <c r="AT17" s="77">
        <v>0.3</v>
      </c>
      <c r="AU17" s="77">
        <v>50</v>
      </c>
      <c r="AW17" s="76" t="s">
        <v>1729</v>
      </c>
      <c r="AX17" s="77">
        <v>7.5</v>
      </c>
      <c r="AY17" s="77">
        <v>0.06</v>
      </c>
      <c r="AZ17" s="77">
        <v>3.8</v>
      </c>
      <c r="BA17" s="77">
        <v>0.3</v>
      </c>
      <c r="BB17" s="77">
        <v>50</v>
      </c>
      <c r="BD17" s="76" t="s">
        <v>1729</v>
      </c>
      <c r="BE17" s="77">
        <v>7.5</v>
      </c>
      <c r="BF17" s="77">
        <v>0.06</v>
      </c>
      <c r="BG17" s="77">
        <v>3.8</v>
      </c>
      <c r="BH17" s="77">
        <v>0.3</v>
      </c>
      <c r="BI17" s="77">
        <v>50</v>
      </c>
    </row>
    <row r="18" spans="1:61" ht="20.100000000000001" customHeight="1" x14ac:dyDescent="0.25">
      <c r="A18" s="67" t="s">
        <v>1730</v>
      </c>
      <c r="B18" s="68">
        <v>1.01</v>
      </c>
      <c r="C18" s="68">
        <f>space_classification[[#This Row],[Lighting (A90.1 -2010)]]*0.85</f>
        <v>0.85849999999999993</v>
      </c>
      <c r="D18" s="69">
        <v>0</v>
      </c>
      <c r="E18" s="68">
        <v>250</v>
      </c>
      <c r="F18" s="70">
        <v>200</v>
      </c>
      <c r="G18" s="68"/>
      <c r="H18" s="68"/>
      <c r="I18" s="68"/>
      <c r="J18" s="70"/>
      <c r="K18" s="68">
        <v>5</v>
      </c>
      <c r="L18" s="68">
        <v>5</v>
      </c>
      <c r="M18" s="68">
        <v>0.06</v>
      </c>
      <c r="N18" s="68">
        <v>0</v>
      </c>
      <c r="O18" s="70">
        <v>0</v>
      </c>
      <c r="P18" s="68"/>
      <c r="Q18" s="68">
        <v>15</v>
      </c>
      <c r="R18" s="68">
        <v>0.15</v>
      </c>
      <c r="S18" s="68">
        <v>0</v>
      </c>
      <c r="T18" s="70">
        <v>0</v>
      </c>
      <c r="V18" t="s">
        <v>1731</v>
      </c>
      <c r="W18" s="19">
        <v>0.15</v>
      </c>
      <c r="X18" s="19"/>
      <c r="Y18" s="19">
        <v>2</v>
      </c>
      <c r="Z18" s="19"/>
      <c r="AB18" s="76" t="s">
        <v>1732</v>
      </c>
      <c r="AC18" s="77">
        <v>10</v>
      </c>
      <c r="AD18" s="77">
        <v>0.12</v>
      </c>
      <c r="AE18" s="77">
        <v>5</v>
      </c>
      <c r="AF18" s="77">
        <v>0.6</v>
      </c>
      <c r="AG18" s="77">
        <v>40</v>
      </c>
      <c r="AI18" s="76" t="s">
        <v>1732</v>
      </c>
      <c r="AJ18" s="77">
        <v>10</v>
      </c>
      <c r="AK18" s="77">
        <v>0.12</v>
      </c>
      <c r="AL18" s="77">
        <v>5</v>
      </c>
      <c r="AM18" s="77">
        <v>0.6</v>
      </c>
      <c r="AN18" s="77">
        <v>40</v>
      </c>
      <c r="AO18" s="598"/>
      <c r="AP18" s="76" t="s">
        <v>1732</v>
      </c>
      <c r="AQ18" s="77">
        <v>10</v>
      </c>
      <c r="AR18" s="77">
        <v>0.12</v>
      </c>
      <c r="AS18" s="77">
        <v>5</v>
      </c>
      <c r="AT18" s="77">
        <v>0.6</v>
      </c>
      <c r="AU18" s="77">
        <v>40</v>
      </c>
      <c r="AW18" s="76" t="s">
        <v>1732</v>
      </c>
      <c r="AX18" s="77">
        <v>10</v>
      </c>
      <c r="AY18" s="77">
        <v>0.12</v>
      </c>
      <c r="AZ18" s="77">
        <v>5</v>
      </c>
      <c r="BA18" s="77">
        <v>0.6</v>
      </c>
      <c r="BB18" s="77">
        <v>40</v>
      </c>
      <c r="BD18" s="76" t="s">
        <v>1732</v>
      </c>
      <c r="BE18" s="77">
        <v>10</v>
      </c>
      <c r="BF18" s="77">
        <v>0.12</v>
      </c>
      <c r="BG18" s="77">
        <v>5</v>
      </c>
      <c r="BH18" s="77">
        <v>0.6</v>
      </c>
      <c r="BI18" s="77">
        <v>40</v>
      </c>
    </row>
    <row r="19" spans="1:61" ht="20.100000000000001" customHeight="1" x14ac:dyDescent="0.25">
      <c r="A19" s="78" t="s">
        <v>1733</v>
      </c>
      <c r="B19" s="68">
        <v>1.07</v>
      </c>
      <c r="C19" s="68">
        <f>space_classification[[#This Row],[Lighting (A90.1 -2010)]]*0.85</f>
        <v>0.90949999999999998</v>
      </c>
      <c r="D19" s="69">
        <v>0</v>
      </c>
      <c r="E19" s="68">
        <v>250</v>
      </c>
      <c r="F19" s="70">
        <v>200</v>
      </c>
      <c r="G19" s="68"/>
      <c r="H19" s="68"/>
      <c r="I19" s="68"/>
      <c r="J19" s="70"/>
      <c r="K19" s="68">
        <v>100</v>
      </c>
      <c r="L19" s="68">
        <v>7.5</v>
      </c>
      <c r="M19" s="68">
        <v>0.18</v>
      </c>
      <c r="N19" s="68">
        <v>0</v>
      </c>
      <c r="O19" s="70">
        <v>0</v>
      </c>
      <c r="P19" s="68"/>
      <c r="Q19" s="68">
        <v>15</v>
      </c>
      <c r="R19" s="68">
        <v>0.15</v>
      </c>
      <c r="S19" s="68">
        <v>0</v>
      </c>
      <c r="T19" s="70">
        <v>0</v>
      </c>
      <c r="V19" t="s">
        <v>1734</v>
      </c>
      <c r="W19" s="19">
        <v>0.15</v>
      </c>
      <c r="X19" s="19"/>
      <c r="Y19" s="19">
        <v>1</v>
      </c>
      <c r="Z19" s="19"/>
      <c r="AB19" s="76" t="s">
        <v>1735</v>
      </c>
      <c r="AC19" s="77">
        <v>5</v>
      </c>
      <c r="AD19" s="77">
        <v>0.06</v>
      </c>
      <c r="AE19" s="77">
        <v>2.5</v>
      </c>
      <c r="AF19" s="77">
        <v>0.3</v>
      </c>
      <c r="AG19" s="77">
        <v>50</v>
      </c>
      <c r="AI19" s="76" t="s">
        <v>1735</v>
      </c>
      <c r="AJ19" s="77">
        <v>5</v>
      </c>
      <c r="AK19" s="77">
        <v>0.06</v>
      </c>
      <c r="AL19" s="77">
        <v>2.5</v>
      </c>
      <c r="AM19" s="77">
        <v>0.3</v>
      </c>
      <c r="AN19" s="77">
        <v>50</v>
      </c>
      <c r="AO19" s="598"/>
      <c r="AP19" s="76" t="s">
        <v>1735</v>
      </c>
      <c r="AQ19" s="77">
        <v>5</v>
      </c>
      <c r="AR19" s="77">
        <v>0.06</v>
      </c>
      <c r="AS19" s="77">
        <v>2.5</v>
      </c>
      <c r="AT19" s="77">
        <v>0.3</v>
      </c>
      <c r="AU19" s="77">
        <v>50</v>
      </c>
      <c r="AW19" s="76" t="s">
        <v>1735</v>
      </c>
      <c r="AX19" s="77">
        <v>5</v>
      </c>
      <c r="AY19" s="77">
        <v>0.06</v>
      </c>
      <c r="AZ19" s="77">
        <v>2.5</v>
      </c>
      <c r="BA19" s="77">
        <v>0.3</v>
      </c>
      <c r="BB19" s="77">
        <v>50</v>
      </c>
      <c r="BD19" s="76" t="s">
        <v>1735</v>
      </c>
      <c r="BE19" s="77">
        <v>5</v>
      </c>
      <c r="BF19" s="77">
        <v>0.06</v>
      </c>
      <c r="BG19" s="77">
        <v>2.5</v>
      </c>
      <c r="BH19" s="77">
        <v>0.3</v>
      </c>
      <c r="BI19" s="77">
        <v>50</v>
      </c>
    </row>
    <row r="20" spans="1:61" ht="20.100000000000001" customHeight="1" x14ac:dyDescent="0.25">
      <c r="A20" s="67" t="s">
        <v>1736</v>
      </c>
      <c r="B20" s="68">
        <v>1.66</v>
      </c>
      <c r="C20" s="68">
        <f>space_classification[[#This Row],[Lighting (A90.1 -2010)]]*0.85</f>
        <v>1.4109999999999998</v>
      </c>
      <c r="D20" s="69">
        <v>1</v>
      </c>
      <c r="E20" s="68">
        <v>250</v>
      </c>
      <c r="F20" s="70">
        <v>200</v>
      </c>
      <c r="G20" s="68">
        <v>0</v>
      </c>
      <c r="H20" s="68">
        <v>0</v>
      </c>
      <c r="I20" s="68">
        <v>10</v>
      </c>
      <c r="J20" s="70" t="s">
        <v>1727</v>
      </c>
      <c r="K20" s="68"/>
      <c r="L20" s="68"/>
      <c r="M20" s="68"/>
      <c r="N20" s="68"/>
      <c r="O20" s="70"/>
      <c r="P20" s="68"/>
      <c r="Q20" s="68">
        <v>15</v>
      </c>
      <c r="R20" s="68">
        <v>0.15</v>
      </c>
      <c r="S20" s="68"/>
      <c r="T20" s="70"/>
      <c r="V20" t="s">
        <v>1737</v>
      </c>
      <c r="W20" s="19">
        <v>0.15</v>
      </c>
      <c r="X20" s="19"/>
      <c r="Y20" s="19">
        <v>1</v>
      </c>
      <c r="Z20" s="19" t="s">
        <v>1738</v>
      </c>
      <c r="AB20" s="76" t="s">
        <v>351</v>
      </c>
      <c r="AC20" s="77">
        <v>5</v>
      </c>
      <c r="AD20" s="77">
        <v>0.12</v>
      </c>
      <c r="AE20" s="77">
        <v>2.5</v>
      </c>
      <c r="AF20" s="77">
        <v>0.6</v>
      </c>
      <c r="AG20" s="77">
        <v>50</v>
      </c>
      <c r="AI20" s="76" t="s">
        <v>351</v>
      </c>
      <c r="AJ20" s="77">
        <v>5</v>
      </c>
      <c r="AK20" s="77">
        <v>0.12</v>
      </c>
      <c r="AL20" s="77">
        <v>2.5</v>
      </c>
      <c r="AM20" s="77">
        <v>0.6</v>
      </c>
      <c r="AN20" s="77">
        <v>50</v>
      </c>
      <c r="AO20" s="598"/>
      <c r="AP20" s="76" t="s">
        <v>351</v>
      </c>
      <c r="AQ20" s="77">
        <v>5</v>
      </c>
      <c r="AR20" s="77">
        <v>0.12</v>
      </c>
      <c r="AS20" s="77">
        <v>2.5</v>
      </c>
      <c r="AT20" s="77">
        <v>0.6</v>
      </c>
      <c r="AU20" s="77">
        <v>50</v>
      </c>
      <c r="AW20" s="76" t="s">
        <v>351</v>
      </c>
      <c r="AX20" s="77">
        <v>5</v>
      </c>
      <c r="AY20" s="77">
        <v>0.12</v>
      </c>
      <c r="AZ20" s="77">
        <v>2.5</v>
      </c>
      <c r="BA20" s="77">
        <v>0.6</v>
      </c>
      <c r="BB20" s="77">
        <v>50</v>
      </c>
      <c r="BD20" s="76" t="s">
        <v>351</v>
      </c>
      <c r="BE20" s="77">
        <v>5</v>
      </c>
      <c r="BF20" s="77">
        <v>0.12</v>
      </c>
      <c r="BG20" s="77">
        <v>2.5</v>
      </c>
      <c r="BH20" s="77">
        <v>0.6</v>
      </c>
      <c r="BI20" s="77">
        <v>50</v>
      </c>
    </row>
    <row r="21" spans="1:61" ht="20.100000000000001" customHeight="1" x14ac:dyDescent="0.25">
      <c r="A21" s="67" t="s">
        <v>1739</v>
      </c>
      <c r="B21" s="68">
        <v>0.74</v>
      </c>
      <c r="C21" s="68">
        <f>space_classification[[#This Row],[Lighting (A90.1 -2010)]]*0.85</f>
        <v>0.629</v>
      </c>
      <c r="D21" s="69">
        <v>1</v>
      </c>
      <c r="E21" s="68">
        <v>250</v>
      </c>
      <c r="F21" s="70">
        <v>200</v>
      </c>
      <c r="G21" s="68">
        <v>0</v>
      </c>
      <c r="H21" s="68">
        <v>0</v>
      </c>
      <c r="I21" s="68">
        <v>10</v>
      </c>
      <c r="J21" s="70" t="s">
        <v>1727</v>
      </c>
      <c r="K21" s="68"/>
      <c r="L21" s="68"/>
      <c r="M21" s="68"/>
      <c r="N21" s="68"/>
      <c r="O21" s="70"/>
      <c r="P21" s="68">
        <v>4.16</v>
      </c>
      <c r="Q21" s="68">
        <v>15</v>
      </c>
      <c r="R21" s="68">
        <v>0.15</v>
      </c>
      <c r="S21" s="68"/>
      <c r="T21" s="70"/>
      <c r="V21" t="s">
        <v>1740</v>
      </c>
      <c r="W21" s="19">
        <v>1.07</v>
      </c>
      <c r="X21" s="19">
        <v>0.15</v>
      </c>
      <c r="Y21" s="19">
        <v>1</v>
      </c>
      <c r="Z21" s="19" t="s">
        <v>1741</v>
      </c>
      <c r="AB21" s="76" t="s">
        <v>1742</v>
      </c>
      <c r="AC21" s="77">
        <v>7.5</v>
      </c>
      <c r="AD21" s="77">
        <v>0.18</v>
      </c>
      <c r="AE21" s="77">
        <v>3.8</v>
      </c>
      <c r="AF21" s="77">
        <v>0.9</v>
      </c>
      <c r="AG21" s="77">
        <v>100</v>
      </c>
      <c r="AI21" s="76" t="s">
        <v>1742</v>
      </c>
      <c r="AJ21" s="77">
        <v>7.5</v>
      </c>
      <c r="AK21" s="77">
        <v>0.18</v>
      </c>
      <c r="AL21" s="77">
        <v>3.8</v>
      </c>
      <c r="AM21" s="77">
        <v>0.9</v>
      </c>
      <c r="AN21" s="77">
        <v>100</v>
      </c>
      <c r="AO21" s="598"/>
      <c r="AP21" s="76" t="s">
        <v>1742</v>
      </c>
      <c r="AQ21" s="77">
        <v>7.5</v>
      </c>
      <c r="AR21" s="77">
        <v>0.18</v>
      </c>
      <c r="AS21" s="77">
        <v>3.8</v>
      </c>
      <c r="AT21" s="77">
        <v>0.9</v>
      </c>
      <c r="AU21" s="77">
        <v>100</v>
      </c>
      <c r="AW21" s="76" t="s">
        <v>1742</v>
      </c>
      <c r="AX21" s="77">
        <v>7.5</v>
      </c>
      <c r="AY21" s="77">
        <v>0.18</v>
      </c>
      <c r="AZ21" s="77">
        <v>3.8</v>
      </c>
      <c r="BA21" s="77">
        <v>0.9</v>
      </c>
      <c r="BB21" s="77">
        <v>100</v>
      </c>
      <c r="BD21" s="76" t="s">
        <v>1742</v>
      </c>
      <c r="BE21" s="77">
        <v>7.5</v>
      </c>
      <c r="BF21" s="77">
        <v>0.18</v>
      </c>
      <c r="BG21" s="77">
        <v>3.8</v>
      </c>
      <c r="BH21" s="77">
        <v>0.9</v>
      </c>
      <c r="BI21" s="77">
        <v>100</v>
      </c>
    </row>
    <row r="22" spans="1:61" ht="20.100000000000001" customHeight="1" x14ac:dyDescent="0.25">
      <c r="A22" s="67" t="s">
        <v>1743</v>
      </c>
      <c r="B22" s="68">
        <v>1.81</v>
      </c>
      <c r="C22" s="68">
        <f>space_classification[[#This Row],[Lighting (A90.1 -2010)]]*0.85</f>
        <v>1.5385</v>
      </c>
      <c r="D22" s="69">
        <v>8</v>
      </c>
      <c r="E22" s="68">
        <v>250</v>
      </c>
      <c r="F22" s="70">
        <v>200</v>
      </c>
      <c r="G22" s="68"/>
      <c r="H22" s="68"/>
      <c r="I22" s="68"/>
      <c r="J22" s="70"/>
      <c r="K22" s="68">
        <v>25</v>
      </c>
      <c r="L22" s="68">
        <v>10</v>
      </c>
      <c r="M22" s="68">
        <v>0.18</v>
      </c>
      <c r="N22" s="68">
        <v>0</v>
      </c>
      <c r="O22" s="70">
        <v>0</v>
      </c>
      <c r="P22" s="68">
        <v>10</v>
      </c>
      <c r="Q22" s="68">
        <v>15</v>
      </c>
      <c r="R22" s="68">
        <v>0.15</v>
      </c>
      <c r="S22" s="68">
        <v>0</v>
      </c>
      <c r="T22" s="70">
        <v>0</v>
      </c>
      <c r="V22" t="s">
        <v>1744</v>
      </c>
      <c r="W22" s="19">
        <v>0.5</v>
      </c>
      <c r="X22" s="19">
        <v>0.15</v>
      </c>
      <c r="Y22" s="19">
        <v>1</v>
      </c>
      <c r="Z22" s="19" t="s">
        <v>1741</v>
      </c>
      <c r="AB22" s="76" t="s">
        <v>1745</v>
      </c>
      <c r="AC22" s="77">
        <v>5</v>
      </c>
      <c r="AD22" s="77">
        <v>0.12</v>
      </c>
      <c r="AE22" s="77">
        <v>2.5</v>
      </c>
      <c r="AF22" s="77">
        <v>0.6</v>
      </c>
      <c r="AG22" s="77">
        <v>25</v>
      </c>
      <c r="AI22" s="76" t="s">
        <v>1745</v>
      </c>
      <c r="AJ22" s="77">
        <v>5</v>
      </c>
      <c r="AK22" s="77">
        <v>0.12</v>
      </c>
      <c r="AL22" s="77">
        <v>2.5</v>
      </c>
      <c r="AM22" s="77">
        <v>0.6</v>
      </c>
      <c r="AN22" s="77">
        <v>25</v>
      </c>
      <c r="AO22" s="598"/>
      <c r="AP22" s="76" t="s">
        <v>1745</v>
      </c>
      <c r="AQ22" s="77">
        <v>5</v>
      </c>
      <c r="AR22" s="77">
        <v>0.12</v>
      </c>
      <c r="AS22" s="77">
        <v>2.5</v>
      </c>
      <c r="AT22" s="77">
        <v>0.6</v>
      </c>
      <c r="AU22" s="77">
        <v>25</v>
      </c>
      <c r="AW22" s="76" t="s">
        <v>1745</v>
      </c>
      <c r="AX22" s="77">
        <v>5</v>
      </c>
      <c r="AY22" s="77">
        <v>0.12</v>
      </c>
      <c r="AZ22" s="77">
        <v>2.5</v>
      </c>
      <c r="BA22" s="77">
        <v>0.6</v>
      </c>
      <c r="BB22" s="77">
        <v>25</v>
      </c>
      <c r="BD22" s="76" t="s">
        <v>1745</v>
      </c>
      <c r="BE22" s="77">
        <v>5</v>
      </c>
      <c r="BF22" s="77">
        <v>0.12</v>
      </c>
      <c r="BG22" s="77">
        <v>2.5</v>
      </c>
      <c r="BH22" s="77">
        <v>0.6</v>
      </c>
      <c r="BI22" s="77">
        <v>25</v>
      </c>
    </row>
    <row r="23" spans="1:61" ht="20.100000000000001" customHeight="1" x14ac:dyDescent="0.25">
      <c r="A23" s="67" t="s">
        <v>1746</v>
      </c>
      <c r="B23" s="68">
        <v>1.2</v>
      </c>
      <c r="C23" s="68">
        <f>space_classification[[#This Row],[Lighting (A90.1 -2010)]]*0.85</f>
        <v>1.02</v>
      </c>
      <c r="D23" s="69">
        <v>3</v>
      </c>
      <c r="E23" s="68">
        <v>250</v>
      </c>
      <c r="F23" s="70">
        <v>200</v>
      </c>
      <c r="G23" s="68"/>
      <c r="H23" s="68"/>
      <c r="I23" s="68">
        <v>10</v>
      </c>
      <c r="J23" s="70"/>
      <c r="K23" s="68">
        <v>25</v>
      </c>
      <c r="L23" s="68">
        <v>5</v>
      </c>
      <c r="M23" s="68">
        <v>0.06</v>
      </c>
      <c r="N23" s="68">
        <v>0</v>
      </c>
      <c r="O23" s="70">
        <v>0</v>
      </c>
      <c r="P23" s="68"/>
      <c r="Q23" s="68">
        <v>15</v>
      </c>
      <c r="R23" s="68">
        <v>0.15</v>
      </c>
      <c r="S23" s="68">
        <v>0</v>
      </c>
      <c r="T23" s="70">
        <v>0</v>
      </c>
      <c r="V23" s="75" t="s">
        <v>1747</v>
      </c>
      <c r="W23" s="81"/>
      <c r="X23" s="81"/>
      <c r="Y23" s="81"/>
      <c r="Z23" s="81"/>
      <c r="AB23" s="76" t="s">
        <v>1748</v>
      </c>
      <c r="AC23" s="77">
        <v>10</v>
      </c>
      <c r="AD23" s="77">
        <v>0.12</v>
      </c>
      <c r="AE23" s="77">
        <v>5</v>
      </c>
      <c r="AF23" s="77">
        <v>0.6</v>
      </c>
      <c r="AG23" s="77">
        <v>35</v>
      </c>
      <c r="AI23" s="76" t="s">
        <v>1748</v>
      </c>
      <c r="AJ23" s="77">
        <v>10</v>
      </c>
      <c r="AK23" s="77">
        <v>0.12</v>
      </c>
      <c r="AL23" s="77">
        <v>5</v>
      </c>
      <c r="AM23" s="77">
        <v>0.6</v>
      </c>
      <c r="AN23" s="77">
        <v>35</v>
      </c>
      <c r="AO23" s="598"/>
      <c r="AP23" s="76" t="s">
        <v>1748</v>
      </c>
      <c r="AQ23" s="77">
        <v>10</v>
      </c>
      <c r="AR23" s="77">
        <v>0.12</v>
      </c>
      <c r="AS23" s="77">
        <v>5</v>
      </c>
      <c r="AT23" s="77">
        <v>0.6</v>
      </c>
      <c r="AU23" s="77">
        <v>35</v>
      </c>
      <c r="AW23" s="76" t="s">
        <v>1748</v>
      </c>
      <c r="AX23" s="77">
        <v>10</v>
      </c>
      <c r="AY23" s="77">
        <v>0.12</v>
      </c>
      <c r="AZ23" s="77">
        <v>5</v>
      </c>
      <c r="BA23" s="77">
        <v>0.6</v>
      </c>
      <c r="BB23" s="77">
        <v>35</v>
      </c>
      <c r="BD23" s="76" t="s">
        <v>1748</v>
      </c>
      <c r="BE23" s="77">
        <v>10</v>
      </c>
      <c r="BF23" s="77">
        <v>0.12</v>
      </c>
      <c r="BG23" s="77">
        <v>5</v>
      </c>
      <c r="BH23" s="77">
        <v>0.6</v>
      </c>
      <c r="BI23" s="77">
        <v>35</v>
      </c>
    </row>
    <row r="24" spans="1:61" ht="20.100000000000001" customHeight="1" x14ac:dyDescent="0.25">
      <c r="A24" s="67" t="s">
        <v>1749</v>
      </c>
      <c r="B24" s="68">
        <v>1.66</v>
      </c>
      <c r="C24" s="68">
        <f>space_classification[[#This Row],[Lighting (A90.1 -2010)]]*0.85</f>
        <v>1.4109999999999998</v>
      </c>
      <c r="D24" s="69">
        <v>2</v>
      </c>
      <c r="E24" s="68">
        <v>250</v>
      </c>
      <c r="F24" s="70">
        <v>200</v>
      </c>
      <c r="G24" s="68">
        <v>2</v>
      </c>
      <c r="H24" s="68">
        <v>12</v>
      </c>
      <c r="I24" s="68">
        <v>12</v>
      </c>
      <c r="J24" s="70" t="s">
        <v>1727</v>
      </c>
      <c r="K24" s="68"/>
      <c r="L24" s="68"/>
      <c r="M24" s="68"/>
      <c r="N24" s="68"/>
      <c r="O24" s="70"/>
      <c r="P24" s="68">
        <v>4.16</v>
      </c>
      <c r="Q24" s="68">
        <v>15</v>
      </c>
      <c r="R24" s="68">
        <v>0.15</v>
      </c>
      <c r="S24" s="68"/>
      <c r="T24" s="70"/>
      <c r="V24" t="s">
        <v>1750</v>
      </c>
      <c r="W24" s="19">
        <v>0.5</v>
      </c>
      <c r="X24" s="19">
        <v>0.15</v>
      </c>
      <c r="Y24" s="19">
        <v>2</v>
      </c>
      <c r="Z24" s="19"/>
      <c r="AB24" s="82" t="s">
        <v>1751</v>
      </c>
      <c r="AC24" s="77">
        <v>10</v>
      </c>
      <c r="AD24" s="77">
        <v>0.12</v>
      </c>
      <c r="AE24" s="77">
        <v>5</v>
      </c>
      <c r="AF24" s="77">
        <v>0.6</v>
      </c>
      <c r="AG24" s="77">
        <v>25</v>
      </c>
      <c r="AI24" s="82" t="s">
        <v>1751</v>
      </c>
      <c r="AJ24" s="77">
        <v>10</v>
      </c>
      <c r="AK24" s="77">
        <v>0.12</v>
      </c>
      <c r="AL24" s="77">
        <v>5</v>
      </c>
      <c r="AM24" s="77">
        <v>0.6</v>
      </c>
      <c r="AN24" s="77">
        <v>25</v>
      </c>
      <c r="AO24" s="598"/>
      <c r="AP24" s="82" t="s">
        <v>1751</v>
      </c>
      <c r="AQ24" s="77">
        <v>10</v>
      </c>
      <c r="AR24" s="77">
        <v>0.12</v>
      </c>
      <c r="AS24" s="77">
        <v>5</v>
      </c>
      <c r="AT24" s="77">
        <v>0.6</v>
      </c>
      <c r="AU24" s="77">
        <v>25</v>
      </c>
      <c r="AW24" s="82" t="s">
        <v>1751</v>
      </c>
      <c r="AX24" s="77">
        <v>10</v>
      </c>
      <c r="AY24" s="77">
        <v>0.12</v>
      </c>
      <c r="AZ24" s="77">
        <v>5</v>
      </c>
      <c r="BA24" s="77">
        <v>0.6</v>
      </c>
      <c r="BB24" s="77">
        <v>25</v>
      </c>
      <c r="BD24" s="82" t="s">
        <v>1751</v>
      </c>
      <c r="BE24" s="77">
        <v>10</v>
      </c>
      <c r="BF24" s="77">
        <v>0.12</v>
      </c>
      <c r="BG24" s="77">
        <v>5</v>
      </c>
      <c r="BH24" s="77">
        <v>0.6</v>
      </c>
      <c r="BI24" s="77">
        <v>25</v>
      </c>
    </row>
    <row r="25" spans="1:61" ht="20.25" customHeight="1" x14ac:dyDescent="0.25">
      <c r="A25" s="67" t="s">
        <v>1752</v>
      </c>
      <c r="B25" s="68">
        <v>0.65</v>
      </c>
      <c r="C25" s="68">
        <f>space_classification[[#This Row],[Lighting (A90.1 -2010)]]*0.85</f>
        <v>0.55249999999999999</v>
      </c>
      <c r="D25" s="69">
        <v>0</v>
      </c>
      <c r="E25" s="68">
        <v>250</v>
      </c>
      <c r="F25" s="70">
        <v>200</v>
      </c>
      <c r="G25" s="68"/>
      <c r="H25" s="68"/>
      <c r="I25" s="68"/>
      <c r="J25" s="70"/>
      <c r="K25" s="68">
        <v>100</v>
      </c>
      <c r="L25" s="68">
        <v>7.5</v>
      </c>
      <c r="M25" s="68">
        <v>0.18</v>
      </c>
      <c r="N25" s="68">
        <v>0</v>
      </c>
      <c r="O25" s="70">
        <v>0</v>
      </c>
      <c r="P25" s="68"/>
      <c r="Q25" s="68">
        <v>15</v>
      </c>
      <c r="R25" s="68">
        <v>0.15</v>
      </c>
      <c r="S25" s="68">
        <v>0</v>
      </c>
      <c r="T25" s="70">
        <v>0</v>
      </c>
      <c r="V25" t="s">
        <v>1753</v>
      </c>
      <c r="W25" s="19">
        <v>0.5</v>
      </c>
      <c r="X25" s="19">
        <v>0.15</v>
      </c>
      <c r="Y25" s="19">
        <v>2</v>
      </c>
      <c r="Z25" s="19"/>
      <c r="AB25" s="76" t="s">
        <v>1754</v>
      </c>
      <c r="AC25" s="77">
        <v>5</v>
      </c>
      <c r="AD25" s="77">
        <v>0.06</v>
      </c>
      <c r="AE25" s="77">
        <v>2.5</v>
      </c>
      <c r="AF25" s="77">
        <v>0.3</v>
      </c>
      <c r="AG25" s="77">
        <v>20</v>
      </c>
      <c r="AI25" s="76" t="s">
        <v>1754</v>
      </c>
      <c r="AJ25" s="77">
        <v>5</v>
      </c>
      <c r="AK25" s="77">
        <v>0.06</v>
      </c>
      <c r="AL25" s="77">
        <v>2.5</v>
      </c>
      <c r="AM25" s="77">
        <v>0.3</v>
      </c>
      <c r="AN25" s="77">
        <v>20</v>
      </c>
      <c r="AO25" s="598"/>
      <c r="AP25" s="76" t="s">
        <v>1754</v>
      </c>
      <c r="AQ25" s="77">
        <v>5</v>
      </c>
      <c r="AR25" s="77">
        <v>0.06</v>
      </c>
      <c r="AS25" s="77">
        <v>2.5</v>
      </c>
      <c r="AT25" s="77">
        <v>0.3</v>
      </c>
      <c r="AU25" s="77">
        <v>20</v>
      </c>
      <c r="AW25" s="76" t="s">
        <v>1754</v>
      </c>
      <c r="AX25" s="77">
        <v>5</v>
      </c>
      <c r="AY25" s="77">
        <v>0.06</v>
      </c>
      <c r="AZ25" s="77">
        <v>2.5</v>
      </c>
      <c r="BA25" s="77">
        <v>0.3</v>
      </c>
      <c r="BB25" s="77">
        <v>20</v>
      </c>
      <c r="BD25" s="76" t="s">
        <v>1754</v>
      </c>
      <c r="BE25" s="77">
        <v>5</v>
      </c>
      <c r="BF25" s="77">
        <v>0.06</v>
      </c>
      <c r="BG25" s="77">
        <v>2.5</v>
      </c>
      <c r="BH25" s="77">
        <v>0.3</v>
      </c>
      <c r="BI25" s="77">
        <v>20</v>
      </c>
    </row>
    <row r="26" spans="1:61" ht="20.100000000000001" customHeight="1" x14ac:dyDescent="0.25">
      <c r="A26" s="67" t="s">
        <v>1755</v>
      </c>
      <c r="B26" s="68">
        <v>1.81</v>
      </c>
      <c r="C26" s="68">
        <f>space_classification[[#This Row],[Lighting (A90.1 -2010)]]*0.85</f>
        <v>1.5385</v>
      </c>
      <c r="D26" s="69">
        <v>10</v>
      </c>
      <c r="E26" s="68">
        <v>250</v>
      </c>
      <c r="F26" s="70">
        <v>200</v>
      </c>
      <c r="G26" s="68"/>
      <c r="H26" s="68"/>
      <c r="I26" s="68"/>
      <c r="J26" s="70"/>
      <c r="K26" s="68">
        <v>25</v>
      </c>
      <c r="L26" s="68">
        <v>10</v>
      </c>
      <c r="M26" s="68">
        <v>0.18</v>
      </c>
      <c r="N26" s="68">
        <v>0</v>
      </c>
      <c r="O26" s="70">
        <v>0</v>
      </c>
      <c r="P26" s="68">
        <v>10</v>
      </c>
      <c r="Q26" s="68">
        <v>15</v>
      </c>
      <c r="R26" s="68">
        <v>0.15</v>
      </c>
      <c r="S26" s="68">
        <v>0</v>
      </c>
      <c r="T26" s="70">
        <v>0</v>
      </c>
      <c r="V26" t="s">
        <v>1756</v>
      </c>
      <c r="W26" s="19">
        <v>0.5</v>
      </c>
      <c r="X26" s="19">
        <v>0.2</v>
      </c>
      <c r="Y26" s="19">
        <v>2</v>
      </c>
      <c r="Z26" s="19"/>
      <c r="AB26" s="76" t="s">
        <v>1757</v>
      </c>
      <c r="AC26" s="77">
        <v>7.5</v>
      </c>
      <c r="AD26" s="77">
        <v>0.12</v>
      </c>
      <c r="AE26" s="77">
        <v>3.8</v>
      </c>
      <c r="AF26" s="77">
        <v>0.6</v>
      </c>
      <c r="AG26" s="77">
        <v>20</v>
      </c>
      <c r="AI26" s="76" t="s">
        <v>1757</v>
      </c>
      <c r="AJ26" s="77">
        <v>7.5</v>
      </c>
      <c r="AK26" s="77">
        <v>0.12</v>
      </c>
      <c r="AL26" s="77">
        <v>3.8</v>
      </c>
      <c r="AM26" s="77">
        <v>0.6</v>
      </c>
      <c r="AN26" s="77">
        <v>20</v>
      </c>
      <c r="AO26" s="598"/>
      <c r="AP26" s="76" t="s">
        <v>1757</v>
      </c>
      <c r="AQ26" s="77">
        <v>7.5</v>
      </c>
      <c r="AR26" s="77">
        <v>0.12</v>
      </c>
      <c r="AS26" s="77">
        <v>3.8</v>
      </c>
      <c r="AT26" s="77">
        <v>0.6</v>
      </c>
      <c r="AU26" s="77">
        <v>20</v>
      </c>
      <c r="AW26" s="76" t="s">
        <v>1757</v>
      </c>
      <c r="AX26" s="77">
        <v>7.5</v>
      </c>
      <c r="AY26" s="77">
        <v>0.12</v>
      </c>
      <c r="AZ26" s="77">
        <v>3.8</v>
      </c>
      <c r="BA26" s="77">
        <v>0.6</v>
      </c>
      <c r="BB26" s="77">
        <v>20</v>
      </c>
      <c r="BD26" s="76" t="s">
        <v>1757</v>
      </c>
      <c r="BE26" s="77">
        <v>7.5</v>
      </c>
      <c r="BF26" s="77">
        <v>0.12</v>
      </c>
      <c r="BG26" s="77">
        <v>3.8</v>
      </c>
      <c r="BH26" s="77">
        <v>0.6</v>
      </c>
      <c r="BI26" s="77">
        <v>20</v>
      </c>
    </row>
    <row r="27" spans="1:61" ht="20.100000000000001" customHeight="1" x14ac:dyDescent="0.25">
      <c r="A27" s="78" t="s">
        <v>1758</v>
      </c>
      <c r="B27" s="68">
        <v>1.81</v>
      </c>
      <c r="C27" s="68">
        <f>space_classification[[#This Row],[Lighting (A90.1 -2010)]]*0.85</f>
        <v>1.5385</v>
      </c>
      <c r="D27" s="69">
        <v>8</v>
      </c>
      <c r="E27" s="68">
        <v>250</v>
      </c>
      <c r="F27" s="70">
        <v>200</v>
      </c>
      <c r="G27" s="68"/>
      <c r="H27" s="68"/>
      <c r="I27" s="68"/>
      <c r="J27" s="70"/>
      <c r="K27" s="68">
        <v>25</v>
      </c>
      <c r="L27" s="68">
        <v>10</v>
      </c>
      <c r="M27" s="68">
        <v>0.18</v>
      </c>
      <c r="N27" s="68">
        <v>0</v>
      </c>
      <c r="O27" s="70">
        <v>0</v>
      </c>
      <c r="P27" s="68">
        <v>10</v>
      </c>
      <c r="Q27" s="68">
        <v>15</v>
      </c>
      <c r="R27" s="68">
        <v>0.15</v>
      </c>
      <c r="S27" s="68">
        <v>0</v>
      </c>
      <c r="T27" s="70">
        <v>0</v>
      </c>
      <c r="V27" t="s">
        <v>1759</v>
      </c>
      <c r="W27" s="19">
        <v>0.15</v>
      </c>
      <c r="X27" s="19"/>
      <c r="Y27" s="19">
        <v>2</v>
      </c>
      <c r="Z27" s="19"/>
      <c r="AB27" s="76" t="s">
        <v>1760</v>
      </c>
      <c r="AC27" s="77">
        <v>0</v>
      </c>
      <c r="AD27" s="77">
        <v>0.06</v>
      </c>
      <c r="AE27" s="77">
        <v>0</v>
      </c>
      <c r="AF27" s="77">
        <v>0.3</v>
      </c>
      <c r="AG27" s="77"/>
      <c r="AI27" s="76" t="s">
        <v>1760</v>
      </c>
      <c r="AJ27" s="77">
        <v>0</v>
      </c>
      <c r="AK27" s="77">
        <v>0.06</v>
      </c>
      <c r="AL27" s="77">
        <v>0</v>
      </c>
      <c r="AM27" s="77">
        <v>0.3</v>
      </c>
      <c r="AN27" s="77"/>
      <c r="AO27" s="598"/>
      <c r="AP27" s="76" t="s">
        <v>1760</v>
      </c>
      <c r="AQ27" s="77">
        <v>0</v>
      </c>
      <c r="AR27" s="77">
        <v>0.06</v>
      </c>
      <c r="AS27" s="77">
        <v>0</v>
      </c>
      <c r="AT27" s="77">
        <v>0.3</v>
      </c>
      <c r="AU27" s="77"/>
      <c r="AW27" s="76" t="s">
        <v>1760</v>
      </c>
      <c r="AX27" s="77">
        <v>0</v>
      </c>
      <c r="AY27" s="77">
        <v>0.06</v>
      </c>
      <c r="AZ27" s="77">
        <v>0</v>
      </c>
      <c r="BA27" s="77">
        <v>0.3</v>
      </c>
      <c r="BB27" s="77"/>
      <c r="BD27" s="76" t="s">
        <v>1760</v>
      </c>
      <c r="BE27" s="77">
        <v>0</v>
      </c>
      <c r="BF27" s="77">
        <v>0.06</v>
      </c>
      <c r="BG27" s="77">
        <v>0</v>
      </c>
      <c r="BH27" s="77">
        <v>0.3</v>
      </c>
      <c r="BI27" s="77"/>
    </row>
    <row r="28" spans="1:61" ht="20.100000000000001" customHeight="1" x14ac:dyDescent="0.25">
      <c r="A28" s="67" t="s">
        <v>1761</v>
      </c>
      <c r="B28" s="68">
        <v>1.24</v>
      </c>
      <c r="C28" s="68">
        <f>space_classification[[#This Row],[Lighting (A90.1 -2010)]]*0.85</f>
        <v>1.054</v>
      </c>
      <c r="D28" s="69">
        <v>2</v>
      </c>
      <c r="E28" s="68">
        <v>250</v>
      </c>
      <c r="F28" s="70">
        <v>200</v>
      </c>
      <c r="G28" s="68"/>
      <c r="H28" s="68"/>
      <c r="I28" s="68"/>
      <c r="J28" s="70"/>
      <c r="K28" s="68">
        <v>35</v>
      </c>
      <c r="L28" s="68">
        <v>10</v>
      </c>
      <c r="M28" s="68">
        <v>0.12</v>
      </c>
      <c r="N28" s="68">
        <v>0</v>
      </c>
      <c r="O28" s="70">
        <v>0</v>
      </c>
      <c r="P28" s="68">
        <v>50</v>
      </c>
      <c r="Q28" s="68">
        <v>15</v>
      </c>
      <c r="R28" s="68">
        <v>0.15</v>
      </c>
      <c r="S28" s="68">
        <v>0</v>
      </c>
      <c r="T28" s="70">
        <v>0</v>
      </c>
      <c r="V28" s="75" t="s">
        <v>1762</v>
      </c>
      <c r="W28" s="81"/>
      <c r="X28" s="81"/>
      <c r="Y28" s="81"/>
      <c r="Z28" s="81"/>
      <c r="AB28" s="76" t="s">
        <v>1763</v>
      </c>
      <c r="AC28" s="77">
        <v>5</v>
      </c>
      <c r="AD28" s="77">
        <v>0.06</v>
      </c>
      <c r="AE28" s="77">
        <v>2.5</v>
      </c>
      <c r="AF28" s="77">
        <v>0.3</v>
      </c>
      <c r="AG28" s="77">
        <v>4</v>
      </c>
      <c r="AI28" s="76" t="s">
        <v>1763</v>
      </c>
      <c r="AJ28" s="77">
        <v>5</v>
      </c>
      <c r="AK28" s="77">
        <v>0.06</v>
      </c>
      <c r="AL28" s="77">
        <v>2.5</v>
      </c>
      <c r="AM28" s="77">
        <v>0.3</v>
      </c>
      <c r="AN28" s="77">
        <v>4</v>
      </c>
      <c r="AO28" s="598"/>
      <c r="AP28" s="76" t="s">
        <v>1763</v>
      </c>
      <c r="AQ28" s="77">
        <v>5</v>
      </c>
      <c r="AR28" s="77">
        <v>0.06</v>
      </c>
      <c r="AS28" s="77">
        <v>2.5</v>
      </c>
      <c r="AT28" s="77">
        <v>0.3</v>
      </c>
      <c r="AU28" s="77">
        <v>4</v>
      </c>
      <c r="AW28" s="76" t="s">
        <v>1763</v>
      </c>
      <c r="AX28" s="77">
        <v>5</v>
      </c>
      <c r="AY28" s="77">
        <v>0.06</v>
      </c>
      <c r="AZ28" s="77">
        <v>2.5</v>
      </c>
      <c r="BA28" s="77">
        <v>0.3</v>
      </c>
      <c r="BB28" s="77">
        <v>4</v>
      </c>
      <c r="BD28" s="76" t="s">
        <v>1763</v>
      </c>
      <c r="BE28" s="77">
        <v>5</v>
      </c>
      <c r="BF28" s="77">
        <v>0.06</v>
      </c>
      <c r="BG28" s="77">
        <v>2.5</v>
      </c>
      <c r="BH28" s="77">
        <v>0.3</v>
      </c>
      <c r="BI28" s="77">
        <v>4</v>
      </c>
    </row>
    <row r="29" spans="1:61" ht="20.100000000000001" customHeight="1" x14ac:dyDescent="0.25">
      <c r="A29" s="67" t="s">
        <v>1764</v>
      </c>
      <c r="B29" s="68">
        <v>1.24</v>
      </c>
      <c r="C29" s="68">
        <f>space_classification[[#This Row],[Lighting (A90.1 -2010)]]*0.85</f>
        <v>1.054</v>
      </c>
      <c r="D29" s="69">
        <v>2</v>
      </c>
      <c r="E29" s="68">
        <v>250</v>
      </c>
      <c r="F29" s="70">
        <v>200</v>
      </c>
      <c r="G29" s="68"/>
      <c r="H29" s="68"/>
      <c r="I29" s="68"/>
      <c r="J29" s="70"/>
      <c r="K29" s="68">
        <v>25</v>
      </c>
      <c r="L29" s="68">
        <v>10</v>
      </c>
      <c r="M29" s="68">
        <v>0.12</v>
      </c>
      <c r="N29" s="68">
        <v>0</v>
      </c>
      <c r="O29" s="70">
        <v>0</v>
      </c>
      <c r="P29" s="68">
        <v>50</v>
      </c>
      <c r="Q29" s="68">
        <v>15</v>
      </c>
      <c r="R29" s="68">
        <v>0.15</v>
      </c>
      <c r="S29" s="68">
        <v>0</v>
      </c>
      <c r="T29" s="70">
        <v>0</v>
      </c>
      <c r="V29" t="s">
        <v>350</v>
      </c>
      <c r="W29" s="19">
        <v>0.5</v>
      </c>
      <c r="X29" s="19">
        <v>0.15</v>
      </c>
      <c r="Y29" s="19">
        <v>1</v>
      </c>
      <c r="Z29" s="19" t="s">
        <v>1741</v>
      </c>
      <c r="AB29" s="76" t="s">
        <v>1765</v>
      </c>
      <c r="AC29" s="77">
        <v>10</v>
      </c>
      <c r="AD29" s="77">
        <v>0.12</v>
      </c>
      <c r="AE29" s="77">
        <v>5</v>
      </c>
      <c r="AF29" s="77">
        <v>0.6</v>
      </c>
      <c r="AG29" s="77">
        <v>25</v>
      </c>
      <c r="AI29" s="76" t="s">
        <v>1765</v>
      </c>
      <c r="AJ29" s="77">
        <v>10</v>
      </c>
      <c r="AK29" s="77">
        <v>0.12</v>
      </c>
      <c r="AL29" s="77">
        <v>5</v>
      </c>
      <c r="AM29" s="77">
        <v>0.6</v>
      </c>
      <c r="AN29" s="77">
        <v>25</v>
      </c>
      <c r="AO29" s="598"/>
      <c r="AP29" s="76" t="s">
        <v>1765</v>
      </c>
      <c r="AQ29" s="77">
        <v>10</v>
      </c>
      <c r="AR29" s="77">
        <v>0.12</v>
      </c>
      <c r="AS29" s="77">
        <v>5</v>
      </c>
      <c r="AT29" s="77">
        <v>0.6</v>
      </c>
      <c r="AU29" s="77">
        <v>25</v>
      </c>
      <c r="AW29" s="76" t="s">
        <v>1765</v>
      </c>
      <c r="AX29" s="77">
        <v>10</v>
      </c>
      <c r="AY29" s="77">
        <v>0.12</v>
      </c>
      <c r="AZ29" s="77">
        <v>5</v>
      </c>
      <c r="BA29" s="77">
        <v>0.6</v>
      </c>
      <c r="BB29" s="77">
        <v>25</v>
      </c>
      <c r="BD29" s="76" t="s">
        <v>1765</v>
      </c>
      <c r="BE29" s="77">
        <v>10</v>
      </c>
      <c r="BF29" s="77">
        <v>0.12</v>
      </c>
      <c r="BG29" s="77">
        <v>5</v>
      </c>
      <c r="BH29" s="77">
        <v>0.6</v>
      </c>
      <c r="BI29" s="77">
        <v>25</v>
      </c>
    </row>
    <row r="30" spans="1:61" ht="20.100000000000001" customHeight="1" x14ac:dyDescent="0.25">
      <c r="A30" s="78" t="s">
        <v>1766</v>
      </c>
      <c r="B30" s="68">
        <v>1.5</v>
      </c>
      <c r="C30" s="68">
        <f>space_classification[[#This Row],[Lighting (A90.1 -2010)]]*0.85</f>
        <v>1.2749999999999999</v>
      </c>
      <c r="D30" s="69">
        <v>0.5</v>
      </c>
      <c r="E30" s="68">
        <v>250</v>
      </c>
      <c r="F30" s="70">
        <v>200</v>
      </c>
      <c r="G30" s="79">
        <v>2</v>
      </c>
      <c r="H30" s="79">
        <v>4</v>
      </c>
      <c r="I30" s="79">
        <v>0</v>
      </c>
      <c r="J30" s="80" t="s">
        <v>1767</v>
      </c>
      <c r="K30" s="68"/>
      <c r="L30" s="68"/>
      <c r="M30" s="68"/>
      <c r="N30" s="68"/>
      <c r="O30" s="70"/>
      <c r="P30" s="68">
        <v>8.3339999999999996</v>
      </c>
      <c r="Q30" s="68">
        <v>15</v>
      </c>
      <c r="R30" s="68">
        <v>0.15</v>
      </c>
      <c r="S30" s="68"/>
      <c r="T30" s="70"/>
      <c r="V30" t="s">
        <v>1768</v>
      </c>
      <c r="W30" s="19">
        <v>0.5</v>
      </c>
      <c r="X30" s="19">
        <v>0.15</v>
      </c>
      <c r="Y30" s="19">
        <v>1</v>
      </c>
      <c r="Z30" s="19" t="s">
        <v>1741</v>
      </c>
      <c r="AB30" s="76" t="s">
        <v>339</v>
      </c>
      <c r="AC30" s="77">
        <v>5</v>
      </c>
      <c r="AD30" s="77">
        <v>0.06</v>
      </c>
      <c r="AE30" s="77">
        <v>2.5</v>
      </c>
      <c r="AF30" s="77">
        <v>0.3</v>
      </c>
      <c r="AG30" s="77">
        <v>50</v>
      </c>
      <c r="AI30" s="76" t="s">
        <v>339</v>
      </c>
      <c r="AJ30" s="77">
        <v>5</v>
      </c>
      <c r="AK30" s="77">
        <v>0.06</v>
      </c>
      <c r="AL30" s="77">
        <v>2.5</v>
      </c>
      <c r="AM30" s="77">
        <v>0.3</v>
      </c>
      <c r="AN30" s="77">
        <v>50</v>
      </c>
      <c r="AO30" s="598"/>
      <c r="AP30" s="76" t="s">
        <v>339</v>
      </c>
      <c r="AQ30" s="77">
        <v>5</v>
      </c>
      <c r="AR30" s="77">
        <v>0.06</v>
      </c>
      <c r="AS30" s="77">
        <v>2.5</v>
      </c>
      <c r="AT30" s="77">
        <v>0.3</v>
      </c>
      <c r="AU30" s="77">
        <v>50</v>
      </c>
      <c r="AW30" s="76" t="s">
        <v>339</v>
      </c>
      <c r="AX30" s="77">
        <v>5</v>
      </c>
      <c r="AY30" s="77">
        <v>0.06</v>
      </c>
      <c r="AZ30" s="77">
        <v>2.5</v>
      </c>
      <c r="BA30" s="77">
        <v>0.3</v>
      </c>
      <c r="BB30" s="77">
        <v>50</v>
      </c>
      <c r="BD30" s="76" t="s">
        <v>339</v>
      </c>
      <c r="BE30" s="77">
        <v>5</v>
      </c>
      <c r="BF30" s="77">
        <v>0.06</v>
      </c>
      <c r="BG30" s="77">
        <v>2.5</v>
      </c>
      <c r="BH30" s="77">
        <v>0.3</v>
      </c>
      <c r="BI30" s="77">
        <v>50</v>
      </c>
    </row>
    <row r="31" spans="1:61" ht="20.100000000000001" customHeight="1" x14ac:dyDescent="0.25">
      <c r="A31" s="67" t="s">
        <v>1769</v>
      </c>
      <c r="B31" s="68">
        <v>1.5</v>
      </c>
      <c r="C31" s="68">
        <f>space_classification[[#This Row],[Lighting (A90.1 -2010)]]*0.85</f>
        <v>1.2749999999999999</v>
      </c>
      <c r="D31" s="69">
        <v>5</v>
      </c>
      <c r="E31" s="68">
        <v>250</v>
      </c>
      <c r="F31" s="70">
        <v>200</v>
      </c>
      <c r="G31" s="68"/>
      <c r="H31" s="68"/>
      <c r="I31" s="68"/>
      <c r="J31" s="70"/>
      <c r="K31" s="68">
        <v>25</v>
      </c>
      <c r="L31" s="68">
        <v>10</v>
      </c>
      <c r="M31" s="68">
        <v>0.18</v>
      </c>
      <c r="N31" s="68">
        <v>0</v>
      </c>
      <c r="O31" s="70">
        <v>0</v>
      </c>
      <c r="P31" s="68">
        <v>8.3339999999999996</v>
      </c>
      <c r="Q31" s="68">
        <v>15</v>
      </c>
      <c r="R31" s="68">
        <v>0.15</v>
      </c>
      <c r="S31" s="68">
        <v>0</v>
      </c>
      <c r="T31" s="70">
        <v>0</v>
      </c>
      <c r="V31" t="s">
        <v>338</v>
      </c>
      <c r="W31" s="19">
        <v>0.5</v>
      </c>
      <c r="X31" s="19">
        <v>0.15</v>
      </c>
      <c r="Y31" s="19">
        <v>1</v>
      </c>
      <c r="Z31" s="19" t="s">
        <v>1741</v>
      </c>
      <c r="AB31" s="76" t="s">
        <v>342</v>
      </c>
      <c r="AC31" s="77">
        <v>0</v>
      </c>
      <c r="AD31" s="77">
        <v>0.06</v>
      </c>
      <c r="AE31" s="77">
        <v>0</v>
      </c>
      <c r="AF31" s="77">
        <v>0.3</v>
      </c>
      <c r="AG31" s="77">
        <v>0</v>
      </c>
      <c r="AI31" s="76" t="s">
        <v>342</v>
      </c>
      <c r="AJ31" s="77">
        <v>0</v>
      </c>
      <c r="AK31" s="77">
        <v>0.06</v>
      </c>
      <c r="AL31" s="77">
        <v>0</v>
      </c>
      <c r="AM31" s="77">
        <v>0.3</v>
      </c>
      <c r="AN31" s="77">
        <v>0</v>
      </c>
      <c r="AO31" s="598"/>
      <c r="AP31" s="76" t="s">
        <v>342</v>
      </c>
      <c r="AQ31" s="77">
        <v>0</v>
      </c>
      <c r="AR31" s="77">
        <v>0.06</v>
      </c>
      <c r="AS31" s="77">
        <v>0</v>
      </c>
      <c r="AT31" s="77">
        <v>0.3</v>
      </c>
      <c r="AU31" s="77">
        <v>0</v>
      </c>
      <c r="AW31" s="76" t="s">
        <v>342</v>
      </c>
      <c r="AX31" s="77">
        <v>0</v>
      </c>
      <c r="AY31" s="77">
        <v>0.06</v>
      </c>
      <c r="AZ31" s="77">
        <v>0</v>
      </c>
      <c r="BA31" s="77">
        <v>0.3</v>
      </c>
      <c r="BB31" s="77">
        <v>0</v>
      </c>
      <c r="BD31" s="76" t="s">
        <v>342</v>
      </c>
      <c r="BE31" s="77">
        <v>0</v>
      </c>
      <c r="BF31" s="77">
        <v>0.06</v>
      </c>
      <c r="BG31" s="77">
        <v>0</v>
      </c>
      <c r="BH31" s="77">
        <v>0.3</v>
      </c>
      <c r="BI31" s="77">
        <v>0</v>
      </c>
    </row>
    <row r="32" spans="1:61" ht="20.100000000000001" customHeight="1" x14ac:dyDescent="0.25">
      <c r="A32" s="67" t="s">
        <v>1770</v>
      </c>
      <c r="B32" s="68">
        <v>1.81</v>
      </c>
      <c r="C32" s="68">
        <f>space_classification[[#This Row],[Lighting (A90.1 -2010)]]*0.85</f>
        <v>1.5385</v>
      </c>
      <c r="D32" s="69">
        <v>5</v>
      </c>
      <c r="E32" s="68">
        <v>250</v>
      </c>
      <c r="F32" s="70">
        <v>200</v>
      </c>
      <c r="G32" s="68"/>
      <c r="H32" s="68"/>
      <c r="I32" s="68"/>
      <c r="J32" s="70"/>
      <c r="K32" s="68">
        <v>25</v>
      </c>
      <c r="L32" s="68">
        <v>10</v>
      </c>
      <c r="M32" s="68">
        <v>0.18</v>
      </c>
      <c r="N32" s="68">
        <v>0</v>
      </c>
      <c r="O32" s="70">
        <v>0</v>
      </c>
      <c r="P32" s="68">
        <v>8.3339999999999996</v>
      </c>
      <c r="Q32" s="68">
        <v>15</v>
      </c>
      <c r="R32" s="68">
        <v>0.15</v>
      </c>
      <c r="S32" s="68">
        <v>0</v>
      </c>
      <c r="T32" s="70">
        <v>0</v>
      </c>
      <c r="V32" t="s">
        <v>341</v>
      </c>
      <c r="W32" s="19">
        <v>0.15</v>
      </c>
      <c r="X32" s="19"/>
      <c r="Y32" s="19">
        <v>1</v>
      </c>
      <c r="Z32" s="19" t="s">
        <v>1741</v>
      </c>
      <c r="AB32" s="76" t="s">
        <v>1771</v>
      </c>
      <c r="AC32" s="77">
        <v>5</v>
      </c>
      <c r="AD32" s="77">
        <v>0.06</v>
      </c>
      <c r="AE32" s="77">
        <v>2.5</v>
      </c>
      <c r="AF32" s="77">
        <v>0.3</v>
      </c>
      <c r="AG32" s="77">
        <v>70</v>
      </c>
      <c r="AI32" s="76" t="s">
        <v>1771</v>
      </c>
      <c r="AJ32" s="77">
        <v>5</v>
      </c>
      <c r="AK32" s="77">
        <v>0.06</v>
      </c>
      <c r="AL32" s="77">
        <v>2.5</v>
      </c>
      <c r="AM32" s="77">
        <v>0.3</v>
      </c>
      <c r="AN32" s="77">
        <v>70</v>
      </c>
      <c r="AO32" s="598"/>
      <c r="AP32" s="76" t="s">
        <v>1771</v>
      </c>
      <c r="AQ32" s="77">
        <v>5</v>
      </c>
      <c r="AR32" s="77">
        <v>0.06</v>
      </c>
      <c r="AS32" s="77">
        <v>2.5</v>
      </c>
      <c r="AT32" s="77">
        <v>0.3</v>
      </c>
      <c r="AU32" s="77">
        <v>70</v>
      </c>
      <c r="AW32" s="76" t="s">
        <v>1771</v>
      </c>
      <c r="AX32" s="77">
        <v>5</v>
      </c>
      <c r="AY32" s="77">
        <v>0.06</v>
      </c>
      <c r="AZ32" s="77">
        <v>2.5</v>
      </c>
      <c r="BA32" s="77">
        <v>0.3</v>
      </c>
      <c r="BB32" s="77">
        <v>70</v>
      </c>
      <c r="BD32" s="76" t="s">
        <v>1771</v>
      </c>
      <c r="BE32" s="77">
        <v>5</v>
      </c>
      <c r="BF32" s="77">
        <v>0.06</v>
      </c>
      <c r="BG32" s="77">
        <v>2.5</v>
      </c>
      <c r="BH32" s="77">
        <v>0.3</v>
      </c>
      <c r="BI32" s="77">
        <v>70</v>
      </c>
    </row>
    <row r="33" spans="1:61" ht="20.100000000000001" customHeight="1" x14ac:dyDescent="0.25">
      <c r="A33" s="67" t="s">
        <v>1772</v>
      </c>
      <c r="B33" s="68">
        <v>0.73</v>
      </c>
      <c r="C33" s="68">
        <f>space_classification[[#This Row],[Lighting (A90.1 -2010)]]*0.85</f>
        <v>0.62049999999999994</v>
      </c>
      <c r="D33" s="69">
        <v>2</v>
      </c>
      <c r="E33" s="68">
        <v>250</v>
      </c>
      <c r="F33" s="70">
        <v>200</v>
      </c>
      <c r="G33" s="68"/>
      <c r="H33" s="68"/>
      <c r="I33" s="68"/>
      <c r="J33" s="70"/>
      <c r="K33" s="68">
        <v>20</v>
      </c>
      <c r="L33" s="68">
        <v>5</v>
      </c>
      <c r="M33" s="68">
        <v>0.06</v>
      </c>
      <c r="N33" s="68">
        <v>0</v>
      </c>
      <c r="O33" s="70">
        <v>0</v>
      </c>
      <c r="P33" s="68"/>
      <c r="Q33" s="68">
        <v>15</v>
      </c>
      <c r="R33" s="68">
        <v>0.15</v>
      </c>
      <c r="S33" s="68">
        <v>0</v>
      </c>
      <c r="T33" s="70">
        <v>0</v>
      </c>
      <c r="V33" t="s">
        <v>1773</v>
      </c>
      <c r="W33" s="19">
        <v>0.15</v>
      </c>
      <c r="X33" s="19"/>
      <c r="Y33" s="19">
        <v>2</v>
      </c>
      <c r="Z33" s="19" t="s">
        <v>1774</v>
      </c>
      <c r="AB33" s="76" t="s">
        <v>1775</v>
      </c>
      <c r="AC33" s="77">
        <v>10</v>
      </c>
      <c r="AD33" s="77">
        <v>0.18</v>
      </c>
      <c r="AE33" s="77">
        <v>5</v>
      </c>
      <c r="AF33" s="77">
        <v>0.9</v>
      </c>
      <c r="AG33" s="77">
        <v>25</v>
      </c>
      <c r="AI33" s="76" t="s">
        <v>1775</v>
      </c>
      <c r="AJ33" s="77">
        <v>10</v>
      </c>
      <c r="AK33" s="77">
        <v>0.18</v>
      </c>
      <c r="AL33" s="77">
        <v>5</v>
      </c>
      <c r="AM33" s="77">
        <v>0.9</v>
      </c>
      <c r="AN33" s="77">
        <v>25</v>
      </c>
      <c r="AO33" s="598"/>
      <c r="AP33" s="76" t="s">
        <v>1775</v>
      </c>
      <c r="AQ33" s="77">
        <v>10</v>
      </c>
      <c r="AR33" s="77">
        <v>0.18</v>
      </c>
      <c r="AS33" s="77">
        <v>5</v>
      </c>
      <c r="AT33" s="77">
        <v>0.9</v>
      </c>
      <c r="AU33" s="77">
        <v>25</v>
      </c>
      <c r="AW33" s="76" t="s">
        <v>1775</v>
      </c>
      <c r="AX33" s="77">
        <v>10</v>
      </c>
      <c r="AY33" s="77">
        <v>0.18</v>
      </c>
      <c r="AZ33" s="77">
        <v>5</v>
      </c>
      <c r="BA33" s="77">
        <v>0.9</v>
      </c>
      <c r="BB33" s="77">
        <v>25</v>
      </c>
      <c r="BD33" s="76" t="s">
        <v>1775</v>
      </c>
      <c r="BE33" s="77">
        <v>10</v>
      </c>
      <c r="BF33" s="77">
        <v>0.18</v>
      </c>
      <c r="BG33" s="77">
        <v>5</v>
      </c>
      <c r="BH33" s="77">
        <v>0.9</v>
      </c>
      <c r="BI33" s="77">
        <v>25</v>
      </c>
    </row>
    <row r="34" spans="1:61" ht="20.100000000000001" customHeight="1" x14ac:dyDescent="0.25">
      <c r="A34" s="67" t="s">
        <v>1776</v>
      </c>
      <c r="B34" s="68">
        <v>1.71</v>
      </c>
      <c r="C34" s="68">
        <f>space_classification[[#This Row],[Lighting (A90.1 -2010)]]*0.85</f>
        <v>1.4535</v>
      </c>
      <c r="D34" s="69">
        <v>2</v>
      </c>
      <c r="E34" s="68">
        <v>250</v>
      </c>
      <c r="F34" s="70">
        <v>200</v>
      </c>
      <c r="G34" s="68"/>
      <c r="H34" s="68"/>
      <c r="I34" s="68"/>
      <c r="J34" s="70"/>
      <c r="K34" s="68">
        <v>4</v>
      </c>
      <c r="L34" s="68">
        <v>5</v>
      </c>
      <c r="M34" s="68">
        <v>0.06</v>
      </c>
      <c r="N34" s="68">
        <v>0</v>
      </c>
      <c r="O34" s="70">
        <v>0</v>
      </c>
      <c r="P34" s="68"/>
      <c r="Q34" s="68">
        <v>15</v>
      </c>
      <c r="R34" s="68">
        <v>0.15</v>
      </c>
      <c r="S34" s="68">
        <v>0</v>
      </c>
      <c r="T34" s="70">
        <v>0</v>
      </c>
      <c r="V34" s="75" t="s">
        <v>1777</v>
      </c>
      <c r="W34" s="81"/>
      <c r="X34" s="81"/>
      <c r="Y34" s="81"/>
      <c r="Z34" s="81"/>
      <c r="AB34" s="76" t="s">
        <v>1778</v>
      </c>
      <c r="AC34" s="77">
        <v>10</v>
      </c>
      <c r="AD34" s="77">
        <v>0.18</v>
      </c>
      <c r="AE34" s="77">
        <v>5</v>
      </c>
      <c r="AF34" s="77">
        <v>0.9</v>
      </c>
      <c r="AG34" s="77">
        <v>25</v>
      </c>
      <c r="AI34" s="76" t="s">
        <v>1778</v>
      </c>
      <c r="AJ34" s="77">
        <v>10</v>
      </c>
      <c r="AK34" s="77">
        <v>0.18</v>
      </c>
      <c r="AL34" s="77">
        <v>5</v>
      </c>
      <c r="AM34" s="77">
        <v>0.9</v>
      </c>
      <c r="AN34" s="77">
        <v>25</v>
      </c>
      <c r="AO34" s="598"/>
      <c r="AP34" s="76" t="s">
        <v>1778</v>
      </c>
      <c r="AQ34" s="77">
        <v>10</v>
      </c>
      <c r="AR34" s="77">
        <v>0.18</v>
      </c>
      <c r="AS34" s="77">
        <v>5</v>
      </c>
      <c r="AT34" s="77">
        <v>0.9</v>
      </c>
      <c r="AU34" s="77">
        <v>25</v>
      </c>
      <c r="AW34" s="76" t="s">
        <v>1778</v>
      </c>
      <c r="AX34" s="77">
        <v>10</v>
      </c>
      <c r="AY34" s="77">
        <v>0.18</v>
      </c>
      <c r="AZ34" s="77">
        <v>5</v>
      </c>
      <c r="BA34" s="77">
        <v>0.9</v>
      </c>
      <c r="BB34" s="77">
        <v>25</v>
      </c>
      <c r="BD34" s="76" t="s">
        <v>1778</v>
      </c>
      <c r="BE34" s="77">
        <v>10</v>
      </c>
      <c r="BF34" s="77">
        <v>0.18</v>
      </c>
      <c r="BG34" s="77">
        <v>5</v>
      </c>
      <c r="BH34" s="77">
        <v>0.9</v>
      </c>
      <c r="BI34" s="77">
        <v>25</v>
      </c>
    </row>
    <row r="35" spans="1:61" ht="20.100000000000001" customHeight="1" x14ac:dyDescent="0.25">
      <c r="A35" s="67" t="s">
        <v>1779</v>
      </c>
      <c r="B35" s="68">
        <v>1.71</v>
      </c>
      <c r="C35" s="68">
        <f>space_classification[[#This Row],[Lighting (A90.1 -2010)]]*0.85</f>
        <v>1.4535</v>
      </c>
      <c r="D35" s="69">
        <v>3</v>
      </c>
      <c r="E35" s="68">
        <v>250</v>
      </c>
      <c r="F35" s="70">
        <v>200</v>
      </c>
      <c r="G35" s="68"/>
      <c r="H35" s="68"/>
      <c r="I35" s="68"/>
      <c r="J35" s="70"/>
      <c r="K35" s="68">
        <v>25</v>
      </c>
      <c r="L35" s="68">
        <v>10</v>
      </c>
      <c r="M35" s="68">
        <v>0.12</v>
      </c>
      <c r="N35" s="68">
        <v>0</v>
      </c>
      <c r="O35" s="70">
        <v>0</v>
      </c>
      <c r="P35" s="68"/>
      <c r="Q35" s="68">
        <v>15</v>
      </c>
      <c r="R35" s="68">
        <v>0.15</v>
      </c>
      <c r="S35" s="68">
        <v>0</v>
      </c>
      <c r="T35" s="70">
        <v>0</v>
      </c>
      <c r="V35" t="s">
        <v>1780</v>
      </c>
      <c r="W35" s="19">
        <v>0.15</v>
      </c>
      <c r="X35" s="19"/>
      <c r="Y35" s="19">
        <v>1</v>
      </c>
      <c r="Z35" s="19" t="s">
        <v>1741</v>
      </c>
      <c r="AB35" s="76" t="s">
        <v>1781</v>
      </c>
      <c r="AC35" s="77">
        <v>5</v>
      </c>
      <c r="AD35" s="77">
        <v>0.06</v>
      </c>
      <c r="AE35" s="77">
        <v>2.5</v>
      </c>
      <c r="AF35" s="77">
        <v>0.3</v>
      </c>
      <c r="AG35" s="77">
        <v>30</v>
      </c>
      <c r="AI35" s="76" t="s">
        <v>1781</v>
      </c>
      <c r="AJ35" s="77">
        <v>5</v>
      </c>
      <c r="AK35" s="77">
        <v>0.06</v>
      </c>
      <c r="AL35" s="77">
        <v>2.5</v>
      </c>
      <c r="AM35" s="77">
        <v>0.3</v>
      </c>
      <c r="AN35" s="77">
        <v>30</v>
      </c>
      <c r="AO35" s="598"/>
      <c r="AP35" s="76" t="s">
        <v>1781</v>
      </c>
      <c r="AQ35" s="77">
        <v>5</v>
      </c>
      <c r="AR35" s="77">
        <v>0.06</v>
      </c>
      <c r="AS35" s="77">
        <v>2.5</v>
      </c>
      <c r="AT35" s="77">
        <v>0.3</v>
      </c>
      <c r="AU35" s="77">
        <v>30</v>
      </c>
      <c r="AW35" s="76" t="s">
        <v>1781</v>
      </c>
      <c r="AX35" s="77">
        <v>5</v>
      </c>
      <c r="AY35" s="77">
        <v>0.06</v>
      </c>
      <c r="AZ35" s="77">
        <v>2.5</v>
      </c>
      <c r="BA35" s="77">
        <v>0.3</v>
      </c>
      <c r="BB35" s="77">
        <v>30</v>
      </c>
      <c r="BD35" s="76" t="s">
        <v>1781</v>
      </c>
      <c r="BE35" s="77">
        <v>5</v>
      </c>
      <c r="BF35" s="77">
        <v>0.06</v>
      </c>
      <c r="BG35" s="77">
        <v>2.5</v>
      </c>
      <c r="BH35" s="77">
        <v>0.3</v>
      </c>
      <c r="BI35" s="77">
        <v>30</v>
      </c>
    </row>
    <row r="36" spans="1:61" ht="20.100000000000001" customHeight="1" x14ac:dyDescent="0.25">
      <c r="A36" s="78" t="s">
        <v>1782</v>
      </c>
      <c r="B36" s="68">
        <v>1.3</v>
      </c>
      <c r="C36" s="68">
        <f>space_classification[[#This Row],[Lighting (A90.1 -2010)]]*0.85</f>
        <v>1.105</v>
      </c>
      <c r="D36" s="69">
        <v>1</v>
      </c>
      <c r="E36" s="68">
        <v>250</v>
      </c>
      <c r="F36" s="70">
        <v>200</v>
      </c>
      <c r="G36" s="68"/>
      <c r="H36" s="68"/>
      <c r="I36" s="68"/>
      <c r="J36" s="70"/>
      <c r="K36" s="68">
        <v>50</v>
      </c>
      <c r="L36" s="68">
        <v>5</v>
      </c>
      <c r="M36" s="68">
        <v>0.06</v>
      </c>
      <c r="N36" s="68">
        <v>0</v>
      </c>
      <c r="O36" s="70">
        <v>0</v>
      </c>
      <c r="P36" s="68">
        <v>50</v>
      </c>
      <c r="Q36" s="68">
        <v>15</v>
      </c>
      <c r="R36" s="68">
        <v>0.15</v>
      </c>
      <c r="S36" s="68">
        <v>0</v>
      </c>
      <c r="T36" s="70">
        <v>0</v>
      </c>
      <c r="V36" t="s">
        <v>1783</v>
      </c>
      <c r="W36" s="19">
        <v>0.15</v>
      </c>
      <c r="X36" s="19"/>
      <c r="Y36" s="19">
        <v>1</v>
      </c>
      <c r="Z36" s="19" t="s">
        <v>1741</v>
      </c>
      <c r="AB36" s="76" t="s">
        <v>1784</v>
      </c>
      <c r="AC36" s="77">
        <v>20</v>
      </c>
      <c r="AD36" s="77">
        <v>0.06</v>
      </c>
      <c r="AE36" s="77">
        <v>10</v>
      </c>
      <c r="AF36" s="77">
        <v>0.3</v>
      </c>
      <c r="AG36" s="77">
        <v>100</v>
      </c>
      <c r="AI36" s="76" t="s">
        <v>1784</v>
      </c>
      <c r="AJ36" s="77">
        <v>20</v>
      </c>
      <c r="AK36" s="77">
        <v>0.06</v>
      </c>
      <c r="AL36" s="77">
        <v>10</v>
      </c>
      <c r="AM36" s="77">
        <v>0.3</v>
      </c>
      <c r="AN36" s="77">
        <v>100</v>
      </c>
      <c r="AO36" s="598"/>
      <c r="AP36" s="76" t="s">
        <v>1784</v>
      </c>
      <c r="AQ36" s="77">
        <v>20</v>
      </c>
      <c r="AR36" s="77">
        <v>0.06</v>
      </c>
      <c r="AS36" s="77">
        <v>10</v>
      </c>
      <c r="AT36" s="77">
        <v>0.3</v>
      </c>
      <c r="AU36" s="77">
        <v>100</v>
      </c>
      <c r="AW36" s="76" t="s">
        <v>1784</v>
      </c>
      <c r="AX36" s="77">
        <v>20</v>
      </c>
      <c r="AY36" s="77">
        <v>0.06</v>
      </c>
      <c r="AZ36" s="77">
        <v>10</v>
      </c>
      <c r="BA36" s="77">
        <v>0.3</v>
      </c>
      <c r="BB36" s="77">
        <v>100</v>
      </c>
      <c r="BD36" s="76" t="s">
        <v>1784</v>
      </c>
      <c r="BE36" s="77">
        <v>20</v>
      </c>
      <c r="BF36" s="77">
        <v>0.06</v>
      </c>
      <c r="BG36" s="77">
        <v>10</v>
      </c>
      <c r="BH36" s="77">
        <v>0.3</v>
      </c>
      <c r="BI36" s="77">
        <v>100</v>
      </c>
    </row>
    <row r="37" spans="1:61" ht="19.5" customHeight="1" x14ac:dyDescent="0.25">
      <c r="A37" s="67" t="s">
        <v>1785</v>
      </c>
      <c r="B37" s="68">
        <v>1.66</v>
      </c>
      <c r="C37" s="68">
        <f>space_classification[[#This Row],[Lighting (A90.1 -2010)]]*0.85</f>
        <v>1.4109999999999998</v>
      </c>
      <c r="D37" s="69">
        <v>5</v>
      </c>
      <c r="E37" s="68">
        <v>250</v>
      </c>
      <c r="F37" s="70">
        <v>200</v>
      </c>
      <c r="G37" s="83"/>
      <c r="H37" s="68"/>
      <c r="I37" s="68"/>
      <c r="J37" s="70"/>
      <c r="K37" s="68">
        <v>5</v>
      </c>
      <c r="L37" s="68">
        <v>5</v>
      </c>
      <c r="M37" s="68">
        <v>0.06</v>
      </c>
      <c r="N37" s="68">
        <v>0</v>
      </c>
      <c r="O37" s="70">
        <v>0</v>
      </c>
      <c r="P37" s="68">
        <v>4.16</v>
      </c>
      <c r="Q37" s="68">
        <v>15</v>
      </c>
      <c r="R37" s="68">
        <v>0.15</v>
      </c>
      <c r="S37" s="68">
        <v>0</v>
      </c>
      <c r="T37" s="70">
        <v>0</v>
      </c>
      <c r="V37" t="s">
        <v>1786</v>
      </c>
      <c r="W37" s="19">
        <v>0.15</v>
      </c>
      <c r="X37" s="19"/>
      <c r="Y37" s="19">
        <v>2</v>
      </c>
      <c r="Z37" s="19"/>
      <c r="AB37" s="76" t="s">
        <v>1787</v>
      </c>
      <c r="AC37" s="77">
        <v>5</v>
      </c>
      <c r="AD37" s="77">
        <v>0.06</v>
      </c>
      <c r="AE37" s="77">
        <v>2.5</v>
      </c>
      <c r="AF37" s="77">
        <v>0.3</v>
      </c>
      <c r="AG37" s="77">
        <v>2</v>
      </c>
      <c r="AI37" s="76" t="s">
        <v>1787</v>
      </c>
      <c r="AJ37" s="77">
        <v>5</v>
      </c>
      <c r="AK37" s="77">
        <v>0.06</v>
      </c>
      <c r="AL37" s="77">
        <v>2.5</v>
      </c>
      <c r="AM37" s="77">
        <v>0.3</v>
      </c>
      <c r="AN37" s="77">
        <v>2</v>
      </c>
      <c r="AO37" s="598"/>
      <c r="AP37" s="76" t="s">
        <v>1787</v>
      </c>
      <c r="AQ37" s="77">
        <v>5</v>
      </c>
      <c r="AR37" s="77">
        <v>0.06</v>
      </c>
      <c r="AS37" s="77">
        <v>2.5</v>
      </c>
      <c r="AT37" s="77">
        <v>0.3</v>
      </c>
      <c r="AU37" s="77">
        <v>2</v>
      </c>
      <c r="AW37" s="76" t="s">
        <v>1787</v>
      </c>
      <c r="AX37" s="77">
        <v>5</v>
      </c>
      <c r="AY37" s="77">
        <v>0.06</v>
      </c>
      <c r="AZ37" s="77">
        <v>2.5</v>
      </c>
      <c r="BA37" s="77">
        <v>0.3</v>
      </c>
      <c r="BB37" s="77">
        <v>2</v>
      </c>
      <c r="BD37" s="76" t="s">
        <v>1787</v>
      </c>
      <c r="BE37" s="77">
        <v>5</v>
      </c>
      <c r="BF37" s="77">
        <v>0.06</v>
      </c>
      <c r="BG37" s="77">
        <v>2.5</v>
      </c>
      <c r="BH37" s="77">
        <v>0.3</v>
      </c>
      <c r="BI37" s="77">
        <v>2</v>
      </c>
    </row>
    <row r="38" spans="1:61" ht="20.100000000000001" customHeight="1" x14ac:dyDescent="0.25">
      <c r="A38" s="67" t="s">
        <v>1788</v>
      </c>
      <c r="B38" s="68">
        <v>0.72</v>
      </c>
      <c r="C38" s="68">
        <f>space_classification[[#This Row],[Lighting (A90.1 -2010)]]*0.85</f>
        <v>0.61199999999999999</v>
      </c>
      <c r="D38" s="69">
        <v>4</v>
      </c>
      <c r="E38" s="68">
        <v>250</v>
      </c>
      <c r="F38" s="70">
        <v>200</v>
      </c>
      <c r="G38" s="68"/>
      <c r="H38" s="68"/>
      <c r="I38" s="68"/>
      <c r="J38" s="70"/>
      <c r="K38" s="68">
        <v>0</v>
      </c>
      <c r="L38" s="68">
        <v>0</v>
      </c>
      <c r="M38" s="68">
        <v>0</v>
      </c>
      <c r="N38" s="68">
        <v>0.5</v>
      </c>
      <c r="O38" s="70">
        <v>0</v>
      </c>
      <c r="P38" s="68">
        <v>0</v>
      </c>
      <c r="Q38" s="68">
        <v>15</v>
      </c>
      <c r="R38" s="68">
        <v>0.15</v>
      </c>
      <c r="S38" s="68">
        <v>0.5</v>
      </c>
      <c r="T38" s="70">
        <v>0</v>
      </c>
      <c r="V38" t="s">
        <v>1789</v>
      </c>
      <c r="W38" s="19">
        <v>0.15</v>
      </c>
      <c r="X38" s="19"/>
      <c r="Y38" s="19">
        <v>1</v>
      </c>
      <c r="Z38" s="19"/>
      <c r="AB38" s="76" t="s">
        <v>1790</v>
      </c>
      <c r="AC38" s="77">
        <v>10</v>
      </c>
      <c r="AD38" s="77">
        <v>0</v>
      </c>
      <c r="AE38" s="77">
        <v>5</v>
      </c>
      <c r="AF38" s="77">
        <v>0</v>
      </c>
      <c r="AG38" s="77">
        <v>0</v>
      </c>
      <c r="AI38" s="76" t="s">
        <v>1790</v>
      </c>
      <c r="AJ38" s="77">
        <v>10</v>
      </c>
      <c r="AK38" s="77">
        <v>0</v>
      </c>
      <c r="AL38" s="77">
        <v>5</v>
      </c>
      <c r="AM38" s="77">
        <v>0</v>
      </c>
      <c r="AN38" s="77">
        <v>0</v>
      </c>
      <c r="AO38" s="598"/>
      <c r="AP38" s="76" t="s">
        <v>1790</v>
      </c>
      <c r="AQ38" s="77">
        <v>10</v>
      </c>
      <c r="AR38" s="77">
        <v>0</v>
      </c>
      <c r="AS38" s="77">
        <v>5</v>
      </c>
      <c r="AT38" s="77">
        <v>0</v>
      </c>
      <c r="AU38" s="77">
        <v>0</v>
      </c>
      <c r="AW38" s="76" t="s">
        <v>1790</v>
      </c>
      <c r="AX38" s="77">
        <v>10</v>
      </c>
      <c r="AY38" s="77">
        <v>0</v>
      </c>
      <c r="AZ38" s="77">
        <v>5</v>
      </c>
      <c r="BA38" s="77">
        <v>0</v>
      </c>
      <c r="BB38" s="77">
        <v>0</v>
      </c>
      <c r="BD38" s="76" t="s">
        <v>1790</v>
      </c>
      <c r="BE38" s="77">
        <v>10</v>
      </c>
      <c r="BF38" s="77">
        <v>0</v>
      </c>
      <c r="BG38" s="77">
        <v>5</v>
      </c>
      <c r="BH38" s="77">
        <v>0</v>
      </c>
      <c r="BI38" s="77">
        <v>0</v>
      </c>
    </row>
    <row r="39" spans="1:61" ht="20.100000000000001" customHeight="1" x14ac:dyDescent="0.25">
      <c r="A39" s="67" t="s">
        <v>1791</v>
      </c>
      <c r="B39" s="68">
        <v>0.72</v>
      </c>
      <c r="C39" s="68">
        <f>space_classification[[#This Row],[Lighting (A90.1 -2010)]]*0.85</f>
        <v>0.61199999999999999</v>
      </c>
      <c r="D39" s="69">
        <v>0</v>
      </c>
      <c r="E39" s="68">
        <v>250</v>
      </c>
      <c r="F39" s="70">
        <v>200</v>
      </c>
      <c r="G39" s="68"/>
      <c r="H39" s="68"/>
      <c r="I39" s="68"/>
      <c r="J39" s="70"/>
      <c r="K39" s="68">
        <v>0</v>
      </c>
      <c r="L39" s="68">
        <v>0</v>
      </c>
      <c r="M39" s="68">
        <v>0</v>
      </c>
      <c r="N39" s="68">
        <v>0</v>
      </c>
      <c r="O39" s="70">
        <v>0</v>
      </c>
      <c r="P39" s="68">
        <v>0</v>
      </c>
      <c r="Q39" s="68">
        <v>15</v>
      </c>
      <c r="R39" s="68">
        <v>0.15</v>
      </c>
      <c r="S39" s="68">
        <v>0</v>
      </c>
      <c r="T39" s="70">
        <v>0</v>
      </c>
      <c r="V39" t="s">
        <v>1792</v>
      </c>
      <c r="W39" s="19">
        <v>0.5</v>
      </c>
      <c r="X39" s="19">
        <v>0.15</v>
      </c>
      <c r="Y39" s="19">
        <v>1</v>
      </c>
      <c r="Z39" s="19" t="s">
        <v>1741</v>
      </c>
      <c r="AB39" s="76" t="s">
        <v>1793</v>
      </c>
      <c r="AC39" s="77">
        <v>7.5</v>
      </c>
      <c r="AD39" s="77">
        <v>0.18</v>
      </c>
      <c r="AE39" s="77">
        <v>3.8</v>
      </c>
      <c r="AF39" s="77">
        <v>0.9</v>
      </c>
      <c r="AG39" s="77">
        <v>120</v>
      </c>
      <c r="AI39" s="76" t="s">
        <v>1793</v>
      </c>
      <c r="AJ39" s="77">
        <v>7.5</v>
      </c>
      <c r="AK39" s="77">
        <v>0.18</v>
      </c>
      <c r="AL39" s="77">
        <v>3.8</v>
      </c>
      <c r="AM39" s="77">
        <v>0.9</v>
      </c>
      <c r="AN39" s="77">
        <v>120</v>
      </c>
      <c r="AO39" s="598"/>
      <c r="AP39" s="76" t="s">
        <v>1793</v>
      </c>
      <c r="AQ39" s="77">
        <v>7.5</v>
      </c>
      <c r="AR39" s="77">
        <v>0.18</v>
      </c>
      <c r="AS39" s="77">
        <v>3.8</v>
      </c>
      <c r="AT39" s="77">
        <v>0.9</v>
      </c>
      <c r="AU39" s="77">
        <v>120</v>
      </c>
      <c r="AW39" s="76" t="s">
        <v>1793</v>
      </c>
      <c r="AX39" s="77">
        <v>7.5</v>
      </c>
      <c r="AY39" s="77">
        <v>0.18</v>
      </c>
      <c r="AZ39" s="77">
        <v>3.8</v>
      </c>
      <c r="BA39" s="77">
        <v>0.9</v>
      </c>
      <c r="BB39" s="77">
        <v>120</v>
      </c>
      <c r="BD39" s="76" t="s">
        <v>1793</v>
      </c>
      <c r="BE39" s="77">
        <v>7.5</v>
      </c>
      <c r="BF39" s="77">
        <v>0.18</v>
      </c>
      <c r="BG39" s="77">
        <v>3.8</v>
      </c>
      <c r="BH39" s="77">
        <v>0.9</v>
      </c>
      <c r="BI39" s="77">
        <v>120</v>
      </c>
    </row>
    <row r="40" spans="1:61" ht="20.100000000000001" customHeight="1" x14ac:dyDescent="0.25">
      <c r="A40" s="67" t="s">
        <v>1794</v>
      </c>
      <c r="B40" s="68">
        <v>0.66</v>
      </c>
      <c r="C40" s="68">
        <f>space_classification[[#This Row],[Lighting (A90.1 -2010)]]*0.85</f>
        <v>0.56100000000000005</v>
      </c>
      <c r="D40" s="69">
        <v>0.1</v>
      </c>
      <c r="E40" s="68">
        <v>250</v>
      </c>
      <c r="F40" s="70">
        <v>200</v>
      </c>
      <c r="G40" s="68"/>
      <c r="H40" s="68"/>
      <c r="I40" s="68"/>
      <c r="J40" s="70"/>
      <c r="K40" s="68">
        <v>0</v>
      </c>
      <c r="L40" s="68">
        <v>0</v>
      </c>
      <c r="M40" s="68">
        <v>0.06</v>
      </c>
      <c r="N40" s="68">
        <v>0</v>
      </c>
      <c r="O40" s="70">
        <v>0</v>
      </c>
      <c r="P40" s="68">
        <v>0</v>
      </c>
      <c r="Q40" s="68">
        <v>15</v>
      </c>
      <c r="R40" s="68">
        <v>0.15</v>
      </c>
      <c r="S40" s="68">
        <v>0</v>
      </c>
      <c r="T40" s="70">
        <v>0</v>
      </c>
      <c r="V40" t="s">
        <v>1795</v>
      </c>
      <c r="W40" s="19">
        <v>0.5</v>
      </c>
      <c r="X40" s="19"/>
      <c r="Y40" s="19">
        <v>1</v>
      </c>
      <c r="Z40" s="19" t="s">
        <v>1741</v>
      </c>
      <c r="AB40" s="76" t="s">
        <v>1796</v>
      </c>
      <c r="AC40" s="77">
        <v>7.5</v>
      </c>
      <c r="AD40" s="77">
        <v>0.18</v>
      </c>
      <c r="AE40" s="77">
        <v>3.8</v>
      </c>
      <c r="AF40" s="77">
        <v>0.9</v>
      </c>
      <c r="AG40" s="77">
        <v>20</v>
      </c>
      <c r="AI40" s="76" t="s">
        <v>1796</v>
      </c>
      <c r="AJ40" s="77">
        <v>7.5</v>
      </c>
      <c r="AK40" s="77">
        <v>0.18</v>
      </c>
      <c r="AL40" s="77">
        <v>3.8</v>
      </c>
      <c r="AM40" s="77">
        <v>0.9</v>
      </c>
      <c r="AN40" s="77">
        <v>20</v>
      </c>
      <c r="AO40" s="598"/>
      <c r="AP40" s="76" t="s">
        <v>1796</v>
      </c>
      <c r="AQ40" s="77">
        <v>7.5</v>
      </c>
      <c r="AR40" s="77">
        <v>0.18</v>
      </c>
      <c r="AS40" s="77">
        <v>3.8</v>
      </c>
      <c r="AT40" s="77">
        <v>0.9</v>
      </c>
      <c r="AU40" s="77">
        <v>20</v>
      </c>
      <c r="AW40" s="76" t="s">
        <v>1796</v>
      </c>
      <c r="AX40" s="77">
        <v>7.5</v>
      </c>
      <c r="AY40" s="77">
        <v>0.18</v>
      </c>
      <c r="AZ40" s="77">
        <v>3.8</v>
      </c>
      <c r="BA40" s="77">
        <v>0.9</v>
      </c>
      <c r="BB40" s="77">
        <v>20</v>
      </c>
      <c r="BD40" s="76" t="s">
        <v>1796</v>
      </c>
      <c r="BE40" s="77">
        <v>7.5</v>
      </c>
      <c r="BF40" s="77">
        <v>0.18</v>
      </c>
      <c r="BG40" s="77">
        <v>3.8</v>
      </c>
      <c r="BH40" s="77">
        <v>0.9</v>
      </c>
      <c r="BI40" s="77">
        <v>20</v>
      </c>
    </row>
    <row r="41" spans="1:61" ht="20.100000000000001" customHeight="1" x14ac:dyDescent="0.25">
      <c r="A41" s="67" t="s">
        <v>1797</v>
      </c>
      <c r="B41" s="68">
        <v>1</v>
      </c>
      <c r="C41" s="68">
        <f>space_classification[[#This Row],[Lighting (A90.1 -2010)]]*0.85</f>
        <v>0.85</v>
      </c>
      <c r="D41" s="69">
        <v>0.1</v>
      </c>
      <c r="E41" s="68">
        <v>250</v>
      </c>
      <c r="F41" s="70">
        <v>200</v>
      </c>
      <c r="G41" s="68">
        <v>2</v>
      </c>
      <c r="H41" s="68">
        <v>4</v>
      </c>
      <c r="I41" s="68">
        <v>0</v>
      </c>
      <c r="J41" s="70" t="s">
        <v>240</v>
      </c>
      <c r="K41" s="68"/>
      <c r="L41" s="68"/>
      <c r="M41" s="68"/>
      <c r="N41" s="68"/>
      <c r="O41" s="70"/>
      <c r="P41" s="68">
        <v>0</v>
      </c>
      <c r="Q41" s="68">
        <v>15</v>
      </c>
      <c r="R41" s="68">
        <v>0.15</v>
      </c>
      <c r="S41" s="68"/>
      <c r="T41" s="70"/>
      <c r="V41" s="75" t="s">
        <v>1798</v>
      </c>
      <c r="W41" s="81"/>
      <c r="X41" s="81"/>
      <c r="Y41" s="81"/>
      <c r="Z41" s="81"/>
      <c r="AB41" s="76" t="s">
        <v>1799</v>
      </c>
      <c r="AC41" s="77">
        <v>10</v>
      </c>
      <c r="AD41" s="77">
        <v>0.18</v>
      </c>
      <c r="AE41" s="77">
        <v>5</v>
      </c>
      <c r="AF41" s="77">
        <v>0.9</v>
      </c>
      <c r="AG41" s="77">
        <v>7</v>
      </c>
      <c r="AI41" s="76" t="s">
        <v>1799</v>
      </c>
      <c r="AJ41" s="77">
        <v>10</v>
      </c>
      <c r="AK41" s="77">
        <v>0.18</v>
      </c>
      <c r="AL41" s="77">
        <v>5</v>
      </c>
      <c r="AM41" s="77">
        <v>0.9</v>
      </c>
      <c r="AN41" s="77">
        <v>7</v>
      </c>
      <c r="AO41" s="598"/>
      <c r="AP41" s="76" t="s">
        <v>1799</v>
      </c>
      <c r="AQ41" s="77">
        <v>10</v>
      </c>
      <c r="AR41" s="77">
        <v>0.18</v>
      </c>
      <c r="AS41" s="77">
        <v>5</v>
      </c>
      <c r="AT41" s="77">
        <v>0.9</v>
      </c>
      <c r="AU41" s="77">
        <v>7</v>
      </c>
      <c r="AW41" s="76" t="s">
        <v>1799</v>
      </c>
      <c r="AX41" s="77">
        <v>10</v>
      </c>
      <c r="AY41" s="77">
        <v>0.18</v>
      </c>
      <c r="AZ41" s="77">
        <v>5</v>
      </c>
      <c r="BA41" s="77">
        <v>0.9</v>
      </c>
      <c r="BB41" s="77">
        <v>7</v>
      </c>
      <c r="BD41" s="76" t="s">
        <v>1799</v>
      </c>
      <c r="BE41" s="77">
        <v>10</v>
      </c>
      <c r="BF41" s="77">
        <v>0.18</v>
      </c>
      <c r="BG41" s="77">
        <v>5</v>
      </c>
      <c r="BH41" s="77">
        <v>0.9</v>
      </c>
      <c r="BI41" s="77">
        <v>7</v>
      </c>
    </row>
    <row r="42" spans="1:61" ht="20.100000000000001" customHeight="1" x14ac:dyDescent="0.25">
      <c r="A42" s="67" t="s">
        <v>1771</v>
      </c>
      <c r="B42" s="68">
        <v>1.72</v>
      </c>
      <c r="C42" s="68">
        <f>space_classification[[#This Row],[Lighting (A90.1 -2010)]]*0.85</f>
        <v>1.462</v>
      </c>
      <c r="D42" s="69">
        <v>0.5</v>
      </c>
      <c r="E42" s="68">
        <v>250</v>
      </c>
      <c r="F42" s="70">
        <v>200</v>
      </c>
      <c r="G42" s="68"/>
      <c r="H42" s="68"/>
      <c r="I42" s="68"/>
      <c r="J42" s="70"/>
      <c r="K42" s="68">
        <v>70</v>
      </c>
      <c r="L42" s="68">
        <v>5</v>
      </c>
      <c r="M42" s="68">
        <v>0.06</v>
      </c>
      <c r="N42" s="68">
        <v>0</v>
      </c>
      <c r="O42" s="70">
        <v>0</v>
      </c>
      <c r="P42" s="68"/>
      <c r="Q42" s="68">
        <v>15</v>
      </c>
      <c r="R42" s="68">
        <v>0.15</v>
      </c>
      <c r="S42" s="68">
        <v>0</v>
      </c>
      <c r="T42" s="70">
        <v>0</v>
      </c>
      <c r="V42" t="s">
        <v>1800</v>
      </c>
      <c r="W42" s="19">
        <v>0.5</v>
      </c>
      <c r="X42" s="19">
        <v>0.15</v>
      </c>
      <c r="Y42" s="19">
        <v>1</v>
      </c>
      <c r="Z42" s="19"/>
      <c r="AB42" s="76" t="s">
        <v>1801</v>
      </c>
      <c r="AC42" s="77">
        <v>5</v>
      </c>
      <c r="AD42" s="77">
        <v>0.06</v>
      </c>
      <c r="AE42" s="77">
        <v>2.5</v>
      </c>
      <c r="AF42" s="77">
        <v>0.3</v>
      </c>
      <c r="AG42" s="77">
        <v>15</v>
      </c>
      <c r="AI42" s="76" t="s">
        <v>1801</v>
      </c>
      <c r="AJ42" s="77">
        <v>5</v>
      </c>
      <c r="AK42" s="77">
        <v>0.06</v>
      </c>
      <c r="AL42" s="77">
        <v>2.5</v>
      </c>
      <c r="AM42" s="77">
        <v>0.3</v>
      </c>
      <c r="AN42" s="77">
        <v>15</v>
      </c>
      <c r="AO42" s="598"/>
      <c r="AP42" s="76" t="s">
        <v>1801</v>
      </c>
      <c r="AQ42" s="77">
        <v>5</v>
      </c>
      <c r="AR42" s="77">
        <v>0.06</v>
      </c>
      <c r="AS42" s="77">
        <v>2.5</v>
      </c>
      <c r="AT42" s="77">
        <v>0.3</v>
      </c>
      <c r="AU42" s="77">
        <v>15</v>
      </c>
      <c r="AW42" s="76" t="s">
        <v>1801</v>
      </c>
      <c r="AX42" s="77">
        <v>5</v>
      </c>
      <c r="AY42" s="77">
        <v>0.06</v>
      </c>
      <c r="AZ42" s="77">
        <v>2.5</v>
      </c>
      <c r="BA42" s="77">
        <v>0.3</v>
      </c>
      <c r="BB42" s="77">
        <v>15</v>
      </c>
      <c r="BD42" s="76" t="s">
        <v>1801</v>
      </c>
      <c r="BE42" s="77">
        <v>5</v>
      </c>
      <c r="BF42" s="77">
        <v>0.06</v>
      </c>
      <c r="BG42" s="77">
        <v>2.5</v>
      </c>
      <c r="BH42" s="77">
        <v>0.3</v>
      </c>
      <c r="BI42" s="77">
        <v>15</v>
      </c>
    </row>
    <row r="43" spans="1:61" ht="20.100000000000001" customHeight="1" x14ac:dyDescent="0.25">
      <c r="A43" s="84" t="s">
        <v>1802</v>
      </c>
      <c r="B43" s="68">
        <v>2.2000000000000002</v>
      </c>
      <c r="C43" s="68">
        <f>space_classification[[#This Row],[Lighting (A90.1 -2010)]]*0.85</f>
        <v>1.87</v>
      </c>
      <c r="D43" s="69">
        <v>30</v>
      </c>
      <c r="E43" s="68">
        <v>250</v>
      </c>
      <c r="F43" s="70">
        <v>475</v>
      </c>
      <c r="G43" s="68">
        <v>2</v>
      </c>
      <c r="H43" s="68">
        <v>6</v>
      </c>
      <c r="I43" s="68">
        <v>0</v>
      </c>
      <c r="J43" s="70" t="s">
        <v>240</v>
      </c>
      <c r="K43" s="68"/>
      <c r="L43" s="68"/>
      <c r="M43" s="68"/>
      <c r="N43" s="68"/>
      <c r="O43" s="70"/>
      <c r="P43" s="68"/>
      <c r="Q43" s="68">
        <v>15</v>
      </c>
      <c r="R43" s="68">
        <v>0.15</v>
      </c>
      <c r="S43" s="68"/>
      <c r="T43" s="70"/>
      <c r="V43" t="s">
        <v>347</v>
      </c>
      <c r="W43" s="19">
        <v>0.5</v>
      </c>
      <c r="X43" s="19">
        <v>0.15</v>
      </c>
      <c r="Y43" s="19">
        <v>1</v>
      </c>
      <c r="Z43" s="19" t="s">
        <v>1741</v>
      </c>
      <c r="AB43" s="76" t="s">
        <v>1803</v>
      </c>
      <c r="AC43" s="77">
        <v>20</v>
      </c>
      <c r="AD43" s="77">
        <v>0.18</v>
      </c>
      <c r="AE43" s="77">
        <v>10</v>
      </c>
      <c r="AF43" s="77">
        <v>0.9</v>
      </c>
      <c r="AG43" s="77">
        <v>7</v>
      </c>
      <c r="AI43" s="76" t="s">
        <v>1803</v>
      </c>
      <c r="AJ43" s="77">
        <v>20</v>
      </c>
      <c r="AK43" s="77">
        <v>0.18</v>
      </c>
      <c r="AL43" s="77">
        <v>10</v>
      </c>
      <c r="AM43" s="77">
        <v>0.9</v>
      </c>
      <c r="AN43" s="77">
        <v>7</v>
      </c>
      <c r="AO43" s="598"/>
      <c r="AP43" s="76" t="s">
        <v>1803</v>
      </c>
      <c r="AQ43" s="77">
        <v>20</v>
      </c>
      <c r="AR43" s="77">
        <v>0.18</v>
      </c>
      <c r="AS43" s="77">
        <v>10</v>
      </c>
      <c r="AT43" s="77">
        <v>0.9</v>
      </c>
      <c r="AU43" s="77">
        <v>7</v>
      </c>
      <c r="AW43" s="76" t="s">
        <v>1803</v>
      </c>
      <c r="AX43" s="77">
        <v>20</v>
      </c>
      <c r="AY43" s="77">
        <v>0.18</v>
      </c>
      <c r="AZ43" s="77">
        <v>10</v>
      </c>
      <c r="BA43" s="77">
        <v>0.9</v>
      </c>
      <c r="BB43" s="77">
        <v>7</v>
      </c>
      <c r="BD43" s="76" t="s">
        <v>1803</v>
      </c>
      <c r="BE43" s="77">
        <v>20</v>
      </c>
      <c r="BF43" s="77">
        <v>0.18</v>
      </c>
      <c r="BG43" s="77">
        <v>10</v>
      </c>
      <c r="BH43" s="77">
        <v>0.9</v>
      </c>
      <c r="BI43" s="77">
        <v>7</v>
      </c>
    </row>
    <row r="44" spans="1:61" ht="20.100000000000001" customHeight="1" x14ac:dyDescent="0.25">
      <c r="A44" s="67" t="s">
        <v>1804</v>
      </c>
      <c r="B44" s="68">
        <v>1.2</v>
      </c>
      <c r="C44" s="68">
        <f>space_classification[[#This Row],[Lighting (A90.1 -2010)]]*0.85</f>
        <v>1.02</v>
      </c>
      <c r="D44" s="69">
        <v>0</v>
      </c>
      <c r="E44" s="68">
        <v>305</v>
      </c>
      <c r="F44" s="70">
        <v>545</v>
      </c>
      <c r="G44" s="68"/>
      <c r="H44" s="68"/>
      <c r="I44" s="68"/>
      <c r="J44" s="70"/>
      <c r="K44" s="68">
        <v>100</v>
      </c>
      <c r="L44" s="68">
        <v>20</v>
      </c>
      <c r="M44" s="68">
        <v>0.06</v>
      </c>
      <c r="N44" s="68">
        <v>0</v>
      </c>
      <c r="O44" s="70">
        <v>0</v>
      </c>
      <c r="P44" s="68"/>
      <c r="Q44" s="68">
        <v>15</v>
      </c>
      <c r="R44" s="68">
        <v>0.15</v>
      </c>
      <c r="S44" s="68">
        <v>0</v>
      </c>
      <c r="T44" s="70">
        <v>0</v>
      </c>
      <c r="V44" t="s">
        <v>1805</v>
      </c>
      <c r="W44" s="19">
        <v>0.15</v>
      </c>
      <c r="X44" s="19"/>
      <c r="Y44" s="19">
        <v>1</v>
      </c>
      <c r="Z44" s="19"/>
      <c r="AB44" s="76" t="s">
        <v>1806</v>
      </c>
      <c r="AC44" s="77">
        <v>20</v>
      </c>
      <c r="AD44" s="77">
        <v>0.06</v>
      </c>
      <c r="AE44" s="77">
        <v>10</v>
      </c>
      <c r="AF44" s="77">
        <v>0.3</v>
      </c>
      <c r="AG44" s="77">
        <v>40</v>
      </c>
      <c r="AI44" s="76" t="s">
        <v>1806</v>
      </c>
      <c r="AJ44" s="77">
        <v>20</v>
      </c>
      <c r="AK44" s="77">
        <v>0.06</v>
      </c>
      <c r="AL44" s="77">
        <v>10</v>
      </c>
      <c r="AM44" s="77">
        <v>0.3</v>
      </c>
      <c r="AN44" s="77">
        <v>40</v>
      </c>
      <c r="AO44" s="598"/>
      <c r="AP44" s="76" t="s">
        <v>1806</v>
      </c>
      <c r="AQ44" s="77">
        <v>20</v>
      </c>
      <c r="AR44" s="77">
        <v>0.06</v>
      </c>
      <c r="AS44" s="77">
        <v>10</v>
      </c>
      <c r="AT44" s="77">
        <v>0.3</v>
      </c>
      <c r="AU44" s="77">
        <v>40</v>
      </c>
      <c r="AW44" s="76" t="s">
        <v>1806</v>
      </c>
      <c r="AX44" s="77">
        <v>20</v>
      </c>
      <c r="AY44" s="77">
        <v>0.06</v>
      </c>
      <c r="AZ44" s="77">
        <v>10</v>
      </c>
      <c r="BA44" s="77">
        <v>0.3</v>
      </c>
      <c r="BB44" s="77">
        <v>40</v>
      </c>
      <c r="BD44" s="76" t="s">
        <v>1806</v>
      </c>
      <c r="BE44" s="77">
        <v>20</v>
      </c>
      <c r="BF44" s="77">
        <v>0.06</v>
      </c>
      <c r="BG44" s="77">
        <v>10</v>
      </c>
      <c r="BH44" s="77">
        <v>0.3</v>
      </c>
      <c r="BI44" s="77">
        <v>40</v>
      </c>
    </row>
    <row r="45" spans="1:61" ht="20.100000000000001" customHeight="1" x14ac:dyDescent="0.25">
      <c r="A45" s="67" t="s">
        <v>1807</v>
      </c>
      <c r="B45" s="68">
        <v>0.5</v>
      </c>
      <c r="C45" s="68">
        <f>space_classification[[#This Row],[Lighting (A90.1 -2010)]]*0.85</f>
        <v>0.42499999999999999</v>
      </c>
      <c r="D45" s="69">
        <v>0</v>
      </c>
      <c r="E45" s="68">
        <v>250</v>
      </c>
      <c r="F45" s="70">
        <v>200</v>
      </c>
      <c r="G45" s="68">
        <v>2</v>
      </c>
      <c r="H45" s="68">
        <v>12</v>
      </c>
      <c r="I45" s="68">
        <v>12</v>
      </c>
      <c r="J45" s="70" t="s">
        <v>1727</v>
      </c>
      <c r="K45" s="68">
        <v>0</v>
      </c>
      <c r="L45" s="68">
        <v>0</v>
      </c>
      <c r="M45" s="68">
        <v>0</v>
      </c>
      <c r="N45" s="68">
        <v>1</v>
      </c>
      <c r="O45" s="70">
        <v>0</v>
      </c>
      <c r="P45" s="68"/>
      <c r="Q45" s="68">
        <v>15</v>
      </c>
      <c r="R45" s="68">
        <v>0.15</v>
      </c>
      <c r="S45" s="68">
        <v>1</v>
      </c>
      <c r="T45" s="70">
        <v>0</v>
      </c>
      <c r="V45" t="s">
        <v>343</v>
      </c>
      <c r="W45" s="19">
        <v>0.15</v>
      </c>
      <c r="X45" s="19"/>
      <c r="Y45" s="19">
        <v>1</v>
      </c>
      <c r="Z45" s="19" t="s">
        <v>1741</v>
      </c>
      <c r="AB45" s="76" t="s">
        <v>1808</v>
      </c>
      <c r="AC45" s="77">
        <v>20</v>
      </c>
      <c r="AD45" s="77">
        <v>0.06</v>
      </c>
      <c r="AE45" s="77">
        <v>10</v>
      </c>
      <c r="AF45" s="77">
        <v>0.3</v>
      </c>
      <c r="AG45" s="77">
        <v>10</v>
      </c>
      <c r="AI45" s="76" t="s">
        <v>1808</v>
      </c>
      <c r="AJ45" s="77">
        <v>20</v>
      </c>
      <c r="AK45" s="77">
        <v>0.06</v>
      </c>
      <c r="AL45" s="77">
        <v>10</v>
      </c>
      <c r="AM45" s="77">
        <v>0.3</v>
      </c>
      <c r="AN45" s="77">
        <v>10</v>
      </c>
      <c r="AO45" s="598"/>
      <c r="AP45" s="76" t="s">
        <v>1808</v>
      </c>
      <c r="AQ45" s="77">
        <v>20</v>
      </c>
      <c r="AR45" s="77">
        <v>0.06</v>
      </c>
      <c r="AS45" s="77">
        <v>10</v>
      </c>
      <c r="AT45" s="77">
        <v>0.3</v>
      </c>
      <c r="AU45" s="77">
        <v>10</v>
      </c>
      <c r="AW45" s="76" t="s">
        <v>1808</v>
      </c>
      <c r="AX45" s="77">
        <v>20</v>
      </c>
      <c r="AY45" s="77">
        <v>0.06</v>
      </c>
      <c r="AZ45" s="77">
        <v>10</v>
      </c>
      <c r="BA45" s="77">
        <v>0.3</v>
      </c>
      <c r="BB45" s="77">
        <v>10</v>
      </c>
      <c r="BD45" s="76" t="s">
        <v>1808</v>
      </c>
      <c r="BE45" s="77">
        <v>20</v>
      </c>
      <c r="BF45" s="77">
        <v>0.06</v>
      </c>
      <c r="BG45" s="77">
        <v>10</v>
      </c>
      <c r="BH45" s="77">
        <v>0.3</v>
      </c>
      <c r="BI45" s="77">
        <v>10</v>
      </c>
    </row>
    <row r="46" spans="1:61" ht="20.100000000000001" customHeight="1" x14ac:dyDescent="0.25">
      <c r="A46" s="78" t="s">
        <v>1809</v>
      </c>
      <c r="B46" s="68">
        <v>1.24</v>
      </c>
      <c r="C46" s="68">
        <f>space_classification[[#This Row],[Lighting (A90.1 -2010)]]*0.85</f>
        <v>1.054</v>
      </c>
      <c r="D46" s="69">
        <v>1</v>
      </c>
      <c r="E46" s="68">
        <v>250</v>
      </c>
      <c r="F46" s="70">
        <v>200</v>
      </c>
      <c r="G46" s="68"/>
      <c r="H46" s="68"/>
      <c r="I46" s="68"/>
      <c r="J46" s="70"/>
      <c r="K46" s="68">
        <v>25</v>
      </c>
      <c r="L46" s="68">
        <v>10</v>
      </c>
      <c r="M46" s="68">
        <v>0.18</v>
      </c>
      <c r="N46" s="68">
        <v>0</v>
      </c>
      <c r="O46" s="70">
        <v>0</v>
      </c>
      <c r="P46" s="68">
        <v>28.57</v>
      </c>
      <c r="Q46" s="68">
        <v>15</v>
      </c>
      <c r="R46" s="68">
        <v>0.15</v>
      </c>
      <c r="S46" s="68">
        <v>0</v>
      </c>
      <c r="T46" s="70">
        <v>0</v>
      </c>
      <c r="V46" t="s">
        <v>1810</v>
      </c>
      <c r="W46" s="19">
        <v>0.15</v>
      </c>
      <c r="X46" s="19"/>
      <c r="Y46" s="19">
        <v>1</v>
      </c>
      <c r="Z46" s="19" t="s">
        <v>1741</v>
      </c>
      <c r="AB46" s="76" t="s">
        <v>1811</v>
      </c>
      <c r="AC46" s="77">
        <v>7.5</v>
      </c>
      <c r="AD46" s="77">
        <v>0.12</v>
      </c>
      <c r="AE46" s="77">
        <v>3.8</v>
      </c>
      <c r="AF46" s="77">
        <v>0.6</v>
      </c>
      <c r="AG46" s="77">
        <v>20</v>
      </c>
      <c r="AI46" s="76" t="s">
        <v>1811</v>
      </c>
      <c r="AJ46" s="77">
        <v>7.5</v>
      </c>
      <c r="AK46" s="77">
        <v>0.12</v>
      </c>
      <c r="AL46" s="77">
        <v>3.8</v>
      </c>
      <c r="AM46" s="77">
        <v>0.6</v>
      </c>
      <c r="AN46" s="77">
        <v>20</v>
      </c>
      <c r="AO46" s="598"/>
      <c r="AP46" s="76" t="s">
        <v>1811</v>
      </c>
      <c r="AQ46" s="77">
        <v>7.5</v>
      </c>
      <c r="AR46" s="77">
        <v>0.12</v>
      </c>
      <c r="AS46" s="77">
        <v>3.8</v>
      </c>
      <c r="AT46" s="77">
        <v>0.6</v>
      </c>
      <c r="AU46" s="77">
        <v>20</v>
      </c>
      <c r="AW46" s="76" t="s">
        <v>1811</v>
      </c>
      <c r="AX46" s="77">
        <v>7.5</v>
      </c>
      <c r="AY46" s="77">
        <v>0.12</v>
      </c>
      <c r="AZ46" s="77">
        <v>3.8</v>
      </c>
      <c r="BA46" s="77">
        <v>0.6</v>
      </c>
      <c r="BB46" s="77">
        <v>20</v>
      </c>
      <c r="BD46" s="76" t="s">
        <v>1811</v>
      </c>
      <c r="BE46" s="77">
        <v>7.5</v>
      </c>
      <c r="BF46" s="77">
        <v>0.12</v>
      </c>
      <c r="BG46" s="77">
        <v>3.8</v>
      </c>
      <c r="BH46" s="77">
        <v>0.6</v>
      </c>
      <c r="BI46" s="77">
        <v>20</v>
      </c>
    </row>
    <row r="47" spans="1:61" ht="20.100000000000001" customHeight="1" x14ac:dyDescent="0.25">
      <c r="A47" s="67" t="s">
        <v>1812</v>
      </c>
      <c r="B47" s="68">
        <v>0.74</v>
      </c>
      <c r="C47" s="68">
        <v>0.629</v>
      </c>
      <c r="D47" s="69">
        <v>4</v>
      </c>
      <c r="E47" s="68">
        <v>250</v>
      </c>
      <c r="F47" s="70">
        <v>200</v>
      </c>
      <c r="G47" s="68">
        <v>2</v>
      </c>
      <c r="H47" s="68">
        <v>12</v>
      </c>
      <c r="I47" s="68">
        <v>12</v>
      </c>
      <c r="J47" s="70" t="s">
        <v>1727</v>
      </c>
      <c r="K47" s="68"/>
      <c r="L47" s="68"/>
      <c r="M47" s="68"/>
      <c r="N47" s="68"/>
      <c r="O47" s="70"/>
      <c r="P47" s="68"/>
      <c r="Q47" s="68">
        <v>15</v>
      </c>
      <c r="R47" s="68">
        <v>0.15</v>
      </c>
      <c r="S47" s="68"/>
      <c r="T47" s="70"/>
      <c r="V47" t="s">
        <v>1813</v>
      </c>
      <c r="W47" s="19">
        <v>0.15</v>
      </c>
      <c r="X47" s="19"/>
      <c r="Y47" s="19">
        <v>1</v>
      </c>
      <c r="Z47" s="19" t="s">
        <v>1741</v>
      </c>
      <c r="AB47" s="76" t="s">
        <v>1814</v>
      </c>
      <c r="AC47" s="77">
        <v>5</v>
      </c>
      <c r="AD47" s="77">
        <v>0.12</v>
      </c>
      <c r="AE47" s="77">
        <v>2.5</v>
      </c>
      <c r="AF47" s="77">
        <v>0.6</v>
      </c>
      <c r="AG47" s="77">
        <v>10</v>
      </c>
      <c r="AI47" s="76" t="s">
        <v>1814</v>
      </c>
      <c r="AJ47" s="77">
        <v>5</v>
      </c>
      <c r="AK47" s="77">
        <v>0.12</v>
      </c>
      <c r="AL47" s="77">
        <v>2.5</v>
      </c>
      <c r="AM47" s="77">
        <v>0.6</v>
      </c>
      <c r="AN47" s="77">
        <v>10</v>
      </c>
      <c r="AO47" s="598"/>
      <c r="AP47" s="76" t="s">
        <v>1814</v>
      </c>
      <c r="AQ47" s="77">
        <v>5</v>
      </c>
      <c r="AR47" s="77">
        <v>0.12</v>
      </c>
      <c r="AS47" s="77">
        <v>2.5</v>
      </c>
      <c r="AT47" s="77">
        <v>0.6</v>
      </c>
      <c r="AU47" s="77">
        <v>10</v>
      </c>
      <c r="AW47" s="76" t="s">
        <v>1814</v>
      </c>
      <c r="AX47" s="77">
        <v>5</v>
      </c>
      <c r="AY47" s="77">
        <v>0.12</v>
      </c>
      <c r="AZ47" s="77">
        <v>2.5</v>
      </c>
      <c r="BA47" s="77">
        <v>0.6</v>
      </c>
      <c r="BB47" s="77">
        <v>10</v>
      </c>
      <c r="BD47" s="76" t="s">
        <v>1814</v>
      </c>
      <c r="BE47" s="77">
        <v>5</v>
      </c>
      <c r="BF47" s="77">
        <v>0.12</v>
      </c>
      <c r="BG47" s="77">
        <v>2.5</v>
      </c>
      <c r="BH47" s="77">
        <v>0.6</v>
      </c>
      <c r="BI47" s="77">
        <v>10</v>
      </c>
    </row>
    <row r="48" spans="1:61" s="89" customFormat="1" ht="20.100000000000001" customHeight="1" x14ac:dyDescent="0.25">
      <c r="A48" s="85" t="s">
        <v>1815</v>
      </c>
      <c r="B48" s="86">
        <v>0.74</v>
      </c>
      <c r="C48" s="86">
        <f>space_classification[[#This Row],[Lighting (A90.1 -2010)]]*0.85</f>
        <v>0.629</v>
      </c>
      <c r="D48" s="87">
        <v>4</v>
      </c>
      <c r="E48" s="86">
        <v>250</v>
      </c>
      <c r="F48" s="88">
        <v>200</v>
      </c>
      <c r="G48" s="86">
        <v>2</v>
      </c>
      <c r="H48" s="86">
        <v>4</v>
      </c>
      <c r="I48" s="86">
        <v>4</v>
      </c>
      <c r="J48" s="88" t="s">
        <v>1727</v>
      </c>
      <c r="K48" s="86"/>
      <c r="L48" s="86"/>
      <c r="M48" s="86"/>
      <c r="N48" s="86"/>
      <c r="O48" s="88"/>
      <c r="P48" s="86"/>
      <c r="Q48" s="86">
        <v>15</v>
      </c>
      <c r="R48" s="86">
        <v>0.15</v>
      </c>
      <c r="S48" s="86"/>
      <c r="T48" s="88"/>
      <c r="V48" s="75" t="s">
        <v>1816</v>
      </c>
      <c r="W48" s="81"/>
      <c r="X48" s="81"/>
      <c r="Y48" s="81"/>
      <c r="Z48" s="81"/>
      <c r="AB48" s="76" t="s">
        <v>1817</v>
      </c>
      <c r="AC48" s="77">
        <v>5</v>
      </c>
      <c r="AD48" s="77">
        <v>0.12</v>
      </c>
      <c r="AE48" s="77">
        <v>2.5</v>
      </c>
      <c r="AF48" s="77">
        <v>0.6</v>
      </c>
      <c r="AG48" s="77">
        <v>10</v>
      </c>
      <c r="AI48" s="76" t="s">
        <v>1817</v>
      </c>
      <c r="AJ48" s="77">
        <v>5</v>
      </c>
      <c r="AK48" s="77">
        <v>0.12</v>
      </c>
      <c r="AL48" s="77">
        <v>2.5</v>
      </c>
      <c r="AM48" s="77">
        <v>0.6</v>
      </c>
      <c r="AN48" s="77">
        <v>10</v>
      </c>
      <c r="AO48" s="598"/>
      <c r="AP48" s="76" t="s">
        <v>1817</v>
      </c>
      <c r="AQ48" s="77">
        <v>5</v>
      </c>
      <c r="AR48" s="77">
        <v>0.12</v>
      </c>
      <c r="AS48" s="77">
        <v>2.5</v>
      </c>
      <c r="AT48" s="77">
        <v>0.6</v>
      </c>
      <c r="AU48" s="77">
        <v>10</v>
      </c>
      <c r="AW48" s="76" t="s">
        <v>1817</v>
      </c>
      <c r="AX48" s="77">
        <v>5</v>
      </c>
      <c r="AY48" s="77">
        <v>0.12</v>
      </c>
      <c r="AZ48" s="77">
        <v>2.5</v>
      </c>
      <c r="BA48" s="77">
        <v>0.6</v>
      </c>
      <c r="BB48" s="77">
        <v>10</v>
      </c>
      <c r="BD48" s="76" t="s">
        <v>1817</v>
      </c>
      <c r="BE48" s="77">
        <v>5</v>
      </c>
      <c r="BF48" s="77">
        <v>0.12</v>
      </c>
      <c r="BG48" s="77">
        <v>2.5</v>
      </c>
      <c r="BH48" s="77">
        <v>0.6</v>
      </c>
      <c r="BI48" s="77">
        <v>10</v>
      </c>
    </row>
    <row r="49" spans="1:61" ht="19.5" customHeight="1" x14ac:dyDescent="0.25">
      <c r="A49" s="67" t="s">
        <v>1818</v>
      </c>
      <c r="B49" s="68">
        <v>1.66</v>
      </c>
      <c r="C49" s="68">
        <f>space_classification[[#This Row],[Lighting (A90.1 -2010)]]*0.85</f>
        <v>1.4109999999999998</v>
      </c>
      <c r="D49" s="69">
        <v>5</v>
      </c>
      <c r="E49" s="68">
        <v>250</v>
      </c>
      <c r="F49" s="70">
        <v>200</v>
      </c>
      <c r="G49" s="68">
        <v>2</v>
      </c>
      <c r="H49" s="68">
        <v>4</v>
      </c>
      <c r="I49" s="68">
        <v>4</v>
      </c>
      <c r="J49" s="70" t="s">
        <v>1727</v>
      </c>
      <c r="K49" s="68"/>
      <c r="L49" s="68"/>
      <c r="M49" s="68"/>
      <c r="N49" s="68"/>
      <c r="O49" s="70"/>
      <c r="P49" s="68"/>
      <c r="Q49" s="68">
        <v>15</v>
      </c>
      <c r="R49" s="68">
        <v>0.15</v>
      </c>
      <c r="S49" s="68"/>
      <c r="T49" s="70"/>
      <c r="V49" s="89" t="s">
        <v>1819</v>
      </c>
      <c r="W49" s="90">
        <v>0.15</v>
      </c>
      <c r="X49" s="90"/>
      <c r="Y49" s="90">
        <v>2</v>
      </c>
      <c r="Z49" s="90" t="s">
        <v>1741</v>
      </c>
      <c r="AB49" s="76" t="s">
        <v>1820</v>
      </c>
      <c r="AC49" s="77">
        <v>7.5</v>
      </c>
      <c r="AD49" s="77">
        <v>0.06</v>
      </c>
      <c r="AE49" s="77">
        <v>3.8</v>
      </c>
      <c r="AF49" s="77">
        <v>0.3</v>
      </c>
      <c r="AG49" s="77">
        <v>65</v>
      </c>
      <c r="AI49" s="76" t="s">
        <v>1820</v>
      </c>
      <c r="AJ49" s="77">
        <v>7.5</v>
      </c>
      <c r="AK49" s="77">
        <v>0.06</v>
      </c>
      <c r="AL49" s="77">
        <v>3.8</v>
      </c>
      <c r="AM49" s="77">
        <v>0.3</v>
      </c>
      <c r="AN49" s="77">
        <v>65</v>
      </c>
      <c r="AO49" s="598"/>
      <c r="AP49" s="76" t="s">
        <v>1820</v>
      </c>
      <c r="AQ49" s="77">
        <v>7.5</v>
      </c>
      <c r="AR49" s="77">
        <v>0.06</v>
      </c>
      <c r="AS49" s="77">
        <v>3.8</v>
      </c>
      <c r="AT49" s="77">
        <v>0.3</v>
      </c>
      <c r="AU49" s="77">
        <v>65</v>
      </c>
      <c r="AW49" s="76" t="s">
        <v>1820</v>
      </c>
      <c r="AX49" s="77">
        <v>7.5</v>
      </c>
      <c r="AY49" s="77">
        <v>0.06</v>
      </c>
      <c r="AZ49" s="77">
        <v>3.8</v>
      </c>
      <c r="BA49" s="77">
        <v>0.3</v>
      </c>
      <c r="BB49" s="77">
        <v>65</v>
      </c>
      <c r="BD49" s="76" t="s">
        <v>1820</v>
      </c>
      <c r="BE49" s="77">
        <v>7.5</v>
      </c>
      <c r="BF49" s="77">
        <v>0.06</v>
      </c>
      <c r="BG49" s="77">
        <v>3.8</v>
      </c>
      <c r="BH49" s="77">
        <v>0.3</v>
      </c>
      <c r="BI49" s="77">
        <v>65</v>
      </c>
    </row>
    <row r="50" spans="1:61" ht="20.100000000000001" customHeight="1" x14ac:dyDescent="0.25">
      <c r="A50" s="78" t="s">
        <v>1821</v>
      </c>
      <c r="B50" s="68">
        <v>0.7</v>
      </c>
      <c r="C50" s="68">
        <f>space_classification[[#This Row],[Lighting (A90.1 -2010)]]*0.85</f>
        <v>0.59499999999999997</v>
      </c>
      <c r="D50" s="69">
        <v>0.5</v>
      </c>
      <c r="E50" s="68">
        <v>250</v>
      </c>
      <c r="F50" s="70">
        <v>200</v>
      </c>
      <c r="G50" s="79">
        <v>4</v>
      </c>
      <c r="H50" s="79">
        <v>4</v>
      </c>
      <c r="I50" s="79"/>
      <c r="J50" s="80"/>
      <c r="K50" s="68">
        <v>70</v>
      </c>
      <c r="L50" s="68">
        <v>7.5</v>
      </c>
      <c r="M50" s="68">
        <v>0.18</v>
      </c>
      <c r="N50" s="68">
        <v>0</v>
      </c>
      <c r="O50" s="70">
        <v>0</v>
      </c>
      <c r="P50" s="68"/>
      <c r="Q50" s="68">
        <v>15</v>
      </c>
      <c r="R50" s="68">
        <v>0.15</v>
      </c>
      <c r="S50" s="68">
        <v>0</v>
      </c>
      <c r="T50" s="70">
        <v>0</v>
      </c>
      <c r="V50" t="s">
        <v>1822</v>
      </c>
      <c r="W50" s="19">
        <v>0.15</v>
      </c>
      <c r="X50" s="19"/>
      <c r="Y50" s="19">
        <v>1</v>
      </c>
      <c r="Z50" s="19" t="s">
        <v>1741</v>
      </c>
      <c r="AB50" s="76" t="s">
        <v>1718</v>
      </c>
      <c r="AC50" s="77">
        <v>7.5</v>
      </c>
      <c r="AD50" s="77">
        <v>0.06</v>
      </c>
      <c r="AE50" s="77">
        <v>3.8</v>
      </c>
      <c r="AF50" s="77">
        <v>0.3</v>
      </c>
      <c r="AG50" s="77">
        <v>150</v>
      </c>
      <c r="AI50" s="76" t="s">
        <v>1718</v>
      </c>
      <c r="AJ50" s="77">
        <v>7.5</v>
      </c>
      <c r="AK50" s="77">
        <v>0.06</v>
      </c>
      <c r="AL50" s="77">
        <v>3.8</v>
      </c>
      <c r="AM50" s="77">
        <v>0.3</v>
      </c>
      <c r="AN50" s="77">
        <v>150</v>
      </c>
      <c r="AO50" s="598"/>
      <c r="AP50" s="76" t="s">
        <v>1718</v>
      </c>
      <c r="AQ50" s="77">
        <v>7.5</v>
      </c>
      <c r="AR50" s="77">
        <v>0.06</v>
      </c>
      <c r="AS50" s="77">
        <v>3.8</v>
      </c>
      <c r="AT50" s="77">
        <v>0.3</v>
      </c>
      <c r="AU50" s="77">
        <v>150</v>
      </c>
      <c r="AW50" s="76" t="s">
        <v>1718</v>
      </c>
      <c r="AX50" s="77">
        <v>7.5</v>
      </c>
      <c r="AY50" s="77">
        <v>0.06</v>
      </c>
      <c r="AZ50" s="77">
        <v>3.8</v>
      </c>
      <c r="BA50" s="77">
        <v>0.3</v>
      </c>
      <c r="BB50" s="77">
        <v>150</v>
      </c>
      <c r="BD50" s="76" t="s">
        <v>1718</v>
      </c>
      <c r="BE50" s="77">
        <v>7.5</v>
      </c>
      <c r="BF50" s="77">
        <v>0.06</v>
      </c>
      <c r="BG50" s="77">
        <v>3.8</v>
      </c>
      <c r="BH50" s="77">
        <v>0.3</v>
      </c>
      <c r="BI50" s="77">
        <v>150</v>
      </c>
    </row>
    <row r="51" spans="1:61" ht="20.100000000000001" customHeight="1" x14ac:dyDescent="0.25">
      <c r="A51" s="67" t="s">
        <v>1823</v>
      </c>
      <c r="B51" s="68">
        <v>0.61</v>
      </c>
      <c r="C51" s="68">
        <f>space_classification[[#This Row],[Lighting (A90.1 -2010)]]*0.85</f>
        <v>0.51849999999999996</v>
      </c>
      <c r="D51" s="69">
        <v>0</v>
      </c>
      <c r="E51" s="68">
        <v>250</v>
      </c>
      <c r="F51" s="70">
        <v>200</v>
      </c>
      <c r="G51" s="68">
        <v>0</v>
      </c>
      <c r="H51" s="68"/>
      <c r="I51" s="68"/>
      <c r="J51" s="91" t="s">
        <v>1727</v>
      </c>
      <c r="K51" s="68">
        <v>0</v>
      </c>
      <c r="L51" s="68">
        <v>0</v>
      </c>
      <c r="M51" s="68">
        <v>0</v>
      </c>
      <c r="N51" s="68">
        <v>0.25</v>
      </c>
      <c r="O51" s="70">
        <v>0</v>
      </c>
      <c r="P51" s="68"/>
      <c r="Q51" s="68">
        <v>15</v>
      </c>
      <c r="R51" s="68">
        <v>0.15</v>
      </c>
      <c r="S51" s="68">
        <v>0.25</v>
      </c>
      <c r="T51" s="70">
        <v>0</v>
      </c>
      <c r="V51" t="s">
        <v>1824</v>
      </c>
      <c r="W51" s="19">
        <v>0.15</v>
      </c>
      <c r="X51" s="19"/>
      <c r="Y51" s="19">
        <v>1</v>
      </c>
      <c r="Z51" s="19" t="s">
        <v>1741</v>
      </c>
      <c r="AB51" s="76" t="s">
        <v>1825</v>
      </c>
      <c r="AC51" s="77">
        <v>5</v>
      </c>
      <c r="AD51" s="77">
        <v>0.06</v>
      </c>
      <c r="AE51" s="77">
        <v>2.5</v>
      </c>
      <c r="AF51" s="77">
        <v>0.3</v>
      </c>
      <c r="AG51" s="77">
        <v>50</v>
      </c>
      <c r="AI51" s="76" t="s">
        <v>1825</v>
      </c>
      <c r="AJ51" s="77">
        <v>5</v>
      </c>
      <c r="AK51" s="77">
        <v>0.06</v>
      </c>
      <c r="AL51" s="77">
        <v>2.5</v>
      </c>
      <c r="AM51" s="77">
        <v>0.3</v>
      </c>
      <c r="AN51" s="77">
        <v>50</v>
      </c>
      <c r="AO51" s="598"/>
      <c r="AP51" s="76" t="s">
        <v>1825</v>
      </c>
      <c r="AQ51" s="77">
        <v>5</v>
      </c>
      <c r="AR51" s="77">
        <v>0.06</v>
      </c>
      <c r="AS51" s="77">
        <v>2.5</v>
      </c>
      <c r="AT51" s="77">
        <v>0.3</v>
      </c>
      <c r="AU51" s="77">
        <v>50</v>
      </c>
      <c r="AW51" s="76" t="s">
        <v>1825</v>
      </c>
      <c r="AX51" s="77">
        <v>5</v>
      </c>
      <c r="AY51" s="77">
        <v>0.06</v>
      </c>
      <c r="AZ51" s="77">
        <v>2.5</v>
      </c>
      <c r="BA51" s="77">
        <v>0.3</v>
      </c>
      <c r="BB51" s="77">
        <v>50</v>
      </c>
      <c r="BD51" s="76" t="s">
        <v>1825</v>
      </c>
      <c r="BE51" s="77">
        <v>5</v>
      </c>
      <c r="BF51" s="77">
        <v>0.06</v>
      </c>
      <c r="BG51" s="77">
        <v>2.5</v>
      </c>
      <c r="BH51" s="77">
        <v>0.3</v>
      </c>
      <c r="BI51" s="77">
        <v>50</v>
      </c>
    </row>
    <row r="52" spans="1:61" ht="20.100000000000001" customHeight="1" x14ac:dyDescent="0.25">
      <c r="A52" s="67" t="s">
        <v>1826</v>
      </c>
      <c r="B52" s="68">
        <v>1.81</v>
      </c>
      <c r="C52" s="68">
        <f>space_classification[[#This Row],[Lighting (A90.1 -2010)]]*0.85</f>
        <v>1.5385</v>
      </c>
      <c r="D52" s="69">
        <v>8</v>
      </c>
      <c r="E52" s="68">
        <v>250</v>
      </c>
      <c r="F52" s="70">
        <v>200</v>
      </c>
      <c r="G52" s="68"/>
      <c r="H52" s="68"/>
      <c r="I52" s="68"/>
      <c r="J52" s="70"/>
      <c r="K52" s="68">
        <v>25</v>
      </c>
      <c r="L52" s="68">
        <v>10</v>
      </c>
      <c r="M52" s="68">
        <v>0.18</v>
      </c>
      <c r="N52" s="68">
        <v>0</v>
      </c>
      <c r="O52" s="70">
        <v>0</v>
      </c>
      <c r="P52" s="68">
        <v>10</v>
      </c>
      <c r="Q52" s="68">
        <v>15</v>
      </c>
      <c r="R52" s="68">
        <v>0.15</v>
      </c>
      <c r="S52" s="68">
        <v>0</v>
      </c>
      <c r="T52" s="70">
        <v>0</v>
      </c>
      <c r="V52" t="s">
        <v>1827</v>
      </c>
      <c r="W52" s="19" t="s">
        <v>214</v>
      </c>
      <c r="X52" s="19"/>
      <c r="Y52" s="19">
        <v>2</v>
      </c>
      <c r="Z52" s="19" t="s">
        <v>1828</v>
      </c>
      <c r="AB52" s="76" t="s">
        <v>1829</v>
      </c>
      <c r="AC52" s="77">
        <v>5</v>
      </c>
      <c r="AD52" s="77">
        <v>0.12</v>
      </c>
      <c r="AE52" s="77">
        <v>2.5</v>
      </c>
      <c r="AF52" s="77">
        <v>0.6</v>
      </c>
      <c r="AG52" s="77">
        <v>10</v>
      </c>
      <c r="AI52" s="76" t="s">
        <v>1829</v>
      </c>
      <c r="AJ52" s="77">
        <v>5</v>
      </c>
      <c r="AK52" s="77">
        <v>0.12</v>
      </c>
      <c r="AL52" s="77">
        <v>2.5</v>
      </c>
      <c r="AM52" s="77">
        <v>0.6</v>
      </c>
      <c r="AN52" s="77">
        <v>10</v>
      </c>
      <c r="AO52" s="598"/>
      <c r="AP52" s="76" t="s">
        <v>1829</v>
      </c>
      <c r="AQ52" s="77">
        <v>5</v>
      </c>
      <c r="AR52" s="77">
        <v>0.12</v>
      </c>
      <c r="AS52" s="77">
        <v>2.5</v>
      </c>
      <c r="AT52" s="77">
        <v>0.6</v>
      </c>
      <c r="AU52" s="77">
        <v>10</v>
      </c>
      <c r="AW52" s="76" t="s">
        <v>1829</v>
      </c>
      <c r="AX52" s="77">
        <v>5</v>
      </c>
      <c r="AY52" s="77">
        <v>0.12</v>
      </c>
      <c r="AZ52" s="77">
        <v>2.5</v>
      </c>
      <c r="BA52" s="77">
        <v>0.6</v>
      </c>
      <c r="BB52" s="77">
        <v>10</v>
      </c>
      <c r="BD52" s="76" t="s">
        <v>1829</v>
      </c>
      <c r="BE52" s="77">
        <v>5</v>
      </c>
      <c r="BF52" s="77">
        <v>0.12</v>
      </c>
      <c r="BG52" s="77">
        <v>2.5</v>
      </c>
      <c r="BH52" s="77">
        <v>0.6</v>
      </c>
      <c r="BI52" s="77">
        <v>10</v>
      </c>
    </row>
    <row r="53" spans="1:61" ht="20.100000000000001" customHeight="1" x14ac:dyDescent="0.25">
      <c r="A53" s="67" t="s">
        <v>1830</v>
      </c>
      <c r="B53" s="68">
        <v>1</v>
      </c>
      <c r="C53" s="68">
        <f>space_classification[[#This Row],[Lighting (A90.1 -2010)]]*0.85</f>
        <v>0.85</v>
      </c>
      <c r="D53" s="69">
        <v>10</v>
      </c>
      <c r="E53" s="68">
        <v>250</v>
      </c>
      <c r="F53" s="70">
        <v>200</v>
      </c>
      <c r="G53" s="68">
        <v>0</v>
      </c>
      <c r="H53" s="68"/>
      <c r="I53" s="68"/>
      <c r="J53" s="70"/>
      <c r="K53" s="68">
        <v>0</v>
      </c>
      <c r="L53" s="68">
        <v>0</v>
      </c>
      <c r="M53" s="68">
        <v>0.06</v>
      </c>
      <c r="N53" s="68">
        <v>0</v>
      </c>
      <c r="O53" s="70">
        <v>0</v>
      </c>
      <c r="P53" s="68"/>
      <c r="Q53" s="68">
        <v>15</v>
      </c>
      <c r="R53" s="68">
        <v>0.15</v>
      </c>
      <c r="S53" s="68">
        <v>0</v>
      </c>
      <c r="T53" s="70">
        <v>0</v>
      </c>
      <c r="V53" t="s">
        <v>1831</v>
      </c>
      <c r="W53" s="19">
        <v>0.15</v>
      </c>
      <c r="X53" s="19"/>
      <c r="Y53" s="19">
        <v>3</v>
      </c>
      <c r="Z53" s="19"/>
      <c r="AB53" s="76" t="s">
        <v>348</v>
      </c>
      <c r="AC53" s="77">
        <v>5</v>
      </c>
      <c r="AD53" s="77">
        <v>0.06</v>
      </c>
      <c r="AE53" s="77">
        <v>2.5</v>
      </c>
      <c r="AF53" s="77">
        <v>0.3</v>
      </c>
      <c r="AG53" s="77">
        <v>150</v>
      </c>
      <c r="AI53" s="76" t="s">
        <v>348</v>
      </c>
      <c r="AJ53" s="77">
        <v>5</v>
      </c>
      <c r="AK53" s="77">
        <v>0.06</v>
      </c>
      <c r="AL53" s="77">
        <v>2.5</v>
      </c>
      <c r="AM53" s="77">
        <v>0.3</v>
      </c>
      <c r="AN53" s="77">
        <v>150</v>
      </c>
      <c r="AO53" s="598"/>
      <c r="AP53" s="76" t="s">
        <v>348</v>
      </c>
      <c r="AQ53" s="77">
        <v>5</v>
      </c>
      <c r="AR53" s="77">
        <v>0.06</v>
      </c>
      <c r="AS53" s="77">
        <v>2.5</v>
      </c>
      <c r="AT53" s="77">
        <v>0.3</v>
      </c>
      <c r="AU53" s="77">
        <v>150</v>
      </c>
      <c r="AW53" s="76" t="s">
        <v>348</v>
      </c>
      <c r="AX53" s="77">
        <v>5</v>
      </c>
      <c r="AY53" s="77">
        <v>0.06</v>
      </c>
      <c r="AZ53" s="77">
        <v>2.5</v>
      </c>
      <c r="BA53" s="77">
        <v>0.3</v>
      </c>
      <c r="BB53" s="77">
        <v>150</v>
      </c>
      <c r="BD53" s="76" t="s">
        <v>348</v>
      </c>
      <c r="BE53" s="77">
        <v>5</v>
      </c>
      <c r="BF53" s="77">
        <v>0.06</v>
      </c>
      <c r="BG53" s="77">
        <v>2.5</v>
      </c>
      <c r="BH53" s="77">
        <v>0.3</v>
      </c>
      <c r="BI53" s="77">
        <v>150</v>
      </c>
    </row>
    <row r="54" spans="1:61" ht="20.100000000000001" customHeight="1" x14ac:dyDescent="0.25">
      <c r="A54" s="67" t="s">
        <v>1832</v>
      </c>
      <c r="B54" s="68">
        <v>1</v>
      </c>
      <c r="C54" s="68">
        <f>space_classification[[#This Row],[Lighting (A90.1 -2010)]]*0.85</f>
        <v>0.85</v>
      </c>
      <c r="D54" s="69">
        <v>10</v>
      </c>
      <c r="E54" s="68">
        <v>250</v>
      </c>
      <c r="F54" s="70">
        <v>200</v>
      </c>
      <c r="G54" s="68"/>
      <c r="H54" s="68"/>
      <c r="I54" s="68"/>
      <c r="J54" s="70"/>
      <c r="K54" s="68">
        <v>0</v>
      </c>
      <c r="L54" s="68">
        <v>0</v>
      </c>
      <c r="M54" s="68">
        <v>0</v>
      </c>
      <c r="N54" s="68">
        <v>1</v>
      </c>
      <c r="O54" s="70">
        <v>0</v>
      </c>
      <c r="P54" s="68"/>
      <c r="Q54" s="68">
        <v>15</v>
      </c>
      <c r="R54" s="68">
        <v>0.15</v>
      </c>
      <c r="S54" s="68">
        <v>1</v>
      </c>
      <c r="T54" s="70">
        <v>0</v>
      </c>
      <c r="V54" t="s">
        <v>1833</v>
      </c>
      <c r="W54" s="19">
        <v>0.15</v>
      </c>
      <c r="X54" s="19"/>
      <c r="Y54" s="19">
        <v>2</v>
      </c>
      <c r="Z54" s="19"/>
      <c r="AB54" s="76" t="s">
        <v>1834</v>
      </c>
      <c r="AC54" s="77">
        <v>7.5</v>
      </c>
      <c r="AD54" s="77">
        <v>0.06</v>
      </c>
      <c r="AE54" s="77">
        <v>3.8</v>
      </c>
      <c r="AF54" s="77">
        <v>0.3</v>
      </c>
      <c r="AG54" s="77">
        <v>30</v>
      </c>
      <c r="AI54" s="76" t="s">
        <v>1834</v>
      </c>
      <c r="AJ54" s="77">
        <v>7.5</v>
      </c>
      <c r="AK54" s="77">
        <v>0.06</v>
      </c>
      <c r="AL54" s="77">
        <v>3.8</v>
      </c>
      <c r="AM54" s="77">
        <v>0.3</v>
      </c>
      <c r="AN54" s="77">
        <v>30</v>
      </c>
      <c r="AO54" s="598"/>
      <c r="AP54" s="76" t="s">
        <v>1834</v>
      </c>
      <c r="AQ54" s="77">
        <v>7.5</v>
      </c>
      <c r="AR54" s="77">
        <v>0.06</v>
      </c>
      <c r="AS54" s="77">
        <v>3.8</v>
      </c>
      <c r="AT54" s="77">
        <v>0.3</v>
      </c>
      <c r="AU54" s="77">
        <v>30</v>
      </c>
      <c r="AW54" s="76" t="s">
        <v>1834</v>
      </c>
      <c r="AX54" s="77">
        <v>7.5</v>
      </c>
      <c r="AY54" s="77">
        <v>0.06</v>
      </c>
      <c r="AZ54" s="77">
        <v>3.8</v>
      </c>
      <c r="BA54" s="77">
        <v>0.3</v>
      </c>
      <c r="BB54" s="77">
        <v>30</v>
      </c>
      <c r="BD54" s="76" t="s">
        <v>1834</v>
      </c>
      <c r="BE54" s="77">
        <v>7.5</v>
      </c>
      <c r="BF54" s="77">
        <v>0.06</v>
      </c>
      <c r="BG54" s="77">
        <v>3.8</v>
      </c>
      <c r="BH54" s="77">
        <v>0.3</v>
      </c>
      <c r="BI54" s="77">
        <v>30</v>
      </c>
    </row>
    <row r="55" spans="1:61" ht="20.100000000000001" customHeight="1" x14ac:dyDescent="0.25">
      <c r="A55" s="67" t="s">
        <v>1835</v>
      </c>
      <c r="B55" s="68">
        <v>0</v>
      </c>
      <c r="C55" s="68">
        <f>space_classification[[#This Row],[Lighting (A90.1 -2010)]]*0.85</f>
        <v>0</v>
      </c>
      <c r="D55" s="69">
        <v>0</v>
      </c>
      <c r="E55" s="68">
        <v>0</v>
      </c>
      <c r="F55" s="70">
        <v>0</v>
      </c>
      <c r="G55" s="68"/>
      <c r="H55" s="68"/>
      <c r="I55" s="68"/>
      <c r="J55" s="70"/>
      <c r="K55" s="68"/>
      <c r="L55" s="68"/>
      <c r="M55" s="68"/>
      <c r="N55" s="68"/>
      <c r="O55" s="70"/>
      <c r="P55" s="68"/>
      <c r="Q55" s="68">
        <v>15</v>
      </c>
      <c r="R55" s="68">
        <v>0.15</v>
      </c>
      <c r="S55" s="68"/>
      <c r="T55" s="70"/>
      <c r="V55" t="s">
        <v>1836</v>
      </c>
      <c r="W55" s="19">
        <v>0.15</v>
      </c>
      <c r="X55" s="19"/>
      <c r="Y55" s="19">
        <v>1</v>
      </c>
      <c r="Z55" s="19"/>
      <c r="AB55" s="76" t="s">
        <v>1837</v>
      </c>
      <c r="AC55" s="77">
        <v>5</v>
      </c>
      <c r="AD55" s="77">
        <v>0.06</v>
      </c>
      <c r="AE55" s="77">
        <v>2.5</v>
      </c>
      <c r="AF55" s="77">
        <v>0.3</v>
      </c>
      <c r="AG55" s="77">
        <v>10</v>
      </c>
      <c r="AI55" s="76" t="s">
        <v>1837</v>
      </c>
      <c r="AJ55" s="77">
        <v>5</v>
      </c>
      <c r="AK55" s="77">
        <v>0.06</v>
      </c>
      <c r="AL55" s="77">
        <v>2.5</v>
      </c>
      <c r="AM55" s="77">
        <v>0.3</v>
      </c>
      <c r="AN55" s="77">
        <v>10</v>
      </c>
      <c r="AO55" s="598"/>
      <c r="AP55" s="76" t="s">
        <v>1837</v>
      </c>
      <c r="AQ55" s="77">
        <v>5</v>
      </c>
      <c r="AR55" s="77">
        <v>0.06</v>
      </c>
      <c r="AS55" s="77">
        <v>2.5</v>
      </c>
      <c r="AT55" s="77">
        <v>0.3</v>
      </c>
      <c r="AU55" s="77">
        <v>10</v>
      </c>
      <c r="AW55" s="76" t="s">
        <v>1837</v>
      </c>
      <c r="AX55" s="77">
        <v>5</v>
      </c>
      <c r="AY55" s="77">
        <v>0.06</v>
      </c>
      <c r="AZ55" s="77">
        <v>2.5</v>
      </c>
      <c r="BA55" s="77">
        <v>0.3</v>
      </c>
      <c r="BB55" s="77">
        <v>10</v>
      </c>
      <c r="BD55" s="76" t="s">
        <v>1837</v>
      </c>
      <c r="BE55" s="77">
        <v>5</v>
      </c>
      <c r="BF55" s="77">
        <v>0.06</v>
      </c>
      <c r="BG55" s="77">
        <v>2.5</v>
      </c>
      <c r="BH55" s="77">
        <v>0.3</v>
      </c>
      <c r="BI55" s="77">
        <v>10</v>
      </c>
    </row>
    <row r="56" spans="1:61" ht="20.100000000000001" customHeight="1" x14ac:dyDescent="0.25">
      <c r="A56" s="78" t="s">
        <v>1838</v>
      </c>
      <c r="B56" s="68">
        <v>0.9</v>
      </c>
      <c r="C56" s="68">
        <f>space_classification[[#This Row],[Lighting (A90.1 -2010)]]*0.85</f>
        <v>0.76500000000000001</v>
      </c>
      <c r="D56" s="69">
        <v>0.5</v>
      </c>
      <c r="E56" s="68">
        <v>250</v>
      </c>
      <c r="F56" s="70">
        <v>200</v>
      </c>
      <c r="G56" s="68"/>
      <c r="H56" s="68"/>
      <c r="I56" s="68"/>
      <c r="J56" s="70"/>
      <c r="K56" s="68"/>
      <c r="L56" s="68"/>
      <c r="M56" s="68"/>
      <c r="N56" s="68"/>
      <c r="O56" s="70"/>
      <c r="P56" s="68"/>
      <c r="Q56" s="68">
        <v>15</v>
      </c>
      <c r="R56" s="68">
        <v>0.15</v>
      </c>
      <c r="S56" s="68"/>
      <c r="T56" s="70"/>
      <c r="V56" t="s">
        <v>1839</v>
      </c>
      <c r="W56" s="19">
        <v>0.15</v>
      </c>
      <c r="X56" s="19"/>
      <c r="Y56" s="19">
        <v>2</v>
      </c>
      <c r="Z56" s="19" t="s">
        <v>1774</v>
      </c>
      <c r="AB56" s="76" t="s">
        <v>1840</v>
      </c>
      <c r="AC56" s="77">
        <v>7.5</v>
      </c>
      <c r="AD56" s="77">
        <v>0.06</v>
      </c>
      <c r="AE56" s="77">
        <v>3.8</v>
      </c>
      <c r="AF56" s="77">
        <v>0.3</v>
      </c>
      <c r="AG56" s="77">
        <v>40</v>
      </c>
      <c r="AI56" s="76" t="s">
        <v>1840</v>
      </c>
      <c r="AJ56" s="77">
        <v>7.5</v>
      </c>
      <c r="AK56" s="77">
        <v>0.06</v>
      </c>
      <c r="AL56" s="77">
        <v>3.8</v>
      </c>
      <c r="AM56" s="77">
        <v>0.3</v>
      </c>
      <c r="AN56" s="77">
        <v>40</v>
      </c>
      <c r="AO56" s="598"/>
      <c r="AP56" s="76" t="s">
        <v>1840</v>
      </c>
      <c r="AQ56" s="77">
        <v>7.5</v>
      </c>
      <c r="AR56" s="77">
        <v>0.06</v>
      </c>
      <c r="AS56" s="77">
        <v>3.8</v>
      </c>
      <c r="AT56" s="77">
        <v>0.3</v>
      </c>
      <c r="AU56" s="77">
        <v>40</v>
      </c>
      <c r="AW56" s="76" t="s">
        <v>1840</v>
      </c>
      <c r="AX56" s="77">
        <v>7.5</v>
      </c>
      <c r="AY56" s="77">
        <v>0.06</v>
      </c>
      <c r="AZ56" s="77">
        <v>3.8</v>
      </c>
      <c r="BA56" s="77">
        <v>0.3</v>
      </c>
      <c r="BB56" s="77">
        <v>40</v>
      </c>
      <c r="BD56" s="76" t="s">
        <v>1840</v>
      </c>
      <c r="BE56" s="77">
        <v>7.5</v>
      </c>
      <c r="BF56" s="77">
        <v>0.06</v>
      </c>
      <c r="BG56" s="77">
        <v>3.8</v>
      </c>
      <c r="BH56" s="77">
        <v>0.3</v>
      </c>
      <c r="BI56" s="77">
        <v>40</v>
      </c>
    </row>
    <row r="57" spans="1:61" ht="20.100000000000001" customHeight="1" x14ac:dyDescent="0.25">
      <c r="A57" s="78" t="s">
        <v>1841</v>
      </c>
      <c r="B57" s="68">
        <v>0.5</v>
      </c>
      <c r="C57" s="68">
        <f>space_classification[[#This Row],[Lighting (A90.1 -2010)]]*0.85</f>
        <v>0.42499999999999999</v>
      </c>
      <c r="D57" s="69">
        <v>6</v>
      </c>
      <c r="E57" s="68">
        <v>250</v>
      </c>
      <c r="F57" s="70">
        <v>200</v>
      </c>
      <c r="G57" s="68"/>
      <c r="H57" s="68"/>
      <c r="I57" s="68"/>
      <c r="J57" s="70"/>
      <c r="K57" s="68">
        <v>0</v>
      </c>
      <c r="L57" s="68">
        <v>0</v>
      </c>
      <c r="M57" s="68">
        <v>0.12</v>
      </c>
      <c r="N57" s="68">
        <v>0</v>
      </c>
      <c r="O57" s="70">
        <v>0</v>
      </c>
      <c r="P57" s="68"/>
      <c r="Q57" s="68">
        <v>15</v>
      </c>
      <c r="R57" s="68">
        <v>0.15</v>
      </c>
      <c r="S57" s="68">
        <v>0</v>
      </c>
      <c r="T57" s="70">
        <v>0</v>
      </c>
      <c r="V57" t="s">
        <v>1842</v>
      </c>
      <c r="W57" s="19">
        <v>0.15</v>
      </c>
      <c r="X57" s="19"/>
      <c r="Y57" s="19">
        <v>2</v>
      </c>
      <c r="Z57" s="19"/>
      <c r="AB57" s="82" t="s">
        <v>1843</v>
      </c>
      <c r="AC57" s="77">
        <v>10</v>
      </c>
      <c r="AD57" s="77">
        <v>0.12</v>
      </c>
      <c r="AE57" s="77">
        <v>5</v>
      </c>
      <c r="AF57" s="77">
        <v>0.6</v>
      </c>
      <c r="AG57" s="77">
        <v>25</v>
      </c>
      <c r="AI57" s="82" t="s">
        <v>1843</v>
      </c>
      <c r="AJ57" s="77">
        <v>10</v>
      </c>
      <c r="AK57" s="77">
        <v>0.12</v>
      </c>
      <c r="AL57" s="77">
        <v>5</v>
      </c>
      <c r="AM57" s="77">
        <v>0.6</v>
      </c>
      <c r="AN57" s="77">
        <v>25</v>
      </c>
      <c r="AO57" s="598"/>
      <c r="AP57" s="82" t="s">
        <v>1843</v>
      </c>
      <c r="AQ57" s="77">
        <v>10</v>
      </c>
      <c r="AR57" s="77">
        <v>0.12</v>
      </c>
      <c r="AS57" s="77">
        <v>5</v>
      </c>
      <c r="AT57" s="77">
        <v>0.6</v>
      </c>
      <c r="AU57" s="77">
        <v>25</v>
      </c>
      <c r="AW57" s="82" t="s">
        <v>1843</v>
      </c>
      <c r="AX57" s="77">
        <v>10</v>
      </c>
      <c r="AY57" s="77">
        <v>0.12</v>
      </c>
      <c r="AZ57" s="77">
        <v>5</v>
      </c>
      <c r="BA57" s="77">
        <v>0.6</v>
      </c>
      <c r="BB57" s="77">
        <v>25</v>
      </c>
      <c r="BD57" s="82" t="s">
        <v>1843</v>
      </c>
      <c r="BE57" s="77">
        <v>10</v>
      </c>
      <c r="BF57" s="77">
        <v>0.12</v>
      </c>
      <c r="BG57" s="77">
        <v>5</v>
      </c>
      <c r="BH57" s="77">
        <v>0.6</v>
      </c>
      <c r="BI57" s="77">
        <v>25</v>
      </c>
    </row>
    <row r="58" spans="1:61" ht="20.100000000000001" customHeight="1" x14ac:dyDescent="0.25">
      <c r="A58" s="67" t="s">
        <v>1844</v>
      </c>
      <c r="B58" s="68">
        <v>1.66</v>
      </c>
      <c r="C58" s="68">
        <f>space_classification[[#This Row],[Lighting (A90.1 -2010)]]*0.85</f>
        <v>1.4109999999999998</v>
      </c>
      <c r="D58" s="69">
        <v>2</v>
      </c>
      <c r="E58" s="68">
        <v>250</v>
      </c>
      <c r="F58" s="70">
        <v>200</v>
      </c>
      <c r="G58" s="68"/>
      <c r="H58" s="68"/>
      <c r="I58" s="68"/>
      <c r="J58" s="70"/>
      <c r="K58" s="68"/>
      <c r="L58" s="68"/>
      <c r="M58" s="68"/>
      <c r="N58" s="68"/>
      <c r="O58" s="70"/>
      <c r="P58" s="68"/>
      <c r="Q58" s="68">
        <v>15</v>
      </c>
      <c r="R58" s="68">
        <v>0.15</v>
      </c>
      <c r="S58" s="68"/>
      <c r="T58" s="70"/>
      <c r="V58" t="s">
        <v>1845</v>
      </c>
      <c r="W58" s="19">
        <v>0.15</v>
      </c>
      <c r="X58" s="19"/>
      <c r="Y58" s="19">
        <v>1</v>
      </c>
      <c r="Z58" s="19"/>
      <c r="AB58" s="76" t="s">
        <v>1846</v>
      </c>
      <c r="AC58" s="77">
        <v>5</v>
      </c>
      <c r="AD58" s="77">
        <v>0.06</v>
      </c>
      <c r="AE58" s="77">
        <v>2.5</v>
      </c>
      <c r="AF58" s="77">
        <v>0.3</v>
      </c>
      <c r="AG58" s="77">
        <v>120</v>
      </c>
      <c r="AI58" s="76" t="s">
        <v>1846</v>
      </c>
      <c r="AJ58" s="77">
        <v>5</v>
      </c>
      <c r="AK58" s="77">
        <v>0.06</v>
      </c>
      <c r="AL58" s="77">
        <v>2.5</v>
      </c>
      <c r="AM58" s="77">
        <v>0.3</v>
      </c>
      <c r="AN58" s="77">
        <v>120</v>
      </c>
      <c r="AO58" s="598"/>
      <c r="AP58" s="76" t="s">
        <v>1846</v>
      </c>
      <c r="AQ58" s="77">
        <v>5</v>
      </c>
      <c r="AR58" s="77">
        <v>0.06</v>
      </c>
      <c r="AS58" s="77">
        <v>2.5</v>
      </c>
      <c r="AT58" s="77">
        <v>0.3</v>
      </c>
      <c r="AU58" s="77">
        <v>120</v>
      </c>
      <c r="AW58" s="76" t="s">
        <v>1846</v>
      </c>
      <c r="AX58" s="77">
        <v>5</v>
      </c>
      <c r="AY58" s="77">
        <v>0.06</v>
      </c>
      <c r="AZ58" s="77">
        <v>2.5</v>
      </c>
      <c r="BA58" s="77">
        <v>0.3</v>
      </c>
      <c r="BB58" s="77">
        <v>120</v>
      </c>
      <c r="BD58" s="76" t="s">
        <v>1846</v>
      </c>
      <c r="BE58" s="77">
        <v>5</v>
      </c>
      <c r="BF58" s="77">
        <v>0.06</v>
      </c>
      <c r="BG58" s="77">
        <v>2.5</v>
      </c>
      <c r="BH58" s="77">
        <v>0.3</v>
      </c>
      <c r="BI58" s="77">
        <v>120</v>
      </c>
    </row>
    <row r="59" spans="1:61" ht="20.100000000000001" customHeight="1" x14ac:dyDescent="0.25">
      <c r="A59" s="67" t="s">
        <v>1847</v>
      </c>
      <c r="B59" s="68">
        <v>0.74</v>
      </c>
      <c r="C59" s="68">
        <f>space_classification[[#This Row],[Lighting (A90.1 -2010)]]*0.85</f>
        <v>0.629</v>
      </c>
      <c r="D59" s="69">
        <v>1</v>
      </c>
      <c r="E59" s="68">
        <v>250</v>
      </c>
      <c r="F59" s="70">
        <v>200</v>
      </c>
      <c r="G59" s="68">
        <v>2</v>
      </c>
      <c r="H59" s="68">
        <v>10</v>
      </c>
      <c r="I59" s="68">
        <v>10</v>
      </c>
      <c r="J59" s="70" t="s">
        <v>1727</v>
      </c>
      <c r="K59" s="68"/>
      <c r="L59" s="68"/>
      <c r="M59" s="68"/>
      <c r="N59" s="68"/>
      <c r="O59" s="70"/>
      <c r="P59" s="68"/>
      <c r="Q59" s="68">
        <v>15</v>
      </c>
      <c r="R59" s="68">
        <v>0.15</v>
      </c>
      <c r="S59" s="68"/>
      <c r="T59" s="70"/>
      <c r="V59" t="s">
        <v>1848</v>
      </c>
      <c r="W59" s="19">
        <v>0.5</v>
      </c>
      <c r="X59" s="19">
        <v>0.15</v>
      </c>
      <c r="Y59" s="19">
        <v>1</v>
      </c>
      <c r="Z59" s="19" t="s">
        <v>1741</v>
      </c>
      <c r="AB59" s="76" t="s">
        <v>1849</v>
      </c>
      <c r="AC59" s="77">
        <v>7.5</v>
      </c>
      <c r="AD59" s="77">
        <v>0.06</v>
      </c>
      <c r="AE59" s="77">
        <v>3.8</v>
      </c>
      <c r="AF59" s="77">
        <v>0.3</v>
      </c>
      <c r="AG59" s="77">
        <v>100</v>
      </c>
      <c r="AI59" s="76" t="s">
        <v>1849</v>
      </c>
      <c r="AJ59" s="77">
        <v>7.5</v>
      </c>
      <c r="AK59" s="77">
        <v>0.06</v>
      </c>
      <c r="AL59" s="77">
        <v>3.8</v>
      </c>
      <c r="AM59" s="77">
        <v>0.3</v>
      </c>
      <c r="AN59" s="77">
        <v>100</v>
      </c>
      <c r="AO59" s="598"/>
      <c r="AP59" s="76" t="s">
        <v>1849</v>
      </c>
      <c r="AQ59" s="77">
        <v>7.5</v>
      </c>
      <c r="AR59" s="77">
        <v>0.06</v>
      </c>
      <c r="AS59" s="77">
        <v>3.8</v>
      </c>
      <c r="AT59" s="77">
        <v>0.3</v>
      </c>
      <c r="AU59" s="77">
        <v>100</v>
      </c>
      <c r="AW59" s="76" t="s">
        <v>1849</v>
      </c>
      <c r="AX59" s="77">
        <v>7.5</v>
      </c>
      <c r="AY59" s="77">
        <v>0.06</v>
      </c>
      <c r="AZ59" s="77">
        <v>3.8</v>
      </c>
      <c r="BA59" s="77">
        <v>0.3</v>
      </c>
      <c r="BB59" s="77">
        <v>100</v>
      </c>
      <c r="BD59" s="76" t="s">
        <v>1849</v>
      </c>
      <c r="BE59" s="77">
        <v>7.5</v>
      </c>
      <c r="BF59" s="77">
        <v>0.06</v>
      </c>
      <c r="BG59" s="77">
        <v>3.8</v>
      </c>
      <c r="BH59" s="77">
        <v>0.3</v>
      </c>
      <c r="BI59" s="77">
        <v>100</v>
      </c>
    </row>
    <row r="60" spans="1:61" ht="20.100000000000001" customHeight="1" x14ac:dyDescent="0.25">
      <c r="A60" s="67" t="s">
        <v>1850</v>
      </c>
      <c r="B60" s="68">
        <v>1.81</v>
      </c>
      <c r="C60" s="68">
        <f>space_classification[[#This Row],[Lighting (A90.1 -2010)]]*0.85</f>
        <v>1.5385</v>
      </c>
      <c r="D60" s="69">
        <v>16</v>
      </c>
      <c r="E60" s="68">
        <v>250</v>
      </c>
      <c r="F60" s="70">
        <v>200</v>
      </c>
      <c r="G60" s="68"/>
      <c r="H60" s="68"/>
      <c r="I60" s="68"/>
      <c r="J60" s="70"/>
      <c r="K60" s="68">
        <v>25</v>
      </c>
      <c r="L60" s="68">
        <v>10</v>
      </c>
      <c r="M60" s="68">
        <v>0.18</v>
      </c>
      <c r="N60" s="68">
        <v>0</v>
      </c>
      <c r="O60" s="70">
        <v>0</v>
      </c>
      <c r="P60" s="68"/>
      <c r="Q60" s="68">
        <v>15</v>
      </c>
      <c r="R60" s="68">
        <v>0.15</v>
      </c>
      <c r="S60" s="68">
        <v>0</v>
      </c>
      <c r="T60" s="70">
        <v>0</v>
      </c>
      <c r="V60" t="s">
        <v>1851</v>
      </c>
      <c r="W60" s="19">
        <v>0.15</v>
      </c>
      <c r="X60" s="19"/>
      <c r="Y60" s="19">
        <v>2</v>
      </c>
      <c r="Z60" s="19" t="s">
        <v>1774</v>
      </c>
      <c r="AB60" s="76" t="s">
        <v>1852</v>
      </c>
      <c r="AC60" s="77">
        <v>7.5</v>
      </c>
      <c r="AD60" s="77">
        <v>0.12</v>
      </c>
      <c r="AE60" s="77">
        <v>3.8</v>
      </c>
      <c r="AF60" s="77">
        <v>0.6</v>
      </c>
      <c r="AG60" s="77">
        <v>40</v>
      </c>
      <c r="AI60" s="76" t="s">
        <v>1852</v>
      </c>
      <c r="AJ60" s="77">
        <v>7.5</v>
      </c>
      <c r="AK60" s="77">
        <v>0.12</v>
      </c>
      <c r="AL60" s="77">
        <v>3.8</v>
      </c>
      <c r="AM60" s="77">
        <v>0.6</v>
      </c>
      <c r="AN60" s="77">
        <v>40</v>
      </c>
      <c r="AO60" s="598"/>
      <c r="AP60" s="76" t="s">
        <v>1852</v>
      </c>
      <c r="AQ60" s="77">
        <v>7.5</v>
      </c>
      <c r="AR60" s="77">
        <v>0.12</v>
      </c>
      <c r="AS60" s="77">
        <v>3.8</v>
      </c>
      <c r="AT60" s="77">
        <v>0.6</v>
      </c>
      <c r="AU60" s="77">
        <v>40</v>
      </c>
      <c r="AW60" s="76" t="s">
        <v>1852</v>
      </c>
      <c r="AX60" s="77">
        <v>7.5</v>
      </c>
      <c r="AY60" s="77">
        <v>0.12</v>
      </c>
      <c r="AZ60" s="77">
        <v>3.8</v>
      </c>
      <c r="BA60" s="77">
        <v>0.6</v>
      </c>
      <c r="BB60" s="77">
        <v>40</v>
      </c>
      <c r="BD60" s="76" t="s">
        <v>1852</v>
      </c>
      <c r="BE60" s="77">
        <v>7.5</v>
      </c>
      <c r="BF60" s="77">
        <v>0.12</v>
      </c>
      <c r="BG60" s="77">
        <v>3.8</v>
      </c>
      <c r="BH60" s="77">
        <v>0.6</v>
      </c>
      <c r="BI60" s="77">
        <v>40</v>
      </c>
    </row>
    <row r="61" spans="1:61" ht="20.100000000000001" customHeight="1" x14ac:dyDescent="0.25">
      <c r="A61" s="67" t="s">
        <v>1853</v>
      </c>
      <c r="B61" s="68">
        <v>1.7</v>
      </c>
      <c r="C61" s="68">
        <f>space_classification[[#This Row],[Lighting (A90.1 -2010)]]*0.85</f>
        <v>1.4449999999999998</v>
      </c>
      <c r="D61" s="69">
        <v>3</v>
      </c>
      <c r="E61" s="68">
        <v>250</v>
      </c>
      <c r="F61" s="70">
        <v>200</v>
      </c>
      <c r="G61" s="68">
        <v>2</v>
      </c>
      <c r="H61" s="68">
        <v>6</v>
      </c>
      <c r="I61" s="68">
        <v>0</v>
      </c>
      <c r="J61" s="70" t="s">
        <v>240</v>
      </c>
      <c r="K61" s="68"/>
      <c r="L61" s="68"/>
      <c r="M61" s="68"/>
      <c r="N61" s="68"/>
      <c r="O61" s="70"/>
      <c r="P61" s="68">
        <v>8.3339999999999996</v>
      </c>
      <c r="Q61" s="68">
        <v>15</v>
      </c>
      <c r="R61" s="68">
        <v>0.15</v>
      </c>
      <c r="S61" s="68"/>
      <c r="T61" s="70"/>
      <c r="V61" t="s">
        <v>1854</v>
      </c>
      <c r="W61" s="19">
        <v>0.15</v>
      </c>
      <c r="X61" s="19"/>
      <c r="Y61" s="19">
        <v>2</v>
      </c>
      <c r="Z61" s="19"/>
      <c r="AB61" s="76" t="s">
        <v>1855</v>
      </c>
      <c r="AC61" s="77">
        <v>7.5</v>
      </c>
      <c r="AD61" s="77">
        <v>0.06</v>
      </c>
      <c r="AE61" s="77">
        <v>3.8</v>
      </c>
      <c r="AF61" s="77">
        <v>0.3</v>
      </c>
      <c r="AG61" s="77">
        <v>40</v>
      </c>
      <c r="AI61" s="76" t="s">
        <v>1855</v>
      </c>
      <c r="AJ61" s="77">
        <v>7.5</v>
      </c>
      <c r="AK61" s="77">
        <v>0.06</v>
      </c>
      <c r="AL61" s="77">
        <v>3.8</v>
      </c>
      <c r="AM61" s="77">
        <v>0.3</v>
      </c>
      <c r="AN61" s="77">
        <v>40</v>
      </c>
      <c r="AO61" s="598"/>
      <c r="AP61" s="76" t="s">
        <v>1855</v>
      </c>
      <c r="AQ61" s="77">
        <v>7.5</v>
      </c>
      <c r="AR61" s="77">
        <v>0.06</v>
      </c>
      <c r="AS61" s="77">
        <v>3.8</v>
      </c>
      <c r="AT61" s="77">
        <v>0.3</v>
      </c>
      <c r="AU61" s="77">
        <v>40</v>
      </c>
      <c r="AW61" s="76" t="s">
        <v>1855</v>
      </c>
      <c r="AX61" s="77">
        <v>7.5</v>
      </c>
      <c r="AY61" s="77">
        <v>0.06</v>
      </c>
      <c r="AZ61" s="77">
        <v>3.8</v>
      </c>
      <c r="BA61" s="77">
        <v>0.3</v>
      </c>
      <c r="BB61" s="77">
        <v>40</v>
      </c>
      <c r="BD61" s="76" t="s">
        <v>1855</v>
      </c>
      <c r="BE61" s="77">
        <v>7.5</v>
      </c>
      <c r="BF61" s="77">
        <v>0.06</v>
      </c>
      <c r="BG61" s="77">
        <v>3.8</v>
      </c>
      <c r="BH61" s="77">
        <v>0.3</v>
      </c>
      <c r="BI61" s="77">
        <v>40</v>
      </c>
    </row>
    <row r="62" spans="1:61" ht="20.100000000000001" customHeight="1" x14ac:dyDescent="0.25">
      <c r="A62" s="67" t="s">
        <v>1856</v>
      </c>
      <c r="B62" s="68">
        <v>1.7</v>
      </c>
      <c r="C62" s="68">
        <f>space_classification[[#This Row],[Lighting (A90.1 -2010)]]*0.85</f>
        <v>1.4449999999999998</v>
      </c>
      <c r="D62" s="69">
        <v>3</v>
      </c>
      <c r="E62" s="68">
        <v>250</v>
      </c>
      <c r="F62" s="70">
        <v>200</v>
      </c>
      <c r="G62" s="68">
        <v>2</v>
      </c>
      <c r="H62" s="68">
        <v>6</v>
      </c>
      <c r="I62" s="68">
        <v>0</v>
      </c>
      <c r="J62" s="70" t="s">
        <v>240</v>
      </c>
      <c r="K62" s="68"/>
      <c r="L62" s="68"/>
      <c r="M62" s="68"/>
      <c r="N62" s="68"/>
      <c r="O62" s="70"/>
      <c r="P62" s="68">
        <v>8.3339999999999996</v>
      </c>
      <c r="Q62" s="68">
        <v>15</v>
      </c>
      <c r="R62" s="68">
        <v>0.15</v>
      </c>
      <c r="S62" s="68"/>
      <c r="T62" s="70"/>
      <c r="V62" s="75" t="s">
        <v>1857</v>
      </c>
      <c r="W62" s="81"/>
      <c r="X62" s="81"/>
      <c r="Y62" s="81"/>
      <c r="Z62" s="81"/>
      <c r="AB62" s="76" t="s">
        <v>1740</v>
      </c>
      <c r="AC62" s="77">
        <v>10</v>
      </c>
      <c r="AD62" s="77">
        <v>0.06</v>
      </c>
      <c r="AE62" s="77">
        <v>5</v>
      </c>
      <c r="AF62" s="77">
        <v>0.3</v>
      </c>
      <c r="AG62" s="77">
        <v>35</v>
      </c>
      <c r="AI62" s="76" t="s">
        <v>1740</v>
      </c>
      <c r="AJ62" s="77">
        <v>10</v>
      </c>
      <c r="AK62" s="77">
        <v>0.06</v>
      </c>
      <c r="AL62" s="77">
        <v>5</v>
      </c>
      <c r="AM62" s="77">
        <v>0.3</v>
      </c>
      <c r="AN62" s="77">
        <v>35</v>
      </c>
      <c r="AO62" s="598"/>
      <c r="AP62" s="76" t="s">
        <v>1740</v>
      </c>
      <c r="AQ62" s="77">
        <v>10</v>
      </c>
      <c r="AR62" s="77">
        <v>0.06</v>
      </c>
      <c r="AS62" s="77">
        <v>5</v>
      </c>
      <c r="AT62" s="77">
        <v>0.3</v>
      </c>
      <c r="AU62" s="77">
        <v>35</v>
      </c>
      <c r="AW62" s="76" t="s">
        <v>1740</v>
      </c>
      <c r="AX62" s="77">
        <v>10</v>
      </c>
      <c r="AY62" s="77">
        <v>0.06</v>
      </c>
      <c r="AZ62" s="77">
        <v>5</v>
      </c>
      <c r="BA62" s="77">
        <v>0.3</v>
      </c>
      <c r="BB62" s="77">
        <v>35</v>
      </c>
      <c r="BD62" s="76" t="s">
        <v>1740</v>
      </c>
      <c r="BE62" s="77">
        <v>10</v>
      </c>
      <c r="BF62" s="77">
        <v>0.06</v>
      </c>
      <c r="BG62" s="77">
        <v>5</v>
      </c>
      <c r="BH62" s="77">
        <v>0.3</v>
      </c>
      <c r="BI62" s="77">
        <v>35</v>
      </c>
    </row>
    <row r="63" spans="1:61" ht="20.100000000000001" customHeight="1" x14ac:dyDescent="0.25">
      <c r="A63" s="67" t="s">
        <v>1858</v>
      </c>
      <c r="B63" s="68">
        <v>1.7</v>
      </c>
      <c r="C63" s="68">
        <f>space_classification[[#This Row],[Lighting (A90.1 -2010)]]*0.85</f>
        <v>1.4449999999999998</v>
      </c>
      <c r="D63" s="69">
        <v>3</v>
      </c>
      <c r="E63" s="68">
        <v>250</v>
      </c>
      <c r="F63" s="70">
        <v>200</v>
      </c>
      <c r="G63" s="68">
        <v>2</v>
      </c>
      <c r="H63" s="68">
        <v>6</v>
      </c>
      <c r="I63" s="68">
        <v>6</v>
      </c>
      <c r="J63" s="70" t="s">
        <v>1727</v>
      </c>
      <c r="K63" s="68"/>
      <c r="L63" s="68"/>
      <c r="M63" s="68"/>
      <c r="N63" s="68"/>
      <c r="O63" s="70"/>
      <c r="P63" s="68">
        <v>8.3339999999999996</v>
      </c>
      <c r="Q63" s="68">
        <v>15</v>
      </c>
      <c r="R63" s="68">
        <v>0.15</v>
      </c>
      <c r="S63" s="68"/>
      <c r="T63" s="70"/>
      <c r="V63" t="s">
        <v>1703</v>
      </c>
      <c r="W63" s="19">
        <v>1.07</v>
      </c>
      <c r="X63" s="19">
        <v>0.15</v>
      </c>
      <c r="Y63" s="19">
        <v>1</v>
      </c>
      <c r="Z63" s="19" t="s">
        <v>1741</v>
      </c>
      <c r="AB63" s="76" t="s">
        <v>1859</v>
      </c>
      <c r="AC63" s="77">
        <v>5</v>
      </c>
      <c r="AD63" s="77">
        <v>0.12</v>
      </c>
      <c r="AE63" s="77">
        <v>2.5</v>
      </c>
      <c r="AF63" s="77">
        <v>0.6</v>
      </c>
      <c r="AG63" s="77">
        <v>2</v>
      </c>
      <c r="AI63" s="76" t="s">
        <v>1859</v>
      </c>
      <c r="AJ63" s="77">
        <v>5</v>
      </c>
      <c r="AK63" s="77">
        <v>0.12</v>
      </c>
      <c r="AL63" s="77">
        <v>2.5</v>
      </c>
      <c r="AM63" s="77">
        <v>0.6</v>
      </c>
      <c r="AN63" s="77">
        <v>2</v>
      </c>
      <c r="AO63" s="598"/>
      <c r="AP63" s="76" t="s">
        <v>1859</v>
      </c>
      <c r="AQ63" s="77">
        <v>5</v>
      </c>
      <c r="AR63" s="77">
        <v>0.12</v>
      </c>
      <c r="AS63" s="77">
        <v>2.5</v>
      </c>
      <c r="AT63" s="77">
        <v>0.6</v>
      </c>
      <c r="AU63" s="77">
        <v>2</v>
      </c>
      <c r="AW63" s="76" t="s">
        <v>1859</v>
      </c>
      <c r="AX63" s="77">
        <v>5</v>
      </c>
      <c r="AY63" s="77">
        <v>0.12</v>
      </c>
      <c r="AZ63" s="77">
        <v>2.5</v>
      </c>
      <c r="BA63" s="77">
        <v>0.6</v>
      </c>
      <c r="BB63" s="77">
        <v>2</v>
      </c>
      <c r="BD63" s="76" t="s">
        <v>1859</v>
      </c>
      <c r="BE63" s="77">
        <v>5</v>
      </c>
      <c r="BF63" s="77">
        <v>0.12</v>
      </c>
      <c r="BG63" s="77">
        <v>2.5</v>
      </c>
      <c r="BH63" s="77">
        <v>0.6</v>
      </c>
      <c r="BI63" s="77">
        <v>2</v>
      </c>
    </row>
    <row r="64" spans="1:61" ht="20.100000000000001" customHeight="1" x14ac:dyDescent="0.25">
      <c r="A64" s="67" t="s">
        <v>1860</v>
      </c>
      <c r="B64" s="68">
        <v>1</v>
      </c>
      <c r="C64" s="68">
        <f>space_classification[[#This Row],[Lighting (A90.1 -2010)]]*0.85</f>
        <v>0.85</v>
      </c>
      <c r="D64" s="69">
        <v>8</v>
      </c>
      <c r="E64" s="68">
        <v>315</v>
      </c>
      <c r="F64" s="70">
        <v>325</v>
      </c>
      <c r="G64" s="68">
        <v>2</v>
      </c>
      <c r="H64" s="68">
        <v>10</v>
      </c>
      <c r="I64" s="68">
        <v>10</v>
      </c>
      <c r="J64" s="70" t="s">
        <v>240</v>
      </c>
      <c r="K64" s="68"/>
      <c r="L64" s="68"/>
      <c r="M64" s="68"/>
      <c r="N64" s="68"/>
      <c r="O64" s="70"/>
      <c r="P64" s="68">
        <v>5</v>
      </c>
      <c r="Q64" s="68">
        <v>15</v>
      </c>
      <c r="R64" s="68">
        <v>0.15</v>
      </c>
      <c r="S64" s="68"/>
      <c r="T64" s="70"/>
      <c r="V64" t="s">
        <v>1861</v>
      </c>
      <c r="W64" s="19">
        <v>1.07</v>
      </c>
      <c r="X64" s="19">
        <v>0.15</v>
      </c>
      <c r="Y64" s="19">
        <v>1</v>
      </c>
      <c r="Z64" s="19" t="s">
        <v>1741</v>
      </c>
      <c r="AB64" s="76" t="s">
        <v>1862</v>
      </c>
      <c r="AC64" s="77">
        <v>5</v>
      </c>
      <c r="AD64" s="77">
        <v>0.06</v>
      </c>
      <c r="AE64" s="77">
        <v>2.5</v>
      </c>
      <c r="AF64" s="77">
        <v>0.3</v>
      </c>
      <c r="AG64" s="77">
        <v>2</v>
      </c>
      <c r="AI64" s="76" t="s">
        <v>1862</v>
      </c>
      <c r="AJ64" s="77">
        <v>5</v>
      </c>
      <c r="AK64" s="77">
        <v>0.06</v>
      </c>
      <c r="AL64" s="77">
        <v>2.5</v>
      </c>
      <c r="AM64" s="77">
        <v>0.3</v>
      </c>
      <c r="AN64" s="77">
        <v>2</v>
      </c>
      <c r="AO64" s="598"/>
      <c r="AP64" s="76" t="s">
        <v>1862</v>
      </c>
      <c r="AQ64" s="77">
        <v>5</v>
      </c>
      <c r="AR64" s="77">
        <v>0.06</v>
      </c>
      <c r="AS64" s="77">
        <v>2.5</v>
      </c>
      <c r="AT64" s="77">
        <v>0.3</v>
      </c>
      <c r="AU64" s="77">
        <v>2</v>
      </c>
      <c r="AW64" s="76" t="s">
        <v>1862</v>
      </c>
      <c r="AX64" s="77">
        <v>5</v>
      </c>
      <c r="AY64" s="77">
        <v>0.06</v>
      </c>
      <c r="AZ64" s="77">
        <v>2.5</v>
      </c>
      <c r="BA64" s="77">
        <v>0.3</v>
      </c>
      <c r="BB64" s="77">
        <v>2</v>
      </c>
      <c r="BD64" s="76" t="s">
        <v>1862</v>
      </c>
      <c r="BE64" s="77">
        <v>5</v>
      </c>
      <c r="BF64" s="77">
        <v>0.06</v>
      </c>
      <c r="BG64" s="77">
        <v>2.5</v>
      </c>
      <c r="BH64" s="77">
        <v>0.3</v>
      </c>
      <c r="BI64" s="77">
        <v>2</v>
      </c>
    </row>
    <row r="65" spans="1:61" ht="20.100000000000001" customHeight="1" x14ac:dyDescent="0.25">
      <c r="A65" s="67" t="s">
        <v>1863</v>
      </c>
      <c r="B65" s="68">
        <v>1.81</v>
      </c>
      <c r="C65" s="68">
        <f>space_classification[[#This Row],[Lighting (A90.1 -2010)]]*0.85</f>
        <v>1.5385</v>
      </c>
      <c r="D65" s="69">
        <v>3</v>
      </c>
      <c r="E65" s="68">
        <v>250</v>
      </c>
      <c r="F65" s="70">
        <v>200</v>
      </c>
      <c r="G65" s="68"/>
      <c r="H65" s="68"/>
      <c r="I65" s="68"/>
      <c r="J65" s="70"/>
      <c r="K65" s="68">
        <v>25</v>
      </c>
      <c r="L65" s="68">
        <v>10</v>
      </c>
      <c r="M65" s="68">
        <v>0.18</v>
      </c>
      <c r="N65" s="68">
        <v>0</v>
      </c>
      <c r="O65" s="70">
        <v>0</v>
      </c>
      <c r="P65" s="68"/>
      <c r="Q65" s="68">
        <v>15</v>
      </c>
      <c r="R65" s="68">
        <v>0.15</v>
      </c>
      <c r="S65" s="68">
        <v>0</v>
      </c>
      <c r="T65" s="70">
        <v>0</v>
      </c>
      <c r="V65" t="s">
        <v>1864</v>
      </c>
      <c r="W65" s="19">
        <v>0.19</v>
      </c>
      <c r="X65" s="19">
        <v>0.15</v>
      </c>
      <c r="Y65" s="19">
        <v>1</v>
      </c>
      <c r="Z65" s="19" t="s">
        <v>1741</v>
      </c>
      <c r="AB65" s="76" t="s">
        <v>344</v>
      </c>
      <c r="AC65" s="77">
        <v>5</v>
      </c>
      <c r="AD65" s="77">
        <v>0.06</v>
      </c>
      <c r="AE65" s="77">
        <v>2.5</v>
      </c>
      <c r="AF65" s="77">
        <v>0.3</v>
      </c>
      <c r="AG65" s="77">
        <v>5</v>
      </c>
      <c r="AI65" s="76" t="s">
        <v>344</v>
      </c>
      <c r="AJ65" s="77">
        <v>5</v>
      </c>
      <c r="AK65" s="77">
        <v>0.06</v>
      </c>
      <c r="AL65" s="77">
        <v>2.5</v>
      </c>
      <c r="AM65" s="77">
        <v>0.3</v>
      </c>
      <c r="AN65" s="77">
        <v>5</v>
      </c>
      <c r="AO65" s="598"/>
      <c r="AP65" s="76" t="s">
        <v>344</v>
      </c>
      <c r="AQ65" s="77">
        <v>5</v>
      </c>
      <c r="AR65" s="77">
        <v>0.06</v>
      </c>
      <c r="AS65" s="77">
        <v>2.5</v>
      </c>
      <c r="AT65" s="77">
        <v>0.3</v>
      </c>
      <c r="AU65" s="77">
        <v>5</v>
      </c>
      <c r="AW65" s="76" t="s">
        <v>344</v>
      </c>
      <c r="AX65" s="77">
        <v>5</v>
      </c>
      <c r="AY65" s="77">
        <v>0.06</v>
      </c>
      <c r="AZ65" s="77">
        <v>2.5</v>
      </c>
      <c r="BA65" s="77">
        <v>0.3</v>
      </c>
      <c r="BB65" s="77">
        <v>5</v>
      </c>
      <c r="BD65" s="76" t="s">
        <v>344</v>
      </c>
      <c r="BE65" s="77">
        <v>5</v>
      </c>
      <c r="BF65" s="77">
        <v>0.06</v>
      </c>
      <c r="BG65" s="77">
        <v>2.5</v>
      </c>
      <c r="BH65" s="77">
        <v>0.3</v>
      </c>
      <c r="BI65" s="77">
        <v>5</v>
      </c>
    </row>
    <row r="66" spans="1:61" ht="20.100000000000001" customHeight="1" x14ac:dyDescent="0.25">
      <c r="A66" s="78" t="s">
        <v>1865</v>
      </c>
      <c r="B66" s="68">
        <v>2.48</v>
      </c>
      <c r="C66" s="68">
        <f>space_classification[[#This Row],[Lighting (A90.1 -2010)]]*0.85</f>
        <v>2.1080000000000001</v>
      </c>
      <c r="D66" s="69">
        <v>12</v>
      </c>
      <c r="E66" s="68">
        <v>250</v>
      </c>
      <c r="F66" s="70">
        <v>200</v>
      </c>
      <c r="G66" s="79">
        <v>2</v>
      </c>
      <c r="H66" s="79">
        <v>6</v>
      </c>
      <c r="I66" s="79">
        <v>0</v>
      </c>
      <c r="J66" s="80" t="s">
        <v>240</v>
      </c>
      <c r="K66" s="68"/>
      <c r="L66" s="68"/>
      <c r="M66" s="68"/>
      <c r="N66" s="68"/>
      <c r="O66" s="70"/>
      <c r="P66" s="68">
        <v>10</v>
      </c>
      <c r="Q66" s="68">
        <v>15</v>
      </c>
      <c r="R66" s="68">
        <v>0.15</v>
      </c>
      <c r="S66" s="68"/>
      <c r="T66" s="70"/>
      <c r="V66" t="s">
        <v>1866</v>
      </c>
      <c r="W66" s="19">
        <v>0.19</v>
      </c>
      <c r="X66" s="19">
        <v>0.15</v>
      </c>
      <c r="Y66" s="19">
        <v>1</v>
      </c>
      <c r="Z66" s="19" t="s">
        <v>1741</v>
      </c>
      <c r="AB66" s="76" t="s">
        <v>1867</v>
      </c>
      <c r="AC66" s="77">
        <v>7.5</v>
      </c>
      <c r="AD66" s="77">
        <v>0.18</v>
      </c>
      <c r="AE66" s="77">
        <v>3.8</v>
      </c>
      <c r="AF66" s="77">
        <v>0.9</v>
      </c>
      <c r="AG66" s="77">
        <v>10</v>
      </c>
      <c r="AI66" s="76" t="s">
        <v>1867</v>
      </c>
      <c r="AJ66" s="77">
        <v>7.5</v>
      </c>
      <c r="AK66" s="77">
        <v>0.18</v>
      </c>
      <c r="AL66" s="77">
        <v>3.8</v>
      </c>
      <c r="AM66" s="77">
        <v>0.9</v>
      </c>
      <c r="AN66" s="77">
        <v>10</v>
      </c>
      <c r="AO66" s="598"/>
      <c r="AP66" s="76" t="s">
        <v>1867</v>
      </c>
      <c r="AQ66" s="77">
        <v>7.5</v>
      </c>
      <c r="AR66" s="77">
        <v>0.18</v>
      </c>
      <c r="AS66" s="77">
        <v>3.8</v>
      </c>
      <c r="AT66" s="77">
        <v>0.9</v>
      </c>
      <c r="AU66" s="77">
        <v>10</v>
      </c>
      <c r="AW66" s="76" t="s">
        <v>1867</v>
      </c>
      <c r="AX66" s="77">
        <v>7.5</v>
      </c>
      <c r="AY66" s="77">
        <v>0.18</v>
      </c>
      <c r="AZ66" s="77">
        <v>3.8</v>
      </c>
      <c r="BA66" s="77">
        <v>0.9</v>
      </c>
      <c r="BB66" s="77">
        <v>10</v>
      </c>
      <c r="BD66" s="76" t="s">
        <v>1867</v>
      </c>
      <c r="BE66" s="77">
        <v>7.5</v>
      </c>
      <c r="BF66" s="77">
        <v>0.18</v>
      </c>
      <c r="BG66" s="77">
        <v>3.8</v>
      </c>
      <c r="BH66" s="77">
        <v>0.9</v>
      </c>
      <c r="BI66" s="77">
        <v>10</v>
      </c>
    </row>
    <row r="67" spans="1:61" ht="20.100000000000001" customHeight="1" x14ac:dyDescent="0.25">
      <c r="A67" s="67" t="s">
        <v>1868</v>
      </c>
      <c r="B67" s="68">
        <v>1.29</v>
      </c>
      <c r="C67" s="68">
        <f>space_classification[[#This Row],[Lighting (A90.1 -2010)]]*0.85</f>
        <v>1.0965</v>
      </c>
      <c r="D67" s="69">
        <v>6</v>
      </c>
      <c r="E67" s="68">
        <v>275</v>
      </c>
      <c r="F67" s="70">
        <v>275</v>
      </c>
      <c r="G67" s="68"/>
      <c r="H67" s="68"/>
      <c r="I67" s="68"/>
      <c r="J67" s="70"/>
      <c r="K67" s="68">
        <v>7</v>
      </c>
      <c r="L67" s="68">
        <v>10</v>
      </c>
      <c r="M67" s="68">
        <v>0.18</v>
      </c>
      <c r="N67" s="68">
        <v>0</v>
      </c>
      <c r="O67" s="70">
        <v>0</v>
      </c>
      <c r="P67" s="68"/>
      <c r="Q67" s="68">
        <v>15</v>
      </c>
      <c r="R67" s="68">
        <v>0.15</v>
      </c>
      <c r="S67" s="68">
        <v>0</v>
      </c>
      <c r="T67" s="70">
        <v>0</v>
      </c>
      <c r="V67" t="s">
        <v>1869</v>
      </c>
      <c r="W67" s="19">
        <v>0.15</v>
      </c>
      <c r="X67" s="19"/>
      <c r="Y67" s="19">
        <v>1</v>
      </c>
      <c r="Z67" s="19"/>
      <c r="AB67" s="76" t="s">
        <v>1870</v>
      </c>
      <c r="AC67" s="77">
        <v>5</v>
      </c>
      <c r="AD67" s="77">
        <v>0.18</v>
      </c>
      <c r="AE67" s="77">
        <v>2.5</v>
      </c>
      <c r="AF67" s="77">
        <v>0.9</v>
      </c>
      <c r="AG67" s="77">
        <v>10</v>
      </c>
      <c r="AI67" s="76" t="s">
        <v>1870</v>
      </c>
      <c r="AJ67" s="77">
        <v>5</v>
      </c>
      <c r="AK67" s="77">
        <v>0.18</v>
      </c>
      <c r="AL67" s="77">
        <v>2.5</v>
      </c>
      <c r="AM67" s="77">
        <v>0.9</v>
      </c>
      <c r="AN67" s="77">
        <v>10</v>
      </c>
      <c r="AO67" s="598"/>
      <c r="AP67" s="76" t="s">
        <v>1870</v>
      </c>
      <c r="AQ67" s="77">
        <v>5</v>
      </c>
      <c r="AR67" s="77">
        <v>0.18</v>
      </c>
      <c r="AS67" s="77">
        <v>2.5</v>
      </c>
      <c r="AT67" s="77">
        <v>0.9</v>
      </c>
      <c r="AU67" s="77">
        <v>10</v>
      </c>
      <c r="AW67" s="76" t="s">
        <v>1870</v>
      </c>
      <c r="AX67" s="77">
        <v>5</v>
      </c>
      <c r="AY67" s="77">
        <v>0.18</v>
      </c>
      <c r="AZ67" s="77">
        <v>2.5</v>
      </c>
      <c r="BA67" s="77">
        <v>0.9</v>
      </c>
      <c r="BB67" s="77">
        <v>10</v>
      </c>
      <c r="BD67" s="76" t="s">
        <v>1870</v>
      </c>
      <c r="BE67" s="77">
        <v>5</v>
      </c>
      <c r="BF67" s="77">
        <v>0.18</v>
      </c>
      <c r="BG67" s="77">
        <v>2.5</v>
      </c>
      <c r="BH67" s="77">
        <v>0.9</v>
      </c>
      <c r="BI67" s="77">
        <v>10</v>
      </c>
    </row>
    <row r="68" spans="1:61" ht="20.100000000000001" customHeight="1" x14ac:dyDescent="0.25">
      <c r="A68" s="67" t="s">
        <v>1871</v>
      </c>
      <c r="B68" s="68">
        <v>1.81</v>
      </c>
      <c r="C68" s="68">
        <f>space_classification[[#This Row],[Lighting (A90.1 -2010)]]*0.85</f>
        <v>1.5385</v>
      </c>
      <c r="D68" s="69">
        <v>10</v>
      </c>
      <c r="E68" s="68">
        <v>250</v>
      </c>
      <c r="F68" s="70">
        <v>200</v>
      </c>
      <c r="G68" s="68"/>
      <c r="H68" s="68"/>
      <c r="I68" s="68"/>
      <c r="J68" s="70"/>
      <c r="K68" s="68">
        <v>25</v>
      </c>
      <c r="L68" s="68">
        <v>10</v>
      </c>
      <c r="M68" s="68">
        <v>0.18</v>
      </c>
      <c r="N68" s="68">
        <v>0</v>
      </c>
      <c r="O68" s="70">
        <v>0</v>
      </c>
      <c r="P68" s="68"/>
      <c r="Q68" s="68">
        <v>15</v>
      </c>
      <c r="R68" s="68">
        <v>0.15</v>
      </c>
      <c r="S68" s="68">
        <v>0</v>
      </c>
      <c r="T68" s="70">
        <v>0</v>
      </c>
      <c r="V68" t="s">
        <v>1872</v>
      </c>
      <c r="W68" s="19">
        <v>0.5</v>
      </c>
      <c r="X68" s="19" t="s">
        <v>1873</v>
      </c>
      <c r="Y68" s="19">
        <v>1</v>
      </c>
      <c r="Z68" s="19" t="s">
        <v>1741</v>
      </c>
      <c r="AB68" s="76" t="s">
        <v>1874</v>
      </c>
      <c r="AC68" s="77">
        <v>5</v>
      </c>
      <c r="AD68" s="77">
        <v>0.12</v>
      </c>
      <c r="AE68" s="77">
        <v>2.5</v>
      </c>
      <c r="AF68" s="77">
        <v>0.6</v>
      </c>
      <c r="AG68" s="77">
        <v>10</v>
      </c>
      <c r="AI68" s="76" t="s">
        <v>1874</v>
      </c>
      <c r="AJ68" s="77">
        <v>5</v>
      </c>
      <c r="AK68" s="77">
        <v>0.12</v>
      </c>
      <c r="AL68" s="77">
        <v>2.5</v>
      </c>
      <c r="AM68" s="77">
        <v>0.6</v>
      </c>
      <c r="AN68" s="77">
        <v>10</v>
      </c>
      <c r="AO68" s="598"/>
      <c r="AP68" s="76" t="s">
        <v>1874</v>
      </c>
      <c r="AQ68" s="77">
        <v>5</v>
      </c>
      <c r="AR68" s="77">
        <v>0.12</v>
      </c>
      <c r="AS68" s="77">
        <v>2.5</v>
      </c>
      <c r="AT68" s="77">
        <v>0.6</v>
      </c>
      <c r="AU68" s="77">
        <v>10</v>
      </c>
      <c r="AW68" s="76" t="s">
        <v>1874</v>
      </c>
      <c r="AX68" s="77">
        <v>5</v>
      </c>
      <c r="AY68" s="77">
        <v>0.12</v>
      </c>
      <c r="AZ68" s="77">
        <v>2.5</v>
      </c>
      <c r="BA68" s="77">
        <v>0.6</v>
      </c>
      <c r="BB68" s="77">
        <v>10</v>
      </c>
      <c r="BD68" s="76" t="s">
        <v>1874</v>
      </c>
      <c r="BE68" s="77">
        <v>5</v>
      </c>
      <c r="BF68" s="77">
        <v>0.12</v>
      </c>
      <c r="BG68" s="77">
        <v>2.5</v>
      </c>
      <c r="BH68" s="77">
        <v>0.6</v>
      </c>
      <c r="BI68" s="77">
        <v>10</v>
      </c>
    </row>
    <row r="69" spans="1:61" ht="24.75" x14ac:dyDescent="0.25">
      <c r="A69" s="67" t="s">
        <v>1875</v>
      </c>
      <c r="B69" s="68">
        <v>1.2</v>
      </c>
      <c r="C69" s="68">
        <f>space_classification[[#This Row],[Lighting (A90.1 -2010)]]*0.85</f>
        <v>1.02</v>
      </c>
      <c r="D69" s="69">
        <v>0</v>
      </c>
      <c r="E69" s="68">
        <v>710</v>
      </c>
      <c r="F69" s="70">
        <v>1090</v>
      </c>
      <c r="G69" s="68"/>
      <c r="H69" s="68"/>
      <c r="I69" s="68"/>
      <c r="J69" s="70"/>
      <c r="K69" s="68">
        <v>30</v>
      </c>
      <c r="L69" s="68">
        <v>0</v>
      </c>
      <c r="M69" s="68">
        <v>0.3</v>
      </c>
      <c r="N69" s="68">
        <v>0.5</v>
      </c>
      <c r="O69" s="70">
        <v>0</v>
      </c>
      <c r="P69" s="68"/>
      <c r="Q69" s="68">
        <v>15</v>
      </c>
      <c r="R69" s="68">
        <v>0.15</v>
      </c>
      <c r="S69" s="68">
        <v>0.5</v>
      </c>
      <c r="T69" s="70">
        <v>0</v>
      </c>
      <c r="V69" t="s">
        <v>1876</v>
      </c>
      <c r="W69" s="19">
        <v>0.25</v>
      </c>
      <c r="X69" s="19">
        <v>0.15</v>
      </c>
      <c r="Y69" s="19">
        <v>1</v>
      </c>
      <c r="Z69" s="19"/>
      <c r="AB69" s="76" t="s">
        <v>1861</v>
      </c>
      <c r="AC69" s="77">
        <v>5</v>
      </c>
      <c r="AD69" s="77">
        <v>0.06</v>
      </c>
      <c r="AE69" s="77">
        <v>2.5</v>
      </c>
      <c r="AF69" s="77">
        <v>0.3</v>
      </c>
      <c r="AG69" s="77">
        <v>120</v>
      </c>
      <c r="AI69" s="76" t="s">
        <v>1861</v>
      </c>
      <c r="AJ69" s="77">
        <v>5</v>
      </c>
      <c r="AK69" s="77">
        <v>0.06</v>
      </c>
      <c r="AL69" s="77">
        <v>2.5</v>
      </c>
      <c r="AM69" s="77">
        <v>0.3</v>
      </c>
      <c r="AN69" s="77">
        <v>120</v>
      </c>
      <c r="AO69" s="598"/>
      <c r="AP69" s="76" t="s">
        <v>1861</v>
      </c>
      <c r="AQ69" s="77">
        <v>5</v>
      </c>
      <c r="AR69" s="77">
        <v>0.06</v>
      </c>
      <c r="AS69" s="77">
        <v>2.5</v>
      </c>
      <c r="AT69" s="77">
        <v>0.3</v>
      </c>
      <c r="AU69" s="77">
        <v>120</v>
      </c>
      <c r="AW69" s="76" t="s">
        <v>1861</v>
      </c>
      <c r="AX69" s="77">
        <v>5</v>
      </c>
      <c r="AY69" s="77">
        <v>0.06</v>
      </c>
      <c r="AZ69" s="77">
        <v>2.5</v>
      </c>
      <c r="BA69" s="77">
        <v>0.3</v>
      </c>
      <c r="BB69" s="77">
        <v>120</v>
      </c>
      <c r="BD69" s="76" t="s">
        <v>1861</v>
      </c>
      <c r="BE69" s="77">
        <v>5</v>
      </c>
      <c r="BF69" s="77">
        <v>0.06</v>
      </c>
      <c r="BG69" s="77">
        <v>2.5</v>
      </c>
      <c r="BH69" s="77">
        <v>0.3</v>
      </c>
      <c r="BI69" s="77">
        <v>120</v>
      </c>
    </row>
    <row r="70" spans="1:61" ht="20.100000000000001" customHeight="1" x14ac:dyDescent="0.25">
      <c r="A70" s="67" t="s">
        <v>1877</v>
      </c>
      <c r="B70" s="68">
        <v>0.72</v>
      </c>
      <c r="C70" s="68">
        <f>space_classification[[#This Row],[Lighting (A90.1 -2010)]]*0.85</f>
        <v>0.61199999999999999</v>
      </c>
      <c r="D70" s="69">
        <v>0</v>
      </c>
      <c r="E70" s="68">
        <v>710</v>
      </c>
      <c r="F70" s="70">
        <v>1090</v>
      </c>
      <c r="G70" s="68"/>
      <c r="H70" s="68"/>
      <c r="I70" s="68"/>
      <c r="J70" s="70"/>
      <c r="K70" s="68">
        <v>40</v>
      </c>
      <c r="L70" s="68">
        <v>20</v>
      </c>
      <c r="M70" s="68">
        <v>0.06</v>
      </c>
      <c r="N70" s="68">
        <v>0</v>
      </c>
      <c r="O70" s="70">
        <v>0</v>
      </c>
      <c r="P70" s="68">
        <v>20</v>
      </c>
      <c r="Q70" s="68">
        <v>15</v>
      </c>
      <c r="R70" s="68">
        <v>0.15</v>
      </c>
      <c r="S70" s="68">
        <v>0</v>
      </c>
      <c r="T70" s="70">
        <v>0</v>
      </c>
      <c r="V70" t="s">
        <v>1878</v>
      </c>
      <c r="W70" s="19">
        <v>0.25</v>
      </c>
      <c r="X70" s="19">
        <v>0.15</v>
      </c>
      <c r="Y70" s="19">
        <v>1</v>
      </c>
      <c r="Z70" s="19" t="s">
        <v>1741</v>
      </c>
      <c r="AB70" s="76" t="s">
        <v>1879</v>
      </c>
      <c r="AC70" s="77">
        <v>5</v>
      </c>
      <c r="AD70" s="77">
        <v>0.06</v>
      </c>
      <c r="AE70" s="77">
        <v>2.5</v>
      </c>
      <c r="AF70" s="77">
        <v>0.3</v>
      </c>
      <c r="AG70" s="77">
        <v>30</v>
      </c>
      <c r="AI70" s="76" t="s">
        <v>1879</v>
      </c>
      <c r="AJ70" s="77">
        <v>5</v>
      </c>
      <c r="AK70" s="77">
        <v>0.06</v>
      </c>
      <c r="AL70" s="77">
        <v>2.5</v>
      </c>
      <c r="AM70" s="77">
        <v>0.3</v>
      </c>
      <c r="AN70" s="77">
        <v>30</v>
      </c>
      <c r="AO70" s="598"/>
      <c r="AP70" s="76" t="s">
        <v>1879</v>
      </c>
      <c r="AQ70" s="77">
        <v>5</v>
      </c>
      <c r="AR70" s="77">
        <v>0.06</v>
      </c>
      <c r="AS70" s="77">
        <v>2.5</v>
      </c>
      <c r="AT70" s="77">
        <v>0.3</v>
      </c>
      <c r="AU70" s="77">
        <v>30</v>
      </c>
      <c r="AW70" s="76" t="s">
        <v>1879</v>
      </c>
      <c r="AX70" s="77">
        <v>5</v>
      </c>
      <c r="AY70" s="77">
        <v>0.06</v>
      </c>
      <c r="AZ70" s="77">
        <v>2.5</v>
      </c>
      <c r="BA70" s="77">
        <v>0.3</v>
      </c>
      <c r="BB70" s="77">
        <v>30</v>
      </c>
      <c r="BD70" s="76" t="s">
        <v>1879</v>
      </c>
      <c r="BE70" s="77">
        <v>5</v>
      </c>
      <c r="BF70" s="77">
        <v>0.06</v>
      </c>
      <c r="BG70" s="77">
        <v>2.5</v>
      </c>
      <c r="BH70" s="77">
        <v>0.3</v>
      </c>
      <c r="BI70" s="77">
        <v>30</v>
      </c>
    </row>
    <row r="71" spans="1:61" ht="20.100000000000001" customHeight="1" x14ac:dyDescent="0.25">
      <c r="A71" s="78" t="s">
        <v>1880</v>
      </c>
      <c r="B71" s="68">
        <v>0.72</v>
      </c>
      <c r="C71" s="68">
        <f>space_classification[[#This Row],[Lighting (A90.1 -2010)]]*0.85</f>
        <v>0.61199999999999999</v>
      </c>
      <c r="D71" s="69">
        <v>2</v>
      </c>
      <c r="E71" s="68">
        <v>710</v>
      </c>
      <c r="F71" s="70">
        <v>1090</v>
      </c>
      <c r="G71" s="68"/>
      <c r="H71" s="68"/>
      <c r="I71" s="68"/>
      <c r="J71" s="70"/>
      <c r="K71" s="68">
        <v>10</v>
      </c>
      <c r="L71" s="68">
        <v>20</v>
      </c>
      <c r="M71" s="68">
        <v>0.06</v>
      </c>
      <c r="N71" s="68">
        <v>0</v>
      </c>
      <c r="O71" s="70">
        <v>0</v>
      </c>
      <c r="P71" s="68">
        <v>20</v>
      </c>
      <c r="Q71" s="68">
        <v>15</v>
      </c>
      <c r="R71" s="68">
        <v>0.15</v>
      </c>
      <c r="S71" s="68">
        <v>0</v>
      </c>
      <c r="T71" s="70">
        <v>0</v>
      </c>
      <c r="V71" s="75" t="s">
        <v>1881</v>
      </c>
      <c r="W71" s="81"/>
      <c r="X71" s="81"/>
      <c r="Y71" s="81"/>
      <c r="Z71" s="81"/>
      <c r="AB71" s="76" t="s">
        <v>1882</v>
      </c>
      <c r="AC71" s="77">
        <v>7.5</v>
      </c>
      <c r="AD71" s="77">
        <v>0.18</v>
      </c>
      <c r="AE71" s="77">
        <v>3.8</v>
      </c>
      <c r="AF71" s="77">
        <v>0.9</v>
      </c>
      <c r="AG71" s="77">
        <v>70</v>
      </c>
      <c r="AI71" s="76" t="s">
        <v>1882</v>
      </c>
      <c r="AJ71" s="77">
        <v>7.5</v>
      </c>
      <c r="AK71" s="77">
        <v>0.18</v>
      </c>
      <c r="AL71" s="77">
        <v>3.8</v>
      </c>
      <c r="AM71" s="77">
        <v>0.9</v>
      </c>
      <c r="AN71" s="77">
        <v>70</v>
      </c>
      <c r="AO71" s="598"/>
      <c r="AP71" s="76" t="s">
        <v>1882</v>
      </c>
      <c r="AQ71" s="77">
        <v>7.5</v>
      </c>
      <c r="AR71" s="77">
        <v>0.18</v>
      </c>
      <c r="AS71" s="77">
        <v>3.8</v>
      </c>
      <c r="AT71" s="77">
        <v>0.9</v>
      </c>
      <c r="AU71" s="77">
        <v>70</v>
      </c>
      <c r="AW71" s="76" t="s">
        <v>1882</v>
      </c>
      <c r="AX71" s="77">
        <v>7.5</v>
      </c>
      <c r="AY71" s="77">
        <v>0.18</v>
      </c>
      <c r="AZ71" s="77">
        <v>3.8</v>
      </c>
      <c r="BA71" s="77">
        <v>0.9</v>
      </c>
      <c r="BB71" s="77">
        <v>70</v>
      </c>
      <c r="BD71" s="76" t="s">
        <v>1882</v>
      </c>
      <c r="BE71" s="77">
        <v>7.5</v>
      </c>
      <c r="BF71" s="77">
        <v>0.18</v>
      </c>
      <c r="BG71" s="77">
        <v>3.8</v>
      </c>
      <c r="BH71" s="77">
        <v>0.9</v>
      </c>
      <c r="BI71" s="77">
        <v>70</v>
      </c>
    </row>
    <row r="72" spans="1:61" ht="20.100000000000001" customHeight="1" x14ac:dyDescent="0.25">
      <c r="A72" s="78" t="s">
        <v>1883</v>
      </c>
      <c r="B72" s="68">
        <v>1.81</v>
      </c>
      <c r="C72" s="68">
        <f>space_classification[[#This Row],[Lighting (A90.1 -2010)]]*0.85</f>
        <v>1.5385</v>
      </c>
      <c r="D72" s="69">
        <v>5</v>
      </c>
      <c r="E72" s="68">
        <v>250</v>
      </c>
      <c r="F72" s="70">
        <v>200</v>
      </c>
      <c r="G72" s="68">
        <v>2</v>
      </c>
      <c r="H72" s="68">
        <v>10</v>
      </c>
      <c r="I72" s="68"/>
      <c r="J72" s="70"/>
      <c r="K72" s="68">
        <v>25</v>
      </c>
      <c r="L72" s="68">
        <v>10</v>
      </c>
      <c r="M72" s="68">
        <v>0.18</v>
      </c>
      <c r="N72" s="68">
        <v>0</v>
      </c>
      <c r="O72" s="70">
        <v>0</v>
      </c>
      <c r="P72" s="68">
        <v>4.16</v>
      </c>
      <c r="Q72" s="68">
        <v>15</v>
      </c>
      <c r="R72" s="68">
        <v>0.15</v>
      </c>
      <c r="S72" s="68">
        <v>0</v>
      </c>
      <c r="T72" s="70">
        <v>0</v>
      </c>
      <c r="V72" t="s">
        <v>1884</v>
      </c>
      <c r="W72">
        <v>0.15</v>
      </c>
      <c r="Y72" s="19">
        <v>1</v>
      </c>
      <c r="Z72" t="s">
        <v>1741</v>
      </c>
      <c r="AB72" s="76" t="s">
        <v>1885</v>
      </c>
      <c r="AC72" s="77">
        <v>7.5</v>
      </c>
      <c r="AD72" s="77">
        <v>0.12</v>
      </c>
      <c r="AE72" s="77">
        <v>3.8</v>
      </c>
      <c r="AF72" s="77">
        <v>0.6</v>
      </c>
      <c r="AG72" s="77">
        <v>15</v>
      </c>
      <c r="AI72" s="76" t="s">
        <v>1885</v>
      </c>
      <c r="AJ72" s="77">
        <v>7.5</v>
      </c>
      <c r="AK72" s="77">
        <v>0.12</v>
      </c>
      <c r="AL72" s="77">
        <v>3.8</v>
      </c>
      <c r="AM72" s="77">
        <v>0.6</v>
      </c>
      <c r="AN72" s="77">
        <v>15</v>
      </c>
      <c r="AO72" s="598"/>
      <c r="AP72" s="76" t="s">
        <v>1885</v>
      </c>
      <c r="AQ72" s="77">
        <v>7.5</v>
      </c>
      <c r="AR72" s="77">
        <v>0.12</v>
      </c>
      <c r="AS72" s="77">
        <v>3.8</v>
      </c>
      <c r="AT72" s="77">
        <v>0.6</v>
      </c>
      <c r="AU72" s="77">
        <v>15</v>
      </c>
      <c r="AW72" s="76" t="s">
        <v>1885</v>
      </c>
      <c r="AX72" s="77">
        <v>7.5</v>
      </c>
      <c r="AY72" s="77">
        <v>0.12</v>
      </c>
      <c r="AZ72" s="77">
        <v>3.8</v>
      </c>
      <c r="BA72" s="77">
        <v>0.6</v>
      </c>
      <c r="BB72" s="77">
        <v>15</v>
      </c>
      <c r="BD72" s="76" t="s">
        <v>1885</v>
      </c>
      <c r="BE72" s="77">
        <v>7.5</v>
      </c>
      <c r="BF72" s="77">
        <v>0.12</v>
      </c>
      <c r="BG72" s="77">
        <v>3.8</v>
      </c>
      <c r="BH72" s="77">
        <v>0.6</v>
      </c>
      <c r="BI72" s="77">
        <v>15</v>
      </c>
    </row>
    <row r="73" spans="1:61" ht="20.100000000000001" customHeight="1" x14ac:dyDescent="0.25">
      <c r="A73" s="78" t="s">
        <v>1886</v>
      </c>
      <c r="B73" s="68">
        <v>0.91</v>
      </c>
      <c r="C73" s="68">
        <f>space_classification[[#This Row],[Lighting (A90.1 -2010)]]*0.85</f>
        <v>0.77349999999999997</v>
      </c>
      <c r="D73" s="69">
        <v>0.5</v>
      </c>
      <c r="E73" s="68">
        <v>275</v>
      </c>
      <c r="F73" s="70">
        <v>275</v>
      </c>
      <c r="G73" s="79">
        <v>2</v>
      </c>
      <c r="H73" s="79">
        <v>6</v>
      </c>
      <c r="I73" s="79">
        <v>0</v>
      </c>
      <c r="J73" s="80" t="s">
        <v>1727</v>
      </c>
      <c r="K73" s="68"/>
      <c r="L73" s="68"/>
      <c r="M73" s="68"/>
      <c r="N73" s="68"/>
      <c r="O73" s="70"/>
      <c r="P73" s="68"/>
      <c r="Q73" s="68">
        <v>15</v>
      </c>
      <c r="R73" s="68">
        <v>0.15</v>
      </c>
      <c r="S73" s="68"/>
      <c r="T73" s="70"/>
      <c r="V73" s="75" t="s">
        <v>1887</v>
      </c>
      <c r="W73" s="81"/>
      <c r="X73" s="81"/>
      <c r="Y73" s="81"/>
      <c r="Z73" s="81"/>
      <c r="AB73" s="76" t="s">
        <v>345</v>
      </c>
      <c r="AC73" s="77">
        <v>10</v>
      </c>
      <c r="AD73" s="77">
        <v>0.18</v>
      </c>
      <c r="AE73" s="77">
        <v>5</v>
      </c>
      <c r="AF73" s="77">
        <v>0.9</v>
      </c>
      <c r="AG73" s="77">
        <v>25</v>
      </c>
      <c r="AI73" s="76" t="s">
        <v>345</v>
      </c>
      <c r="AJ73" s="77">
        <v>10</v>
      </c>
      <c r="AK73" s="77">
        <v>0.18</v>
      </c>
      <c r="AL73" s="77">
        <v>5</v>
      </c>
      <c r="AM73" s="77">
        <v>0.9</v>
      </c>
      <c r="AN73" s="77">
        <v>25</v>
      </c>
      <c r="AO73" s="598"/>
      <c r="AP73" s="76" t="s">
        <v>345</v>
      </c>
      <c r="AQ73" s="77">
        <v>10</v>
      </c>
      <c r="AR73" s="77">
        <v>0.18</v>
      </c>
      <c r="AS73" s="77">
        <v>5</v>
      </c>
      <c r="AT73" s="77">
        <v>0.9</v>
      </c>
      <c r="AU73" s="77">
        <v>25</v>
      </c>
      <c r="AW73" s="76" t="s">
        <v>345</v>
      </c>
      <c r="AX73" s="77">
        <v>10</v>
      </c>
      <c r="AY73" s="77">
        <v>0.18</v>
      </c>
      <c r="AZ73" s="77">
        <v>5</v>
      </c>
      <c r="BA73" s="77">
        <v>0.9</v>
      </c>
      <c r="BB73" s="77">
        <v>25</v>
      </c>
      <c r="BD73" s="76" t="s">
        <v>345</v>
      </c>
      <c r="BE73" s="77">
        <v>10</v>
      </c>
      <c r="BF73" s="77">
        <v>0.18</v>
      </c>
      <c r="BG73" s="77">
        <v>5</v>
      </c>
      <c r="BH73" s="77">
        <v>0.9</v>
      </c>
      <c r="BI73" s="77">
        <v>25</v>
      </c>
    </row>
    <row r="74" spans="1:61" ht="20.100000000000001" customHeight="1" x14ac:dyDescent="0.25">
      <c r="A74" s="67" t="s">
        <v>1888</v>
      </c>
      <c r="B74" s="68">
        <v>1</v>
      </c>
      <c r="C74" s="68">
        <f>space_classification[[#This Row],[Lighting (A90.1 -2010)]]*0.85</f>
        <v>0.85</v>
      </c>
      <c r="D74" s="69">
        <v>75</v>
      </c>
      <c r="E74" s="68">
        <v>250</v>
      </c>
      <c r="F74" s="70">
        <v>200</v>
      </c>
      <c r="G74" s="68"/>
      <c r="H74" s="68"/>
      <c r="I74" s="68"/>
      <c r="J74" s="70"/>
      <c r="K74" s="68"/>
      <c r="L74" s="68"/>
      <c r="M74" s="68"/>
      <c r="N74" s="68"/>
      <c r="O74" s="70"/>
      <c r="P74" s="68"/>
      <c r="Q74" s="68">
        <v>15</v>
      </c>
      <c r="R74" s="68">
        <v>0.15</v>
      </c>
      <c r="S74" s="68"/>
      <c r="T74" s="70"/>
      <c r="V74" t="s">
        <v>1889</v>
      </c>
      <c r="W74" s="19">
        <v>0.25</v>
      </c>
      <c r="X74" s="19">
        <v>0.2</v>
      </c>
      <c r="Y74" s="19">
        <v>2</v>
      </c>
      <c r="Z74" s="19"/>
      <c r="AB74" s="76" t="s">
        <v>1890</v>
      </c>
      <c r="AC74" s="77">
        <v>10</v>
      </c>
      <c r="AD74" s="77">
        <v>0.12</v>
      </c>
      <c r="AE74" s="77">
        <v>5</v>
      </c>
      <c r="AF74" s="77">
        <v>0.6</v>
      </c>
      <c r="AG74" s="77">
        <v>2</v>
      </c>
      <c r="AI74" s="76" t="s">
        <v>1890</v>
      </c>
      <c r="AJ74" s="77">
        <v>10</v>
      </c>
      <c r="AK74" s="77">
        <v>0.12</v>
      </c>
      <c r="AL74" s="77">
        <v>5</v>
      </c>
      <c r="AM74" s="77">
        <v>0.6</v>
      </c>
      <c r="AN74" s="77">
        <v>2</v>
      </c>
      <c r="AO74" s="598"/>
      <c r="AP74" s="76" t="s">
        <v>1890</v>
      </c>
      <c r="AQ74" s="77">
        <v>10</v>
      </c>
      <c r="AR74" s="77">
        <v>0.12</v>
      </c>
      <c r="AS74" s="77">
        <v>5</v>
      </c>
      <c r="AT74" s="77">
        <v>0.6</v>
      </c>
      <c r="AU74" s="77">
        <v>2</v>
      </c>
      <c r="AW74" s="76" t="s">
        <v>1890</v>
      </c>
      <c r="AX74" s="77">
        <v>10</v>
      </c>
      <c r="AY74" s="77">
        <v>0.12</v>
      </c>
      <c r="AZ74" s="77">
        <v>5</v>
      </c>
      <c r="BA74" s="77">
        <v>0.6</v>
      </c>
      <c r="BB74" s="77">
        <v>2</v>
      </c>
      <c r="BD74" s="76" t="s">
        <v>1890</v>
      </c>
      <c r="BE74" s="77">
        <v>10</v>
      </c>
      <c r="BF74" s="77">
        <v>0.12</v>
      </c>
      <c r="BG74" s="77">
        <v>5</v>
      </c>
      <c r="BH74" s="77">
        <v>0.6</v>
      </c>
      <c r="BI74" s="77">
        <v>2</v>
      </c>
    </row>
    <row r="75" spans="1:61" ht="20.100000000000001" customHeight="1" x14ac:dyDescent="0.25">
      <c r="A75" s="67" t="s">
        <v>1891</v>
      </c>
      <c r="B75" s="68">
        <v>1.81</v>
      </c>
      <c r="C75" s="68">
        <f>space_classification[[#This Row],[Lighting (A90.1 -2010)]]*0.85</f>
        <v>1.5385</v>
      </c>
      <c r="D75" s="69">
        <v>8</v>
      </c>
      <c r="E75" s="68">
        <v>250</v>
      </c>
      <c r="F75" s="70">
        <v>200</v>
      </c>
      <c r="G75" s="68"/>
      <c r="H75" s="68"/>
      <c r="I75" s="68"/>
      <c r="J75" s="70"/>
      <c r="K75" s="68">
        <v>25</v>
      </c>
      <c r="L75" s="68">
        <v>10</v>
      </c>
      <c r="M75" s="68">
        <v>0.18</v>
      </c>
      <c r="N75" s="68">
        <v>0</v>
      </c>
      <c r="O75" s="70">
        <v>0</v>
      </c>
      <c r="P75" s="68">
        <v>4.16</v>
      </c>
      <c r="Q75" s="68">
        <v>15</v>
      </c>
      <c r="R75" s="68">
        <v>0.15</v>
      </c>
      <c r="S75" s="68">
        <v>0</v>
      </c>
      <c r="T75" s="70">
        <v>0</v>
      </c>
      <c r="V75" t="s">
        <v>1892</v>
      </c>
      <c r="W75" s="19">
        <v>0.25</v>
      </c>
      <c r="X75" s="19">
        <v>0.15</v>
      </c>
      <c r="Y75" s="19">
        <v>1</v>
      </c>
      <c r="Z75" s="19" t="s">
        <v>1741</v>
      </c>
      <c r="AB75" s="76" t="s">
        <v>1893</v>
      </c>
      <c r="AC75" s="77">
        <v>7.5</v>
      </c>
      <c r="AD75" s="77">
        <v>0.12</v>
      </c>
      <c r="AE75" s="77">
        <v>3.8</v>
      </c>
      <c r="AF75" s="77">
        <v>0.6</v>
      </c>
      <c r="AG75" s="77">
        <v>7</v>
      </c>
      <c r="AI75" s="76" t="s">
        <v>1893</v>
      </c>
      <c r="AJ75" s="77">
        <v>7.5</v>
      </c>
      <c r="AK75" s="77">
        <v>0.12</v>
      </c>
      <c r="AL75" s="77">
        <v>3.8</v>
      </c>
      <c r="AM75" s="77">
        <v>0.6</v>
      </c>
      <c r="AN75" s="77">
        <v>7</v>
      </c>
      <c r="AO75" s="598"/>
      <c r="AP75" s="76" t="s">
        <v>1893</v>
      </c>
      <c r="AQ75" s="77">
        <v>7.5</v>
      </c>
      <c r="AR75" s="77">
        <v>0.12</v>
      </c>
      <c r="AS75" s="77">
        <v>3.8</v>
      </c>
      <c r="AT75" s="77">
        <v>0.6</v>
      </c>
      <c r="AU75" s="77">
        <v>7</v>
      </c>
      <c r="AW75" s="76" t="s">
        <v>1893</v>
      </c>
      <c r="AX75" s="77">
        <v>7.5</v>
      </c>
      <c r="AY75" s="77">
        <v>0.12</v>
      </c>
      <c r="AZ75" s="77">
        <v>3.8</v>
      </c>
      <c r="BA75" s="77">
        <v>0.6</v>
      </c>
      <c r="BB75" s="77">
        <v>7</v>
      </c>
      <c r="BD75" s="76" t="s">
        <v>1893</v>
      </c>
      <c r="BE75" s="77">
        <v>7.5</v>
      </c>
      <c r="BF75" s="77">
        <v>0.12</v>
      </c>
      <c r="BG75" s="77">
        <v>3.8</v>
      </c>
      <c r="BH75" s="77">
        <v>0.6</v>
      </c>
      <c r="BI75" s="77">
        <v>7</v>
      </c>
    </row>
    <row r="76" spans="1:61" ht="20.100000000000001" customHeight="1" x14ac:dyDescent="0.25">
      <c r="A76" s="67" t="s">
        <v>1894</v>
      </c>
      <c r="B76" s="68">
        <v>0.7</v>
      </c>
      <c r="C76" s="68">
        <f>space_classification[[#This Row],[Lighting (A90.1 -2010)]]*0.85</f>
        <v>0.59499999999999997</v>
      </c>
      <c r="D76" s="69">
        <v>3</v>
      </c>
      <c r="E76" s="68">
        <v>250</v>
      </c>
      <c r="F76" s="70">
        <v>200</v>
      </c>
      <c r="G76" s="68">
        <v>2</v>
      </c>
      <c r="H76" s="68">
        <v>6</v>
      </c>
      <c r="I76" s="68">
        <v>6</v>
      </c>
      <c r="J76" s="70" t="s">
        <v>1767</v>
      </c>
      <c r="K76" s="68"/>
      <c r="L76" s="68"/>
      <c r="M76" s="68"/>
      <c r="N76" s="68"/>
      <c r="O76" s="70"/>
      <c r="P76" s="68">
        <v>4.16</v>
      </c>
      <c r="Q76" s="68">
        <v>15</v>
      </c>
      <c r="R76" s="68">
        <v>0.15</v>
      </c>
      <c r="S76" s="68"/>
      <c r="T76" s="70"/>
      <c r="V76" t="s">
        <v>1895</v>
      </c>
      <c r="W76" s="19">
        <v>0.4</v>
      </c>
      <c r="X76" s="19"/>
      <c r="Y76" s="19">
        <v>2</v>
      </c>
      <c r="Z76" s="19"/>
      <c r="AB76" s="76" t="s">
        <v>1896</v>
      </c>
      <c r="AC76" s="77">
        <v>7.5</v>
      </c>
      <c r="AD76" s="77">
        <v>0.06</v>
      </c>
      <c r="AE76" s="77">
        <v>3.8</v>
      </c>
      <c r="AF76" s="77">
        <v>0.3</v>
      </c>
      <c r="AG76" s="77">
        <v>150</v>
      </c>
      <c r="AI76" s="76" t="s">
        <v>1896</v>
      </c>
      <c r="AJ76" s="77">
        <v>7.5</v>
      </c>
      <c r="AK76" s="77">
        <v>0.06</v>
      </c>
      <c r="AL76" s="77">
        <v>3.8</v>
      </c>
      <c r="AM76" s="77">
        <v>0.3</v>
      </c>
      <c r="AN76" s="77">
        <v>150</v>
      </c>
      <c r="AO76" s="598"/>
      <c r="AP76" s="76" t="s">
        <v>1896</v>
      </c>
      <c r="AQ76" s="77">
        <v>7.5</v>
      </c>
      <c r="AR76" s="77">
        <v>0.06</v>
      </c>
      <c r="AS76" s="77">
        <v>3.8</v>
      </c>
      <c r="AT76" s="77">
        <v>0.3</v>
      </c>
      <c r="AU76" s="77">
        <v>150</v>
      </c>
      <c r="AW76" s="76" t="s">
        <v>1896</v>
      </c>
      <c r="AX76" s="77">
        <v>7.5</v>
      </c>
      <c r="AY76" s="77">
        <v>0.06</v>
      </c>
      <c r="AZ76" s="77">
        <v>3.8</v>
      </c>
      <c r="BA76" s="77">
        <v>0.3</v>
      </c>
      <c r="BB76" s="77">
        <v>150</v>
      </c>
      <c r="BD76" s="76" t="s">
        <v>1896</v>
      </c>
      <c r="BE76" s="77">
        <v>7.5</v>
      </c>
      <c r="BF76" s="77">
        <v>0.06</v>
      </c>
      <c r="BG76" s="77">
        <v>3.8</v>
      </c>
      <c r="BH76" s="77">
        <v>0.3</v>
      </c>
      <c r="BI76" s="77">
        <v>150</v>
      </c>
    </row>
    <row r="77" spans="1:61" ht="20.100000000000001" customHeight="1" x14ac:dyDescent="0.25">
      <c r="A77" s="67" t="s">
        <v>1897</v>
      </c>
      <c r="B77" s="68">
        <v>0.7</v>
      </c>
      <c r="C77" s="68">
        <f>space_classification[[#This Row],[Lighting (A90.1 -2010)]]*0.85</f>
        <v>0.59499999999999997</v>
      </c>
      <c r="D77" s="69">
        <v>3</v>
      </c>
      <c r="E77" s="68">
        <v>250</v>
      </c>
      <c r="F77" s="70">
        <v>200</v>
      </c>
      <c r="G77" s="68">
        <v>2</v>
      </c>
      <c r="H77" s="68">
        <v>6</v>
      </c>
      <c r="I77" s="68">
        <v>6</v>
      </c>
      <c r="J77" s="70" t="s">
        <v>1767</v>
      </c>
      <c r="K77" s="68"/>
      <c r="L77" s="68"/>
      <c r="M77" s="68"/>
      <c r="N77" s="68"/>
      <c r="O77" s="70"/>
      <c r="P77" s="68">
        <v>4.16</v>
      </c>
      <c r="Q77" s="68">
        <v>15</v>
      </c>
      <c r="R77" s="68">
        <v>0.15</v>
      </c>
      <c r="S77" s="68"/>
      <c r="T77" s="70"/>
      <c r="V77" t="s">
        <v>1898</v>
      </c>
      <c r="W77" s="19">
        <v>0.4</v>
      </c>
      <c r="X77" s="19"/>
      <c r="Y77" s="19">
        <v>2</v>
      </c>
      <c r="Z77" s="19"/>
      <c r="AB77" s="76" t="s">
        <v>1899</v>
      </c>
      <c r="AC77" s="77">
        <v>10</v>
      </c>
      <c r="AD77" s="77">
        <v>0.06</v>
      </c>
      <c r="AE77" s="77">
        <v>5</v>
      </c>
      <c r="AF77" s="77">
        <v>0.3</v>
      </c>
      <c r="AG77" s="77">
        <v>70</v>
      </c>
      <c r="AI77" s="76" t="s">
        <v>1899</v>
      </c>
      <c r="AJ77" s="77">
        <v>10</v>
      </c>
      <c r="AK77" s="77">
        <v>0.06</v>
      </c>
      <c r="AL77" s="77">
        <v>5</v>
      </c>
      <c r="AM77" s="77">
        <v>0.3</v>
      </c>
      <c r="AN77" s="77">
        <v>70</v>
      </c>
      <c r="AO77" s="598"/>
      <c r="AP77" s="76" t="s">
        <v>1899</v>
      </c>
      <c r="AQ77" s="77">
        <v>10</v>
      </c>
      <c r="AR77" s="77">
        <v>0.06</v>
      </c>
      <c r="AS77" s="77">
        <v>5</v>
      </c>
      <c r="AT77" s="77">
        <v>0.3</v>
      </c>
      <c r="AU77" s="77">
        <v>70</v>
      </c>
      <c r="AW77" s="76" t="s">
        <v>1899</v>
      </c>
      <c r="AX77" s="77">
        <v>10</v>
      </c>
      <c r="AY77" s="77">
        <v>0.06</v>
      </c>
      <c r="AZ77" s="77">
        <v>5</v>
      </c>
      <c r="BA77" s="77">
        <v>0.3</v>
      </c>
      <c r="BB77" s="77">
        <v>70</v>
      </c>
      <c r="BD77" s="76" t="s">
        <v>1899</v>
      </c>
      <c r="BE77" s="77">
        <v>10</v>
      </c>
      <c r="BF77" s="77">
        <v>0.06</v>
      </c>
      <c r="BG77" s="77">
        <v>5</v>
      </c>
      <c r="BH77" s="77">
        <v>0.3</v>
      </c>
      <c r="BI77" s="77">
        <v>70</v>
      </c>
    </row>
    <row r="78" spans="1:61" ht="20.100000000000001" customHeight="1" x14ac:dyDescent="0.25">
      <c r="A78" s="92" t="s">
        <v>1900</v>
      </c>
      <c r="B78" s="68">
        <v>0.62</v>
      </c>
      <c r="C78" s="68">
        <f>space_classification[[#This Row],[Lighting (A90.1 -2010)]]*0.85</f>
        <v>0.52700000000000002</v>
      </c>
      <c r="D78" s="69">
        <v>2</v>
      </c>
      <c r="E78" s="83">
        <v>250</v>
      </c>
      <c r="F78" s="93">
        <v>200</v>
      </c>
      <c r="G78" s="68">
        <v>2</v>
      </c>
      <c r="H78" s="68">
        <v>6</v>
      </c>
      <c r="I78" s="68">
        <v>6</v>
      </c>
      <c r="J78" s="70" t="s">
        <v>1767</v>
      </c>
      <c r="K78" s="83"/>
      <c r="L78" s="83"/>
      <c r="M78" s="83"/>
      <c r="N78" s="83"/>
      <c r="O78" s="93"/>
      <c r="P78" s="68">
        <v>4.16</v>
      </c>
      <c r="Q78" s="68">
        <v>15</v>
      </c>
      <c r="R78" s="68">
        <v>0.15</v>
      </c>
      <c r="S78" s="83"/>
      <c r="T78" s="93"/>
      <c r="V78" t="s">
        <v>1901</v>
      </c>
      <c r="W78" s="19">
        <v>0.25</v>
      </c>
      <c r="X78" s="19">
        <v>0.15</v>
      </c>
      <c r="Y78" s="19">
        <v>2</v>
      </c>
      <c r="Z78" s="19"/>
      <c r="AB78" s="76" t="s">
        <v>1902</v>
      </c>
      <c r="AC78" s="77">
        <v>7.5</v>
      </c>
      <c r="AD78" s="77">
        <v>0.06</v>
      </c>
      <c r="AE78" s="77">
        <v>3.8</v>
      </c>
      <c r="AF78" s="77">
        <v>0.3</v>
      </c>
      <c r="AG78" s="77">
        <v>8</v>
      </c>
      <c r="AI78" s="76" t="s">
        <v>1902</v>
      </c>
      <c r="AJ78" s="77">
        <v>7.5</v>
      </c>
      <c r="AK78" s="77">
        <v>0.06</v>
      </c>
      <c r="AL78" s="77">
        <v>3.8</v>
      </c>
      <c r="AM78" s="77">
        <v>0.3</v>
      </c>
      <c r="AN78" s="77">
        <v>8</v>
      </c>
      <c r="AO78" s="598"/>
      <c r="AP78" s="76" t="s">
        <v>1902</v>
      </c>
      <c r="AQ78" s="77">
        <v>7.5</v>
      </c>
      <c r="AR78" s="77">
        <v>0.06</v>
      </c>
      <c r="AS78" s="77">
        <v>3.8</v>
      </c>
      <c r="AT78" s="77">
        <v>0.3</v>
      </c>
      <c r="AU78" s="77">
        <v>8</v>
      </c>
      <c r="AW78" s="76" t="s">
        <v>1902</v>
      </c>
      <c r="AX78" s="77">
        <v>7.5</v>
      </c>
      <c r="AY78" s="77">
        <v>0.06</v>
      </c>
      <c r="AZ78" s="77">
        <v>3.8</v>
      </c>
      <c r="BA78" s="77">
        <v>0.3</v>
      </c>
      <c r="BB78" s="77">
        <v>8</v>
      </c>
      <c r="BD78" s="76" t="s">
        <v>1902</v>
      </c>
      <c r="BE78" s="77">
        <v>7.5</v>
      </c>
      <c r="BF78" s="77">
        <v>0.06</v>
      </c>
      <c r="BG78" s="77">
        <v>3.8</v>
      </c>
      <c r="BH78" s="77">
        <v>0.3</v>
      </c>
      <c r="BI78" s="77">
        <v>8</v>
      </c>
    </row>
    <row r="79" spans="1:61" ht="20.100000000000001" customHeight="1" x14ac:dyDescent="0.25">
      <c r="A79" s="67" t="s">
        <v>1903</v>
      </c>
      <c r="B79" s="68">
        <v>0.9</v>
      </c>
      <c r="C79" s="68">
        <f>space_classification[[#This Row],[Lighting (A90.1 -2010)]]*0.85</f>
        <v>0.76500000000000001</v>
      </c>
      <c r="D79" s="69">
        <v>0</v>
      </c>
      <c r="E79" s="68">
        <v>250</v>
      </c>
      <c r="F79" s="70">
        <v>200</v>
      </c>
      <c r="G79" s="68">
        <v>0</v>
      </c>
      <c r="H79" s="68">
        <v>10</v>
      </c>
      <c r="I79" s="68">
        <v>10</v>
      </c>
      <c r="J79" s="70" t="s">
        <v>1727</v>
      </c>
      <c r="K79" s="68">
        <v>0</v>
      </c>
      <c r="L79" s="68">
        <v>0</v>
      </c>
      <c r="M79" s="68">
        <v>0</v>
      </c>
      <c r="N79" s="68">
        <v>1</v>
      </c>
      <c r="O79" s="70">
        <v>0</v>
      </c>
      <c r="P79" s="68"/>
      <c r="Q79" s="68">
        <v>15</v>
      </c>
      <c r="R79" s="68">
        <v>0.15</v>
      </c>
      <c r="S79" s="68">
        <v>1</v>
      </c>
      <c r="T79" s="70">
        <v>0</v>
      </c>
      <c r="V79" t="s">
        <v>1904</v>
      </c>
      <c r="W79" s="19">
        <v>0.25</v>
      </c>
      <c r="X79" s="19">
        <v>0.2</v>
      </c>
      <c r="Y79" s="19">
        <v>1</v>
      </c>
      <c r="Z79" s="19" t="s">
        <v>1741</v>
      </c>
      <c r="AB79" s="76" t="s">
        <v>1905</v>
      </c>
      <c r="AC79" s="77">
        <v>0</v>
      </c>
      <c r="AD79" s="77">
        <v>0.48</v>
      </c>
      <c r="AE79" s="77">
        <v>0</v>
      </c>
      <c r="AF79" s="77">
        <v>2.4</v>
      </c>
      <c r="AG79" s="77">
        <v>0</v>
      </c>
      <c r="AI79" s="76" t="s">
        <v>1905</v>
      </c>
      <c r="AJ79" s="77">
        <v>0</v>
      </c>
      <c r="AK79" s="77">
        <v>0.48</v>
      </c>
      <c r="AL79" s="77">
        <v>0</v>
      </c>
      <c r="AM79" s="77">
        <v>2.4</v>
      </c>
      <c r="AN79" s="77">
        <v>0</v>
      </c>
      <c r="AO79" s="598"/>
      <c r="AP79" s="76" t="s">
        <v>1905</v>
      </c>
      <c r="AQ79" s="77">
        <v>0</v>
      </c>
      <c r="AR79" s="77">
        <v>0.48</v>
      </c>
      <c r="AS79" s="77">
        <v>0</v>
      </c>
      <c r="AT79" s="77">
        <v>2.4</v>
      </c>
      <c r="AU79" s="77">
        <v>0</v>
      </c>
      <c r="AW79" s="76" t="s">
        <v>1905</v>
      </c>
      <c r="AX79" s="77">
        <v>0</v>
      </c>
      <c r="AY79" s="77">
        <v>0.48</v>
      </c>
      <c r="AZ79" s="77">
        <v>0</v>
      </c>
      <c r="BA79" s="77">
        <v>2.4</v>
      </c>
      <c r="BB79" s="77">
        <v>0</v>
      </c>
      <c r="BD79" s="76" t="s">
        <v>1905</v>
      </c>
      <c r="BE79" s="77">
        <v>0</v>
      </c>
      <c r="BF79" s="77">
        <v>0.48</v>
      </c>
      <c r="BG79" s="77">
        <v>0</v>
      </c>
      <c r="BH79" s="77">
        <v>2.4</v>
      </c>
      <c r="BI79" s="77">
        <v>0</v>
      </c>
    </row>
    <row r="80" spans="1:61" ht="20.100000000000001" customHeight="1" x14ac:dyDescent="0.25">
      <c r="A80" s="67" t="s">
        <v>1906</v>
      </c>
      <c r="B80" s="68">
        <v>1.21</v>
      </c>
      <c r="C80" s="68">
        <f>space_classification[[#This Row],[Lighting (A90.1 -2010)]]*0.85</f>
        <v>1.0285</v>
      </c>
      <c r="D80" s="69">
        <v>8</v>
      </c>
      <c r="E80" s="68">
        <v>275</v>
      </c>
      <c r="F80" s="70">
        <v>275</v>
      </c>
      <c r="G80" s="68">
        <v>2</v>
      </c>
      <c r="H80" s="68"/>
      <c r="I80" s="68">
        <v>10</v>
      </c>
      <c r="J80" s="70" t="s">
        <v>1727</v>
      </c>
      <c r="K80" s="68">
        <v>20</v>
      </c>
      <c r="L80" s="68">
        <v>7.5</v>
      </c>
      <c r="M80" s="68">
        <v>0.12</v>
      </c>
      <c r="N80" s="68">
        <v>0.7</v>
      </c>
      <c r="O80" s="70">
        <v>0</v>
      </c>
      <c r="P80" s="68">
        <v>5</v>
      </c>
      <c r="Q80" s="68">
        <v>15</v>
      </c>
      <c r="R80" s="68">
        <v>0.15</v>
      </c>
      <c r="S80" s="68">
        <v>0.7</v>
      </c>
      <c r="T80" s="70">
        <v>0</v>
      </c>
      <c r="V80" t="s">
        <v>1907</v>
      </c>
      <c r="W80" s="19">
        <v>0.3</v>
      </c>
      <c r="X80" s="19"/>
      <c r="Y80" s="19">
        <v>2</v>
      </c>
      <c r="Z80" s="19"/>
      <c r="AB80" s="76" t="s">
        <v>1908</v>
      </c>
      <c r="AC80" s="77">
        <v>0</v>
      </c>
      <c r="AD80" s="77">
        <v>0</v>
      </c>
      <c r="AE80" s="77">
        <v>0</v>
      </c>
      <c r="AF80" s="77">
        <v>0</v>
      </c>
      <c r="AG80" s="77">
        <v>0</v>
      </c>
      <c r="AI80" s="76" t="s">
        <v>1908</v>
      </c>
      <c r="AJ80" s="77">
        <v>0</v>
      </c>
      <c r="AK80" s="77">
        <v>0</v>
      </c>
      <c r="AL80" s="77">
        <v>0</v>
      </c>
      <c r="AM80" s="77">
        <v>0</v>
      </c>
      <c r="AN80" s="77">
        <v>0</v>
      </c>
      <c r="AO80" s="598"/>
      <c r="AP80" s="76" t="s">
        <v>1908</v>
      </c>
      <c r="AQ80" s="77">
        <v>0</v>
      </c>
      <c r="AR80" s="77">
        <v>0</v>
      </c>
      <c r="AS80" s="77">
        <v>0</v>
      </c>
      <c r="AT80" s="77">
        <v>0</v>
      </c>
      <c r="AU80" s="77">
        <v>0</v>
      </c>
      <c r="AW80" s="76" t="s">
        <v>1908</v>
      </c>
      <c r="AX80" s="77">
        <v>0</v>
      </c>
      <c r="AY80" s="77">
        <v>0</v>
      </c>
      <c r="AZ80" s="77">
        <v>0</v>
      </c>
      <c r="BA80" s="77">
        <v>0</v>
      </c>
      <c r="BB80" s="77">
        <v>0</v>
      </c>
      <c r="BD80" s="76" t="s">
        <v>1908</v>
      </c>
      <c r="BE80" s="77">
        <v>0</v>
      </c>
      <c r="BF80" s="77">
        <v>0</v>
      </c>
      <c r="BG80" s="77">
        <v>0</v>
      </c>
      <c r="BH80" s="77">
        <v>0</v>
      </c>
      <c r="BI80" s="77">
        <v>0</v>
      </c>
    </row>
    <row r="81" spans="1:61" ht="20.100000000000001" customHeight="1" x14ac:dyDescent="0.25">
      <c r="A81" s="67" t="s">
        <v>1909</v>
      </c>
      <c r="B81" s="68">
        <v>1.21</v>
      </c>
      <c r="C81" s="68">
        <f>space_classification[[#This Row],[Lighting (A90.1 -2010)]]*0.85</f>
        <v>1.0285</v>
      </c>
      <c r="D81" s="69">
        <v>2</v>
      </c>
      <c r="E81" s="68">
        <v>250</v>
      </c>
      <c r="F81" s="70">
        <v>200</v>
      </c>
      <c r="G81" s="68"/>
      <c r="H81" s="68"/>
      <c r="I81" s="68"/>
      <c r="J81" s="70" t="s">
        <v>1727</v>
      </c>
      <c r="K81" s="68">
        <v>0</v>
      </c>
      <c r="L81" s="68">
        <v>0</v>
      </c>
      <c r="M81" s="68">
        <v>0</v>
      </c>
      <c r="N81" s="68">
        <v>0.3</v>
      </c>
      <c r="O81" s="70">
        <v>0</v>
      </c>
      <c r="P81" s="68"/>
      <c r="Q81" s="68">
        <v>15</v>
      </c>
      <c r="R81" s="68">
        <v>0.15</v>
      </c>
      <c r="S81" s="68">
        <v>0.3</v>
      </c>
      <c r="T81" s="70">
        <v>0</v>
      </c>
      <c r="V81" s="75" t="s">
        <v>1910</v>
      </c>
      <c r="W81" s="81"/>
      <c r="X81" s="81"/>
      <c r="Y81" s="81"/>
      <c r="Z81" s="19"/>
      <c r="AB81" s="76" t="s">
        <v>1911</v>
      </c>
      <c r="AC81" s="77">
        <v>5</v>
      </c>
      <c r="AD81" s="77">
        <v>0.06</v>
      </c>
      <c r="AE81" s="77">
        <v>2.5</v>
      </c>
      <c r="AF81" s="77">
        <v>0.3</v>
      </c>
      <c r="AG81" s="77">
        <v>60</v>
      </c>
      <c r="AI81" s="76" t="s">
        <v>1911</v>
      </c>
      <c r="AJ81" s="77">
        <v>5</v>
      </c>
      <c r="AK81" s="77">
        <v>0.06</v>
      </c>
      <c r="AL81" s="77">
        <v>2.5</v>
      </c>
      <c r="AM81" s="77">
        <v>0.3</v>
      </c>
      <c r="AN81" s="77">
        <v>60</v>
      </c>
      <c r="AO81" s="598"/>
      <c r="AP81" s="76" t="s">
        <v>1911</v>
      </c>
      <c r="AQ81" s="77">
        <v>5</v>
      </c>
      <c r="AR81" s="77">
        <v>0.06</v>
      </c>
      <c r="AS81" s="77">
        <v>2.5</v>
      </c>
      <c r="AT81" s="77">
        <v>0.3</v>
      </c>
      <c r="AU81" s="77">
        <v>60</v>
      </c>
      <c r="AW81" s="76" t="s">
        <v>1911</v>
      </c>
      <c r="AX81" s="77">
        <v>5</v>
      </c>
      <c r="AY81" s="77">
        <v>0.06</v>
      </c>
      <c r="AZ81" s="77">
        <v>2.5</v>
      </c>
      <c r="BA81" s="77">
        <v>0.3</v>
      </c>
      <c r="BB81" s="77">
        <v>60</v>
      </c>
      <c r="BD81" s="76" t="s">
        <v>1911</v>
      </c>
      <c r="BE81" s="77">
        <v>5</v>
      </c>
      <c r="BF81" s="77">
        <v>0.06</v>
      </c>
      <c r="BG81" s="77">
        <v>2.5</v>
      </c>
      <c r="BH81" s="77">
        <v>0.3</v>
      </c>
      <c r="BI81" s="77">
        <v>60</v>
      </c>
    </row>
    <row r="82" spans="1:61" ht="20.100000000000001" customHeight="1" x14ac:dyDescent="0.25">
      <c r="A82" s="67" t="s">
        <v>1912</v>
      </c>
      <c r="B82" s="68">
        <v>1.81</v>
      </c>
      <c r="C82" s="68">
        <f>space_classification[[#This Row],[Lighting (A90.1 -2010)]]*0.85</f>
        <v>1.5385</v>
      </c>
      <c r="D82" s="69">
        <v>8</v>
      </c>
      <c r="E82" s="68">
        <v>250</v>
      </c>
      <c r="F82" s="70">
        <v>200</v>
      </c>
      <c r="G82" s="68">
        <v>2</v>
      </c>
      <c r="H82" s="68">
        <v>6</v>
      </c>
      <c r="I82" s="68">
        <v>6</v>
      </c>
      <c r="J82" s="70" t="s">
        <v>1727</v>
      </c>
      <c r="K82" s="68">
        <v>25</v>
      </c>
      <c r="L82" s="68">
        <v>10</v>
      </c>
      <c r="M82" s="68">
        <v>0.18</v>
      </c>
      <c r="N82" s="68">
        <v>0</v>
      </c>
      <c r="O82" s="70">
        <v>0</v>
      </c>
      <c r="P82" s="68">
        <v>10</v>
      </c>
      <c r="Q82" s="68">
        <v>15</v>
      </c>
      <c r="R82" s="68">
        <v>0.15</v>
      </c>
      <c r="S82" s="68">
        <v>0</v>
      </c>
      <c r="T82" s="70">
        <v>0</v>
      </c>
      <c r="V82" t="s">
        <v>1913</v>
      </c>
      <c r="W82" s="19">
        <v>0.5</v>
      </c>
      <c r="X82" s="19">
        <v>0.15</v>
      </c>
      <c r="Y82" s="19">
        <v>2</v>
      </c>
      <c r="Z82" s="19" t="s">
        <v>1828</v>
      </c>
      <c r="AB82" s="76" t="s">
        <v>1914</v>
      </c>
      <c r="AC82" s="77">
        <v>7.5</v>
      </c>
      <c r="AD82" s="77">
        <v>0.06</v>
      </c>
      <c r="AE82" s="77">
        <v>3.8</v>
      </c>
      <c r="AF82" s="77">
        <v>0.3</v>
      </c>
      <c r="AG82" s="77">
        <v>100</v>
      </c>
      <c r="AI82" s="76" t="s">
        <v>1914</v>
      </c>
      <c r="AJ82" s="77">
        <v>7.5</v>
      </c>
      <c r="AK82" s="77">
        <v>0.06</v>
      </c>
      <c r="AL82" s="77">
        <v>3.8</v>
      </c>
      <c r="AM82" s="77">
        <v>0.3</v>
      </c>
      <c r="AN82" s="77">
        <v>100</v>
      </c>
      <c r="AO82" s="598"/>
      <c r="AP82" s="76" t="s">
        <v>1914</v>
      </c>
      <c r="AQ82" s="77">
        <v>7.5</v>
      </c>
      <c r="AR82" s="77">
        <v>0.06</v>
      </c>
      <c r="AS82" s="77">
        <v>3.8</v>
      </c>
      <c r="AT82" s="77">
        <v>0.3</v>
      </c>
      <c r="AU82" s="77">
        <v>100</v>
      </c>
      <c r="AW82" s="76" t="s">
        <v>1914</v>
      </c>
      <c r="AX82" s="77">
        <v>7.5</v>
      </c>
      <c r="AY82" s="77">
        <v>0.06</v>
      </c>
      <c r="AZ82" s="77">
        <v>3.8</v>
      </c>
      <c r="BA82" s="77">
        <v>0.3</v>
      </c>
      <c r="BB82" s="77">
        <v>100</v>
      </c>
      <c r="BD82" s="76" t="s">
        <v>1914</v>
      </c>
      <c r="BE82" s="77">
        <v>7.5</v>
      </c>
      <c r="BF82" s="77">
        <v>0.06</v>
      </c>
      <c r="BG82" s="77">
        <v>3.8</v>
      </c>
      <c r="BH82" s="77">
        <v>0.3</v>
      </c>
      <c r="BI82" s="77">
        <v>100</v>
      </c>
    </row>
    <row r="83" spans="1:61" ht="20.100000000000001" customHeight="1" x14ac:dyDescent="0.25">
      <c r="A83" s="67" t="s">
        <v>1915</v>
      </c>
      <c r="B83" s="68">
        <v>1.81</v>
      </c>
      <c r="C83" s="68">
        <f>space_classification[[#This Row],[Lighting (A90.1 -2010)]]*0.85</f>
        <v>1.5385</v>
      </c>
      <c r="D83" s="69">
        <v>6</v>
      </c>
      <c r="E83" s="68">
        <v>250</v>
      </c>
      <c r="F83" s="70">
        <v>200</v>
      </c>
      <c r="G83" s="68"/>
      <c r="H83" s="68"/>
      <c r="I83" s="68"/>
      <c r="J83" s="70"/>
      <c r="K83" s="68">
        <v>25</v>
      </c>
      <c r="L83" s="68">
        <v>10</v>
      </c>
      <c r="M83" s="68">
        <v>0.18</v>
      </c>
      <c r="N83" s="68">
        <v>0</v>
      </c>
      <c r="O83" s="70">
        <v>0</v>
      </c>
      <c r="P83" s="68">
        <v>10</v>
      </c>
      <c r="Q83" s="68">
        <v>15</v>
      </c>
      <c r="R83" s="68">
        <v>0.15</v>
      </c>
      <c r="S83" s="68">
        <v>0</v>
      </c>
      <c r="T83" s="70">
        <v>0</v>
      </c>
      <c r="V83" t="s">
        <v>1916</v>
      </c>
      <c r="W83" s="19">
        <v>0.5</v>
      </c>
      <c r="X83" s="19">
        <v>0.15</v>
      </c>
      <c r="Y83" s="19">
        <v>1</v>
      </c>
      <c r="Z83" s="19" t="s">
        <v>1741</v>
      </c>
      <c r="AB83" s="76" t="s">
        <v>1917</v>
      </c>
      <c r="AC83" s="77">
        <v>10</v>
      </c>
      <c r="AD83" s="77">
        <v>0.18</v>
      </c>
      <c r="AE83" s="77">
        <v>5</v>
      </c>
      <c r="AF83" s="77">
        <v>0.9</v>
      </c>
      <c r="AG83" s="77">
        <v>25</v>
      </c>
      <c r="AI83" s="76" t="s">
        <v>1917</v>
      </c>
      <c r="AJ83" s="77">
        <v>10</v>
      </c>
      <c r="AK83" s="77">
        <v>0.18</v>
      </c>
      <c r="AL83" s="77">
        <v>5</v>
      </c>
      <c r="AM83" s="77">
        <v>0.9</v>
      </c>
      <c r="AN83" s="77">
        <v>25</v>
      </c>
      <c r="AO83" s="598"/>
      <c r="AP83" s="76" t="s">
        <v>1917</v>
      </c>
      <c r="AQ83" s="77">
        <v>10</v>
      </c>
      <c r="AR83" s="77">
        <v>0.18</v>
      </c>
      <c r="AS83" s="77">
        <v>5</v>
      </c>
      <c r="AT83" s="77">
        <v>0.9</v>
      </c>
      <c r="AU83" s="77">
        <v>25</v>
      </c>
      <c r="AW83" s="76" t="s">
        <v>1917</v>
      </c>
      <c r="AX83" s="77">
        <v>10</v>
      </c>
      <c r="AY83" s="77">
        <v>0.18</v>
      </c>
      <c r="AZ83" s="77">
        <v>5</v>
      </c>
      <c r="BA83" s="77">
        <v>0.9</v>
      </c>
      <c r="BB83" s="77">
        <v>25</v>
      </c>
      <c r="BD83" s="76" t="s">
        <v>1917</v>
      </c>
      <c r="BE83" s="77">
        <v>10</v>
      </c>
      <c r="BF83" s="77">
        <v>0.18</v>
      </c>
      <c r="BG83" s="77">
        <v>5</v>
      </c>
      <c r="BH83" s="77">
        <v>0.9</v>
      </c>
      <c r="BI83" s="77">
        <v>25</v>
      </c>
    </row>
    <row r="84" spans="1:61" ht="20.100000000000001" customHeight="1" x14ac:dyDescent="0.25">
      <c r="A84" s="67" t="s">
        <v>1918</v>
      </c>
      <c r="B84" s="68">
        <v>0.62</v>
      </c>
      <c r="C84" s="68">
        <f>space_classification[[#This Row],[Lighting (A90.1 -2010)]]*0.85</f>
        <v>0.52700000000000002</v>
      </c>
      <c r="D84" s="69">
        <v>1.5</v>
      </c>
      <c r="E84" s="68">
        <v>250</v>
      </c>
      <c r="F84" s="70">
        <v>200</v>
      </c>
      <c r="G84" s="68">
        <v>2</v>
      </c>
      <c r="H84" s="68">
        <v>6</v>
      </c>
      <c r="I84" s="68">
        <v>0</v>
      </c>
      <c r="J84" s="70" t="s">
        <v>240</v>
      </c>
      <c r="K84" s="68"/>
      <c r="L84" s="68"/>
      <c r="M84" s="68"/>
      <c r="N84" s="68"/>
      <c r="O84" s="70"/>
      <c r="P84" s="68">
        <v>4.16</v>
      </c>
      <c r="Q84" s="68">
        <v>15</v>
      </c>
      <c r="R84" s="68">
        <v>0.15</v>
      </c>
      <c r="S84" s="68"/>
      <c r="T84" s="70"/>
      <c r="V84" t="s">
        <v>1919</v>
      </c>
      <c r="W84" s="19">
        <v>0.15</v>
      </c>
      <c r="X84" s="19"/>
      <c r="Y84" s="19">
        <v>2</v>
      </c>
      <c r="Z84" s="19" t="s">
        <v>1920</v>
      </c>
      <c r="AB84" s="76" t="s">
        <v>1921</v>
      </c>
      <c r="AC84" s="77">
        <v>10</v>
      </c>
      <c r="AD84" s="77">
        <v>0.06</v>
      </c>
      <c r="AE84" s="77">
        <v>5</v>
      </c>
      <c r="AF84" s="77">
        <v>0.3</v>
      </c>
      <c r="AG84" s="77">
        <v>0</v>
      </c>
      <c r="AI84" s="76" t="s">
        <v>1921</v>
      </c>
      <c r="AJ84" s="77">
        <v>10</v>
      </c>
      <c r="AK84" s="77">
        <v>0.06</v>
      </c>
      <c r="AL84" s="77">
        <v>5</v>
      </c>
      <c r="AM84" s="77">
        <v>0.3</v>
      </c>
      <c r="AN84" s="77">
        <v>0</v>
      </c>
      <c r="AO84" s="598"/>
      <c r="AP84" s="76" t="s">
        <v>1921</v>
      </c>
      <c r="AQ84" s="77">
        <v>10</v>
      </c>
      <c r="AR84" s="77">
        <v>0.06</v>
      </c>
      <c r="AS84" s="77">
        <v>5</v>
      </c>
      <c r="AT84" s="77">
        <v>0.3</v>
      </c>
      <c r="AU84" s="77">
        <v>0</v>
      </c>
      <c r="AW84" s="76" t="s">
        <v>1921</v>
      </c>
      <c r="AX84" s="77">
        <v>10</v>
      </c>
      <c r="AY84" s="77">
        <v>0.06</v>
      </c>
      <c r="AZ84" s="77">
        <v>5</v>
      </c>
      <c r="BA84" s="77">
        <v>0.3</v>
      </c>
      <c r="BB84" s="77">
        <v>0</v>
      </c>
      <c r="BD84" s="76" t="s">
        <v>1921</v>
      </c>
      <c r="BE84" s="77">
        <v>10</v>
      </c>
      <c r="BF84" s="77">
        <v>0.06</v>
      </c>
      <c r="BG84" s="77">
        <v>5</v>
      </c>
      <c r="BH84" s="77">
        <v>0.3</v>
      </c>
      <c r="BI84" s="77">
        <v>0</v>
      </c>
    </row>
    <row r="85" spans="1:61" ht="38.25" x14ac:dyDescent="0.25">
      <c r="A85" s="67" t="s">
        <v>1922</v>
      </c>
      <c r="B85" s="68">
        <v>1.81</v>
      </c>
      <c r="C85" s="68">
        <f>space_classification[[#This Row],[Lighting (A90.1 -2010)]]*0.85</f>
        <v>1.5385</v>
      </c>
      <c r="D85" s="69">
        <v>6</v>
      </c>
      <c r="E85" s="68">
        <v>250</v>
      </c>
      <c r="F85" s="70">
        <v>200</v>
      </c>
      <c r="G85" s="68">
        <v>2</v>
      </c>
      <c r="H85" s="68">
        <v>6</v>
      </c>
      <c r="I85" s="68">
        <v>6</v>
      </c>
      <c r="J85" s="70" t="s">
        <v>1727</v>
      </c>
      <c r="K85" s="68"/>
      <c r="L85" s="68"/>
      <c r="M85" s="68"/>
      <c r="N85" s="68"/>
      <c r="O85" s="70"/>
      <c r="P85" s="68">
        <v>10</v>
      </c>
      <c r="Q85" s="68">
        <v>15</v>
      </c>
      <c r="R85" s="68">
        <v>0.15</v>
      </c>
      <c r="S85" s="68"/>
      <c r="T85" s="70"/>
      <c r="V85" t="s">
        <v>1923</v>
      </c>
      <c r="W85" s="19">
        <v>0.5</v>
      </c>
      <c r="X85" s="19">
        <v>0.15</v>
      </c>
      <c r="Y85" s="19">
        <v>2</v>
      </c>
      <c r="Z85" s="19" t="s">
        <v>1920</v>
      </c>
      <c r="AB85" s="76" t="s">
        <v>1924</v>
      </c>
      <c r="AC85" s="77">
        <v>10</v>
      </c>
      <c r="AD85" s="77">
        <v>0.18</v>
      </c>
      <c r="AE85" s="77">
        <v>5</v>
      </c>
      <c r="AF85" s="77">
        <v>0.9</v>
      </c>
      <c r="AG85" s="77">
        <v>20</v>
      </c>
      <c r="AI85" s="76" t="s">
        <v>1924</v>
      </c>
      <c r="AJ85" s="77">
        <v>10</v>
      </c>
      <c r="AK85" s="77">
        <v>0.18</v>
      </c>
      <c r="AL85" s="77">
        <v>5</v>
      </c>
      <c r="AM85" s="77">
        <v>0.9</v>
      </c>
      <c r="AN85" s="77">
        <v>20</v>
      </c>
      <c r="AO85" s="598"/>
      <c r="AP85" s="76" t="s">
        <v>1924</v>
      </c>
      <c r="AQ85" s="77">
        <v>10</v>
      </c>
      <c r="AR85" s="77">
        <v>0.18</v>
      </c>
      <c r="AS85" s="77">
        <v>5</v>
      </c>
      <c r="AT85" s="77">
        <v>0.9</v>
      </c>
      <c r="AU85" s="77">
        <v>20</v>
      </c>
      <c r="AW85" s="76" t="s">
        <v>1924</v>
      </c>
      <c r="AX85" s="77">
        <v>10</v>
      </c>
      <c r="AY85" s="77">
        <v>0.18</v>
      </c>
      <c r="AZ85" s="77">
        <v>5</v>
      </c>
      <c r="BA85" s="77">
        <v>0.9</v>
      </c>
      <c r="BB85" s="77">
        <v>20</v>
      </c>
      <c r="BD85" s="76" t="s">
        <v>1924</v>
      </c>
      <c r="BE85" s="77">
        <v>10</v>
      </c>
      <c r="BF85" s="77">
        <v>0.18</v>
      </c>
      <c r="BG85" s="77">
        <v>5</v>
      </c>
      <c r="BH85" s="77">
        <v>0.9</v>
      </c>
      <c r="BI85" s="77">
        <v>20</v>
      </c>
    </row>
    <row r="86" spans="1:61" s="94" customFormat="1" ht="19.5" customHeight="1" x14ac:dyDescent="0.25">
      <c r="A86" s="67" t="s">
        <v>1925</v>
      </c>
      <c r="B86" s="68">
        <v>1.4</v>
      </c>
      <c r="C86" s="68">
        <f>space_classification[[#This Row],[Lighting (A90.1 -2010)]]*0.85</f>
        <v>1.19</v>
      </c>
      <c r="D86" s="69">
        <v>8</v>
      </c>
      <c r="E86" s="68">
        <v>250</v>
      </c>
      <c r="F86" s="70">
        <v>200</v>
      </c>
      <c r="G86" s="68">
        <v>2</v>
      </c>
      <c r="H86" s="68">
        <v>6</v>
      </c>
      <c r="I86" s="68">
        <v>0</v>
      </c>
      <c r="J86" s="70" t="s">
        <v>1727</v>
      </c>
      <c r="K86" s="68"/>
      <c r="L86" s="68"/>
      <c r="M86" s="68"/>
      <c r="N86" s="68"/>
      <c r="O86" s="70"/>
      <c r="P86" s="68">
        <v>10</v>
      </c>
      <c r="Q86" s="68">
        <v>15</v>
      </c>
      <c r="R86" s="68">
        <v>0.15</v>
      </c>
      <c r="S86" s="68"/>
      <c r="T86" s="70"/>
      <c r="V86" t="s">
        <v>1926</v>
      </c>
      <c r="W86" s="19">
        <v>1.5</v>
      </c>
      <c r="X86" s="19">
        <v>0.15</v>
      </c>
      <c r="Y86" s="19">
        <v>2</v>
      </c>
      <c r="Z86" s="19" t="s">
        <v>1741</v>
      </c>
    </row>
    <row r="87" spans="1:61" s="94" customFormat="1" x14ac:dyDescent="0.25">
      <c r="A87" s="67" t="s">
        <v>1927</v>
      </c>
      <c r="B87" s="68">
        <v>1.81</v>
      </c>
      <c r="C87" s="68">
        <f>space_classification[[#This Row],[Lighting (A90.1 -2010)]]*0.85</f>
        <v>1.5385</v>
      </c>
      <c r="D87" s="69">
        <v>6</v>
      </c>
      <c r="E87" s="68">
        <v>250</v>
      </c>
      <c r="F87" s="70">
        <v>200</v>
      </c>
      <c r="G87" s="68">
        <v>2</v>
      </c>
      <c r="H87" s="68">
        <v>10</v>
      </c>
      <c r="I87" s="68">
        <v>10</v>
      </c>
      <c r="J87" s="70" t="s">
        <v>1727</v>
      </c>
      <c r="K87" s="68"/>
      <c r="L87" s="68"/>
      <c r="M87" s="68"/>
      <c r="N87" s="68"/>
      <c r="O87" s="70"/>
      <c r="P87" s="68">
        <v>10</v>
      </c>
      <c r="Q87" s="68">
        <v>15</v>
      </c>
      <c r="R87" s="68">
        <v>0.15</v>
      </c>
      <c r="S87" s="68"/>
      <c r="T87" s="70"/>
      <c r="V87" s="94" t="s">
        <v>1928</v>
      </c>
      <c r="W87" s="95">
        <v>0.15</v>
      </c>
      <c r="X87" s="95"/>
      <c r="Y87" s="95">
        <v>2</v>
      </c>
      <c r="Z87" s="95"/>
    </row>
    <row r="88" spans="1:61" ht="20.100000000000001" customHeight="1" x14ac:dyDescent="0.25">
      <c r="A88" s="67" t="s">
        <v>1929</v>
      </c>
      <c r="B88" s="68">
        <v>1.81</v>
      </c>
      <c r="C88" s="68">
        <f>space_classification[[#This Row],[Lighting (A90.1 -2010)]]*0.85</f>
        <v>1.5385</v>
      </c>
      <c r="D88" s="69">
        <v>6</v>
      </c>
      <c r="E88" s="68">
        <v>250</v>
      </c>
      <c r="F88" s="70">
        <v>200</v>
      </c>
      <c r="G88" s="68">
        <v>2</v>
      </c>
      <c r="H88" s="68">
        <v>4</v>
      </c>
      <c r="I88" s="68">
        <v>0</v>
      </c>
      <c r="J88" s="70" t="s">
        <v>1767</v>
      </c>
      <c r="K88" s="68"/>
      <c r="L88" s="68"/>
      <c r="M88" s="68"/>
      <c r="N88" s="68"/>
      <c r="O88" s="70"/>
      <c r="P88" s="68">
        <v>10</v>
      </c>
      <c r="Q88" s="68">
        <v>15</v>
      </c>
      <c r="R88" s="68">
        <v>0.15</v>
      </c>
      <c r="S88" s="68"/>
      <c r="T88" s="70"/>
      <c r="V88" s="94" t="s">
        <v>1930</v>
      </c>
      <c r="W88" s="95">
        <v>0.15</v>
      </c>
      <c r="X88" s="95"/>
      <c r="Y88" s="95">
        <v>2</v>
      </c>
      <c r="Z88" s="95"/>
    </row>
    <row r="89" spans="1:61" ht="20.100000000000001" customHeight="1" x14ac:dyDescent="0.25">
      <c r="A89" s="67" t="s">
        <v>1931</v>
      </c>
      <c r="B89" s="68">
        <v>1.7</v>
      </c>
      <c r="C89" s="68">
        <f>space_classification[[#This Row],[Lighting (A90.1 -2010)]]*0.85</f>
        <v>1.4449999999999998</v>
      </c>
      <c r="D89" s="69">
        <v>2</v>
      </c>
      <c r="E89" s="68">
        <v>250</v>
      </c>
      <c r="F89" s="70">
        <v>200</v>
      </c>
      <c r="G89" s="68">
        <v>2</v>
      </c>
      <c r="H89" s="68">
        <v>6</v>
      </c>
      <c r="I89" s="68">
        <v>6</v>
      </c>
      <c r="J89" s="70" t="s">
        <v>1727</v>
      </c>
      <c r="K89" s="68"/>
      <c r="L89" s="68"/>
      <c r="M89" s="68"/>
      <c r="N89" s="68"/>
      <c r="O89" s="70"/>
      <c r="P89" s="68">
        <v>10</v>
      </c>
      <c r="Q89" s="68">
        <v>15</v>
      </c>
      <c r="R89" s="68">
        <v>0.15</v>
      </c>
      <c r="S89" s="68"/>
      <c r="T89" s="70"/>
      <c r="V89" t="s">
        <v>1932</v>
      </c>
      <c r="W89" s="19">
        <v>1.07</v>
      </c>
      <c r="X89" s="19">
        <v>0.15</v>
      </c>
      <c r="Y89" s="19">
        <v>1</v>
      </c>
      <c r="Z89" s="19"/>
    </row>
    <row r="90" spans="1:61" ht="20.100000000000001" customHeight="1" x14ac:dyDescent="0.25">
      <c r="A90" s="67" t="s">
        <v>1933</v>
      </c>
      <c r="B90" s="68">
        <v>1.43</v>
      </c>
      <c r="C90" s="68">
        <f>space_classification[[#This Row],[Lighting (A90.1 -2010)]]*0.85</f>
        <v>1.2155</v>
      </c>
      <c r="D90" s="69">
        <v>6</v>
      </c>
      <c r="E90" s="68">
        <v>250</v>
      </c>
      <c r="F90" s="70">
        <v>200</v>
      </c>
      <c r="G90" s="68"/>
      <c r="H90" s="68"/>
      <c r="I90" s="68"/>
      <c r="J90" s="70"/>
      <c r="K90" s="68">
        <v>25</v>
      </c>
      <c r="L90" s="68">
        <v>10</v>
      </c>
      <c r="M90" s="68">
        <v>0.18</v>
      </c>
      <c r="N90" s="68">
        <v>0</v>
      </c>
      <c r="O90" s="70">
        <v>0</v>
      </c>
      <c r="P90" s="68">
        <v>10</v>
      </c>
      <c r="Q90" s="68">
        <v>15</v>
      </c>
      <c r="R90" s="68">
        <v>0.15</v>
      </c>
      <c r="S90" s="68">
        <v>0</v>
      </c>
      <c r="T90" s="70">
        <v>0</v>
      </c>
      <c r="V90" t="s">
        <v>1934</v>
      </c>
      <c r="W90" s="19">
        <v>0.68</v>
      </c>
      <c r="X90" s="19">
        <v>0.15</v>
      </c>
      <c r="Y90" s="19">
        <v>1</v>
      </c>
      <c r="Z90" s="19"/>
    </row>
    <row r="91" spans="1:61" ht="20.100000000000001" customHeight="1" x14ac:dyDescent="0.25">
      <c r="A91" s="67" t="s">
        <v>1935</v>
      </c>
      <c r="B91" s="68">
        <v>1.81</v>
      </c>
      <c r="C91" s="68">
        <f>space_classification[[#This Row],[Lighting (A90.1 -2010)]]*0.85</f>
        <v>1.5385</v>
      </c>
      <c r="D91" s="69">
        <v>6</v>
      </c>
      <c r="E91" s="68">
        <v>250</v>
      </c>
      <c r="F91" s="70">
        <v>200</v>
      </c>
      <c r="G91" s="68">
        <v>2</v>
      </c>
      <c r="H91" s="68">
        <v>10</v>
      </c>
      <c r="I91" s="68">
        <v>10</v>
      </c>
      <c r="J91" s="70" t="s">
        <v>1727</v>
      </c>
      <c r="K91" s="68"/>
      <c r="L91" s="68"/>
      <c r="M91" s="68"/>
      <c r="N91" s="68"/>
      <c r="O91" s="70"/>
      <c r="P91" s="68">
        <v>10</v>
      </c>
      <c r="Q91" s="68">
        <v>15</v>
      </c>
      <c r="R91" s="68">
        <v>0.15</v>
      </c>
      <c r="S91" s="68"/>
      <c r="T91" s="70"/>
      <c r="V91" t="s">
        <v>1936</v>
      </c>
      <c r="W91" s="19">
        <v>0.68</v>
      </c>
      <c r="X91" s="19">
        <v>0.15</v>
      </c>
      <c r="Y91" s="19">
        <v>1</v>
      </c>
      <c r="Z91" s="19"/>
    </row>
    <row r="92" spans="1:61" ht="20.100000000000001" customHeight="1" x14ac:dyDescent="0.25">
      <c r="A92" s="78" t="s">
        <v>1937</v>
      </c>
      <c r="B92" s="68">
        <v>2.48</v>
      </c>
      <c r="C92" s="68">
        <f>space_classification[[#This Row],[Lighting (A90.1 -2010)]]*0.85</f>
        <v>2.1080000000000001</v>
      </c>
      <c r="D92" s="69">
        <v>12</v>
      </c>
      <c r="E92" s="68">
        <v>275</v>
      </c>
      <c r="F92" s="70">
        <v>275</v>
      </c>
      <c r="G92" s="79">
        <v>3</v>
      </c>
      <c r="H92" s="79">
        <v>15</v>
      </c>
      <c r="I92" s="79">
        <v>0</v>
      </c>
      <c r="J92" s="80" t="s">
        <v>1767</v>
      </c>
      <c r="K92" s="68"/>
      <c r="L92" s="68"/>
      <c r="M92" s="68"/>
      <c r="N92" s="68"/>
      <c r="O92" s="70"/>
      <c r="P92" s="68">
        <v>8.3339999999999996</v>
      </c>
      <c r="Q92" s="68">
        <v>15</v>
      </c>
      <c r="R92" s="68">
        <v>0.15</v>
      </c>
      <c r="S92" s="68"/>
      <c r="T92" s="70"/>
      <c r="V92" t="s">
        <v>1938</v>
      </c>
      <c r="W92" s="19">
        <v>0.5</v>
      </c>
      <c r="X92" s="19">
        <v>0.15</v>
      </c>
      <c r="Y92" s="19">
        <v>1</v>
      </c>
      <c r="Z92" s="19" t="s">
        <v>1939</v>
      </c>
    </row>
    <row r="93" spans="1:61" ht="20.100000000000001" customHeight="1" x14ac:dyDescent="0.25">
      <c r="A93" s="67" t="s">
        <v>1940</v>
      </c>
      <c r="B93" s="68">
        <v>1.81</v>
      </c>
      <c r="C93" s="68">
        <f>space_classification[[#This Row],[Lighting (A90.1 -2010)]]*0.85</f>
        <v>1.5385</v>
      </c>
      <c r="D93" s="69">
        <v>16</v>
      </c>
      <c r="E93" s="68">
        <v>250</v>
      </c>
      <c r="F93" s="70">
        <v>200</v>
      </c>
      <c r="G93" s="79">
        <v>3</v>
      </c>
      <c r="H93" s="79">
        <v>15</v>
      </c>
      <c r="I93" s="79">
        <v>0</v>
      </c>
      <c r="J93" s="80" t="s">
        <v>1767</v>
      </c>
      <c r="K93" s="68">
        <v>25</v>
      </c>
      <c r="L93" s="68">
        <v>10</v>
      </c>
      <c r="M93" s="68">
        <v>0.18</v>
      </c>
      <c r="N93" s="68">
        <v>0</v>
      </c>
      <c r="O93" s="70">
        <v>0</v>
      </c>
      <c r="P93" s="68">
        <v>10</v>
      </c>
      <c r="Q93" s="68">
        <v>15</v>
      </c>
      <c r="R93" s="68">
        <v>0.15</v>
      </c>
      <c r="S93" s="68">
        <v>0</v>
      </c>
      <c r="T93" s="70">
        <v>0</v>
      </c>
      <c r="W93" s="19"/>
      <c r="X93" s="19"/>
      <c r="Y93" s="19"/>
      <c r="Z93" s="19"/>
    </row>
    <row r="94" spans="1:61" ht="20.100000000000001" customHeight="1" x14ac:dyDescent="0.25">
      <c r="A94" s="67" t="s">
        <v>1941</v>
      </c>
      <c r="B94" s="68">
        <v>1.5</v>
      </c>
      <c r="C94" s="68">
        <f>space_classification[[#This Row],[Lighting (A90.1 -2010)]]*0.85</f>
        <v>1.2749999999999999</v>
      </c>
      <c r="D94" s="69">
        <v>6</v>
      </c>
      <c r="E94" s="68">
        <v>250</v>
      </c>
      <c r="F94" s="70">
        <v>200</v>
      </c>
      <c r="G94" s="79">
        <v>2</v>
      </c>
      <c r="H94" s="79">
        <v>0</v>
      </c>
      <c r="I94" s="79">
        <v>10</v>
      </c>
      <c r="J94" s="80" t="s">
        <v>1727</v>
      </c>
      <c r="K94" s="68">
        <v>10</v>
      </c>
      <c r="L94" s="68">
        <v>5</v>
      </c>
      <c r="M94" s="68">
        <v>0.12</v>
      </c>
      <c r="N94" s="68">
        <v>0</v>
      </c>
      <c r="O94" s="70">
        <v>0</v>
      </c>
      <c r="P94" s="68"/>
      <c r="Q94" s="68">
        <v>15</v>
      </c>
      <c r="R94" s="68">
        <v>0.15</v>
      </c>
      <c r="S94" s="68">
        <v>0</v>
      </c>
      <c r="T94" s="70">
        <v>0</v>
      </c>
      <c r="W94" s="19"/>
      <c r="X94" s="19"/>
      <c r="Y94" s="19"/>
      <c r="Z94" s="19"/>
    </row>
    <row r="95" spans="1:61" ht="20.100000000000001" customHeight="1" x14ac:dyDescent="0.25">
      <c r="A95" s="67" t="s">
        <v>1942</v>
      </c>
      <c r="B95" s="68">
        <v>1.24</v>
      </c>
      <c r="C95" s="68">
        <f>space_classification[[#This Row],[Lighting (A90.1 -2010)]]*0.85</f>
        <v>1.054</v>
      </c>
      <c r="D95" s="69">
        <v>1</v>
      </c>
      <c r="E95" s="68">
        <v>250</v>
      </c>
      <c r="F95" s="70">
        <v>200</v>
      </c>
      <c r="G95" s="68"/>
      <c r="H95" s="68"/>
      <c r="I95" s="68"/>
      <c r="J95" s="70"/>
      <c r="K95" s="68">
        <v>65</v>
      </c>
      <c r="L95" s="68">
        <v>7.5</v>
      </c>
      <c r="M95" s="68">
        <v>0.06</v>
      </c>
      <c r="N95" s="68">
        <v>0</v>
      </c>
      <c r="O95" s="70">
        <v>0</v>
      </c>
      <c r="P95" s="68">
        <v>50</v>
      </c>
      <c r="Q95" s="68">
        <v>15</v>
      </c>
      <c r="R95" s="68">
        <v>0.15</v>
      </c>
      <c r="S95" s="68">
        <v>0</v>
      </c>
      <c r="T95" s="70">
        <v>0</v>
      </c>
      <c r="V95" s="96" t="s">
        <v>1943</v>
      </c>
      <c r="W95" s="19"/>
      <c r="X95" s="19"/>
      <c r="Y95" s="19"/>
      <c r="Z95" s="19"/>
    </row>
    <row r="96" spans="1:61" ht="20.100000000000001" customHeight="1" x14ac:dyDescent="0.25">
      <c r="A96" s="67" t="s">
        <v>1944</v>
      </c>
      <c r="B96" s="68">
        <v>1.24</v>
      </c>
      <c r="C96" s="68">
        <f>space_classification[[#This Row],[Lighting (A90.1 -2010)]]*0.85</f>
        <v>1.054</v>
      </c>
      <c r="D96" s="69">
        <v>1</v>
      </c>
      <c r="E96" s="68">
        <v>250</v>
      </c>
      <c r="F96" s="70">
        <v>200</v>
      </c>
      <c r="G96" s="68"/>
      <c r="H96" s="68"/>
      <c r="I96" s="68"/>
      <c r="J96" s="70"/>
      <c r="K96" s="68">
        <v>150</v>
      </c>
      <c r="L96" s="68">
        <v>7.5</v>
      </c>
      <c r="M96" s="68">
        <v>0.06</v>
      </c>
      <c r="N96" s="68">
        <v>0</v>
      </c>
      <c r="O96" s="70">
        <v>0</v>
      </c>
      <c r="P96" s="68"/>
      <c r="Q96" s="68">
        <v>15</v>
      </c>
      <c r="R96" s="68">
        <v>0.15</v>
      </c>
      <c r="S96" s="68">
        <v>0</v>
      </c>
      <c r="T96" s="70">
        <v>0</v>
      </c>
      <c r="V96" t="s">
        <v>1945</v>
      </c>
      <c r="W96" s="19"/>
      <c r="X96" s="19"/>
      <c r="Y96" s="19"/>
      <c r="Z96" s="19"/>
    </row>
    <row r="97" spans="1:26" ht="20.100000000000001" customHeight="1" x14ac:dyDescent="0.25">
      <c r="A97" s="67" t="s">
        <v>1946</v>
      </c>
      <c r="B97" s="68">
        <v>0.63</v>
      </c>
      <c r="C97" s="68">
        <f>space_classification[[#This Row],[Lighting (A90.1 -2010)]]*0.85</f>
        <v>0.53549999999999998</v>
      </c>
      <c r="D97" s="69">
        <v>1</v>
      </c>
      <c r="E97" s="68">
        <v>250</v>
      </c>
      <c r="F97" s="70">
        <v>200</v>
      </c>
      <c r="G97" s="68"/>
      <c r="H97" s="68"/>
      <c r="I97" s="68"/>
      <c r="J97" s="70"/>
      <c r="K97" s="68">
        <v>50</v>
      </c>
      <c r="L97" s="68">
        <v>5</v>
      </c>
      <c r="M97" s="68">
        <v>0.06</v>
      </c>
      <c r="N97" s="68">
        <v>0</v>
      </c>
      <c r="O97" s="70">
        <v>0</v>
      </c>
      <c r="P97" s="68"/>
      <c r="Q97" s="68">
        <v>15</v>
      </c>
      <c r="R97" s="68">
        <v>0.15</v>
      </c>
      <c r="S97" s="68">
        <v>0</v>
      </c>
      <c r="T97" s="70">
        <v>0</v>
      </c>
      <c r="V97" t="s">
        <v>1947</v>
      </c>
      <c r="W97" s="19"/>
      <c r="X97" s="19"/>
      <c r="Y97" s="19"/>
      <c r="Z97" s="19"/>
    </row>
    <row r="98" spans="1:26" ht="20.100000000000001" customHeight="1" x14ac:dyDescent="0.25">
      <c r="A98" s="67" t="s">
        <v>1829</v>
      </c>
      <c r="B98" s="68">
        <v>1.71</v>
      </c>
      <c r="C98" s="68">
        <f>space_classification[[#This Row],[Lighting (A90.1 -2010)]]*0.85</f>
        <v>1.4535</v>
      </c>
      <c r="D98" s="69">
        <v>1</v>
      </c>
      <c r="E98" s="68">
        <v>250</v>
      </c>
      <c r="F98" s="70">
        <v>200</v>
      </c>
      <c r="G98" s="68"/>
      <c r="H98" s="68"/>
      <c r="I98" s="68"/>
      <c r="J98" s="70"/>
      <c r="K98" s="68">
        <v>10</v>
      </c>
      <c r="L98" s="68">
        <v>5</v>
      </c>
      <c r="M98" s="68">
        <v>0.12</v>
      </c>
      <c r="N98" s="68">
        <v>0</v>
      </c>
      <c r="O98" s="70">
        <v>0</v>
      </c>
      <c r="P98" s="68">
        <v>10</v>
      </c>
      <c r="Q98" s="68">
        <v>15</v>
      </c>
      <c r="R98" s="68">
        <v>0.15</v>
      </c>
      <c r="S98" s="68">
        <v>0</v>
      </c>
      <c r="T98" s="70">
        <v>0</v>
      </c>
      <c r="V98" t="s">
        <v>1948</v>
      </c>
      <c r="W98" s="19"/>
      <c r="X98" s="19"/>
      <c r="Y98" s="19"/>
      <c r="Z98" s="19"/>
    </row>
    <row r="99" spans="1:26" ht="20.100000000000001" customHeight="1" x14ac:dyDescent="0.25">
      <c r="A99" s="67" t="s">
        <v>1949</v>
      </c>
      <c r="B99" s="68">
        <v>1.81</v>
      </c>
      <c r="C99" s="68">
        <f>space_classification[[#This Row],[Lighting (A90.1 -2010)]]*0.85</f>
        <v>1.5385</v>
      </c>
      <c r="D99" s="69">
        <v>20</v>
      </c>
      <c r="E99" s="68">
        <v>250</v>
      </c>
      <c r="F99" s="70">
        <v>200</v>
      </c>
      <c r="G99" s="68"/>
      <c r="H99" s="68"/>
      <c r="I99" s="68"/>
      <c r="J99" s="70"/>
      <c r="K99" s="68">
        <v>25</v>
      </c>
      <c r="L99" s="68">
        <v>10</v>
      </c>
      <c r="M99" s="68">
        <v>0.18</v>
      </c>
      <c r="N99" s="68">
        <v>0</v>
      </c>
      <c r="O99" s="70">
        <v>0</v>
      </c>
      <c r="P99" s="68"/>
      <c r="Q99" s="68">
        <v>15</v>
      </c>
      <c r="R99" s="68">
        <v>0.15</v>
      </c>
      <c r="S99" s="68">
        <v>0</v>
      </c>
      <c r="T99" s="70">
        <v>0</v>
      </c>
      <c r="V99" t="s">
        <v>1950</v>
      </c>
      <c r="W99" s="19"/>
      <c r="X99" s="19"/>
      <c r="Y99" s="19"/>
      <c r="Z99" s="19"/>
    </row>
    <row r="100" spans="1:26" ht="20.100000000000001" customHeight="1" x14ac:dyDescent="0.25">
      <c r="A100" s="67" t="s">
        <v>1492</v>
      </c>
      <c r="B100" s="68">
        <v>1.3</v>
      </c>
      <c r="C100" s="68">
        <f>space_classification[[#This Row],[Lighting (A90.1 -2010)]]*0.85</f>
        <v>1.105</v>
      </c>
      <c r="D100" s="69">
        <v>0.2</v>
      </c>
      <c r="E100" s="68">
        <v>250</v>
      </c>
      <c r="F100" s="70">
        <v>200</v>
      </c>
      <c r="G100" s="68"/>
      <c r="H100" s="68"/>
      <c r="I100" s="68"/>
      <c r="J100" s="70"/>
      <c r="K100" s="68">
        <v>150</v>
      </c>
      <c r="L100" s="68">
        <v>5</v>
      </c>
      <c r="M100" s="68">
        <v>0.06</v>
      </c>
      <c r="N100" s="68">
        <v>0</v>
      </c>
      <c r="O100" s="70">
        <v>0</v>
      </c>
      <c r="P100" s="68"/>
      <c r="Q100" s="68">
        <v>15</v>
      </c>
      <c r="R100" s="68">
        <v>0.15</v>
      </c>
      <c r="S100" s="68">
        <v>0</v>
      </c>
      <c r="T100" s="70">
        <v>0</v>
      </c>
      <c r="V100" t="s">
        <v>1951</v>
      </c>
      <c r="W100" s="19"/>
      <c r="X100" s="19"/>
      <c r="Y100" s="19"/>
      <c r="Z100" s="19"/>
    </row>
    <row r="101" spans="1:26" ht="19.5" customHeight="1" x14ac:dyDescent="0.25">
      <c r="A101" s="67" t="s">
        <v>1952</v>
      </c>
      <c r="B101" s="68">
        <v>1.3</v>
      </c>
      <c r="C101" s="68">
        <f>space_classification[[#This Row],[Lighting (A90.1 -2010)]]*0.85</f>
        <v>1.105</v>
      </c>
      <c r="D101" s="69">
        <v>0.2</v>
      </c>
      <c r="E101" s="68">
        <v>250</v>
      </c>
      <c r="F101" s="70">
        <v>200</v>
      </c>
      <c r="G101" s="68"/>
      <c r="H101" s="68"/>
      <c r="I101" s="68"/>
      <c r="J101" s="70"/>
      <c r="K101" s="68">
        <v>10</v>
      </c>
      <c r="L101" s="68">
        <v>5</v>
      </c>
      <c r="M101" s="68">
        <v>0.06</v>
      </c>
      <c r="N101" s="68">
        <v>0</v>
      </c>
      <c r="O101" s="70">
        <v>0</v>
      </c>
      <c r="P101" s="68"/>
      <c r="Q101" s="68">
        <v>15</v>
      </c>
      <c r="R101" s="68">
        <v>0.15</v>
      </c>
      <c r="S101" s="68">
        <v>0</v>
      </c>
      <c r="T101" s="70">
        <v>0</v>
      </c>
      <c r="V101" t="s">
        <v>1953</v>
      </c>
      <c r="W101" s="19"/>
      <c r="X101" s="19"/>
      <c r="Y101" s="19"/>
      <c r="Z101" s="19"/>
    </row>
    <row r="102" spans="1:26" ht="20.100000000000001" customHeight="1" x14ac:dyDescent="0.25">
      <c r="A102" s="67" t="s">
        <v>1472</v>
      </c>
      <c r="B102" s="68">
        <v>0.6</v>
      </c>
      <c r="C102" s="68">
        <f>space_classification[[#This Row],[Lighting (A90.1 -2010)]]*0.85</f>
        <v>0.51</v>
      </c>
      <c r="D102" s="69">
        <v>0</v>
      </c>
      <c r="E102" s="68">
        <v>250</v>
      </c>
      <c r="F102" s="70">
        <v>200</v>
      </c>
      <c r="G102" s="83">
        <v>0</v>
      </c>
      <c r="H102" s="97"/>
      <c r="I102" s="98">
        <v>10</v>
      </c>
      <c r="J102" s="70" t="s">
        <v>1727</v>
      </c>
      <c r="K102" s="68">
        <v>0</v>
      </c>
      <c r="L102" s="68">
        <v>0</v>
      </c>
      <c r="M102" s="68">
        <v>0</v>
      </c>
      <c r="N102" s="68">
        <v>0.5</v>
      </c>
      <c r="O102" s="70">
        <v>0</v>
      </c>
      <c r="P102" s="68">
        <v>20</v>
      </c>
      <c r="Q102" s="68">
        <v>15</v>
      </c>
      <c r="R102" s="68">
        <v>0.15</v>
      </c>
      <c r="S102" s="68">
        <v>0.5</v>
      </c>
      <c r="T102" s="70">
        <v>0</v>
      </c>
      <c r="V102" t="s">
        <v>1954</v>
      </c>
      <c r="W102" s="19"/>
      <c r="X102" s="19"/>
      <c r="Y102" s="19"/>
      <c r="Z102" s="19"/>
    </row>
    <row r="103" spans="1:26" ht="20.100000000000001" customHeight="1" x14ac:dyDescent="0.25">
      <c r="A103" s="67" t="s">
        <v>1955</v>
      </c>
      <c r="B103" s="68">
        <v>1</v>
      </c>
      <c r="C103" s="68">
        <f>space_classification[[#This Row],[Lighting (A90.1 -2010)]]*0.85</f>
        <v>0.85</v>
      </c>
      <c r="D103" s="69">
        <v>1</v>
      </c>
      <c r="E103" s="68">
        <v>250</v>
      </c>
      <c r="F103" s="70">
        <v>200</v>
      </c>
      <c r="G103" s="68">
        <v>0</v>
      </c>
      <c r="H103" s="68"/>
      <c r="I103" s="68"/>
      <c r="J103" s="70"/>
      <c r="K103" s="68"/>
      <c r="L103" s="68"/>
      <c r="M103" s="68"/>
      <c r="N103" s="68"/>
      <c r="O103" s="70"/>
      <c r="P103" s="68"/>
      <c r="Q103" s="68">
        <v>15</v>
      </c>
      <c r="R103" s="68">
        <v>0.15</v>
      </c>
      <c r="S103" s="68"/>
      <c r="T103" s="70"/>
      <c r="V103" t="s">
        <v>1956</v>
      </c>
      <c r="W103" s="19"/>
      <c r="X103" s="19"/>
      <c r="Y103" s="19"/>
      <c r="Z103" s="19"/>
    </row>
    <row r="104" spans="1:26" ht="20.100000000000001" customHeight="1" x14ac:dyDescent="0.25">
      <c r="A104" s="67" t="s">
        <v>1957</v>
      </c>
      <c r="B104" s="68">
        <v>1.71</v>
      </c>
      <c r="C104" s="68">
        <f>space_classification[[#This Row],[Lighting (A90.1 -2010)]]*0.85</f>
        <v>1.4535</v>
      </c>
      <c r="D104" s="69">
        <v>3</v>
      </c>
      <c r="E104" s="68">
        <v>250</v>
      </c>
      <c r="F104" s="70">
        <v>200</v>
      </c>
      <c r="G104" s="68"/>
      <c r="H104" s="68"/>
      <c r="I104" s="68"/>
      <c r="J104" s="70"/>
      <c r="K104" s="68">
        <v>25</v>
      </c>
      <c r="L104" s="68">
        <v>10</v>
      </c>
      <c r="M104" s="68">
        <v>0.12</v>
      </c>
      <c r="N104" s="68">
        <v>0</v>
      </c>
      <c r="O104" s="70">
        <v>0</v>
      </c>
      <c r="P104" s="68"/>
      <c r="Q104" s="68">
        <v>15</v>
      </c>
      <c r="R104" s="68">
        <v>0.15</v>
      </c>
      <c r="S104" s="68">
        <v>0</v>
      </c>
      <c r="T104" s="70">
        <v>0</v>
      </c>
      <c r="V104" t="s">
        <v>1958</v>
      </c>
      <c r="W104" s="19"/>
      <c r="X104" s="19"/>
      <c r="Y104" s="19"/>
      <c r="Z104" s="19"/>
    </row>
    <row r="105" spans="1:26" ht="20.100000000000001" customHeight="1" x14ac:dyDescent="0.25">
      <c r="A105" s="67" t="s">
        <v>1959</v>
      </c>
      <c r="B105" s="68">
        <v>1.3</v>
      </c>
      <c r="C105" s="68">
        <f>space_classification[[#This Row],[Lighting (A90.1 -2010)]]*0.85</f>
        <v>1.105</v>
      </c>
      <c r="D105" s="69">
        <v>1.5</v>
      </c>
      <c r="E105" s="68">
        <v>250</v>
      </c>
      <c r="F105" s="70">
        <v>200</v>
      </c>
      <c r="G105" s="68">
        <v>2</v>
      </c>
      <c r="H105" s="68">
        <v>4</v>
      </c>
      <c r="I105" s="68">
        <v>0</v>
      </c>
      <c r="J105" s="70" t="s">
        <v>1767</v>
      </c>
      <c r="K105" s="68"/>
      <c r="L105" s="68"/>
      <c r="M105" s="68"/>
      <c r="N105" s="68"/>
      <c r="O105" s="70"/>
      <c r="P105" s="68"/>
      <c r="Q105" s="68">
        <v>15</v>
      </c>
      <c r="R105" s="68">
        <v>0.15</v>
      </c>
      <c r="S105" s="68"/>
      <c r="T105" s="70"/>
      <c r="W105" s="19"/>
      <c r="X105" s="19"/>
      <c r="Y105" s="19"/>
      <c r="Z105" s="19"/>
    </row>
    <row r="106" spans="1:26" ht="20.100000000000001" customHeight="1" x14ac:dyDescent="0.25">
      <c r="A106" s="67" t="s">
        <v>1960</v>
      </c>
      <c r="B106" s="68">
        <v>2.2000000000000002</v>
      </c>
      <c r="C106" s="68">
        <f>space_classification[[#This Row],[Lighting (A90.1 -2010)]]*0.85</f>
        <v>1.87</v>
      </c>
      <c r="D106" s="69">
        <v>78</v>
      </c>
      <c r="E106" s="68">
        <v>250</v>
      </c>
      <c r="F106" s="70">
        <v>200</v>
      </c>
      <c r="G106" s="68"/>
      <c r="H106" s="68"/>
      <c r="I106" s="68"/>
      <c r="J106" s="70"/>
      <c r="K106" s="68"/>
      <c r="L106" s="68"/>
      <c r="M106" s="68"/>
      <c r="N106" s="68"/>
      <c r="O106" s="70"/>
      <c r="P106" s="68">
        <v>4.16</v>
      </c>
      <c r="Q106" s="68">
        <v>15</v>
      </c>
      <c r="R106" s="68">
        <v>0.15</v>
      </c>
      <c r="S106" s="68"/>
      <c r="T106" s="70"/>
      <c r="W106" s="19"/>
      <c r="X106" s="19"/>
      <c r="Y106" s="19"/>
      <c r="Z106" s="19"/>
    </row>
    <row r="107" spans="1:26" ht="20.100000000000001" customHeight="1" x14ac:dyDescent="0.25">
      <c r="A107" s="67" t="s">
        <v>1961</v>
      </c>
      <c r="B107" s="68">
        <v>1.66</v>
      </c>
      <c r="C107" s="68">
        <f>space_classification[[#This Row],[Lighting (A90.1 -2010)]]*0.85</f>
        <v>1.4109999999999998</v>
      </c>
      <c r="D107" s="69">
        <v>5</v>
      </c>
      <c r="E107" s="68">
        <v>250</v>
      </c>
      <c r="F107" s="70">
        <v>475</v>
      </c>
      <c r="G107" s="68">
        <v>2</v>
      </c>
      <c r="H107" s="68">
        <v>6</v>
      </c>
      <c r="I107" s="68">
        <v>0</v>
      </c>
      <c r="J107" s="70" t="s">
        <v>240</v>
      </c>
      <c r="K107" s="68"/>
      <c r="L107" s="68"/>
      <c r="M107" s="68"/>
      <c r="N107" s="68"/>
      <c r="O107" s="70"/>
      <c r="P107" s="68">
        <v>8.3339999999999996</v>
      </c>
      <c r="Q107" s="68">
        <v>15</v>
      </c>
      <c r="R107" s="68">
        <v>0.15</v>
      </c>
      <c r="S107" s="68"/>
      <c r="T107" s="70"/>
      <c r="W107" s="19"/>
      <c r="X107" s="19"/>
      <c r="Y107" s="19"/>
      <c r="Z107" s="19"/>
    </row>
    <row r="108" spans="1:26" ht="20.100000000000001" customHeight="1" x14ac:dyDescent="0.25">
      <c r="A108" s="67" t="s">
        <v>1962</v>
      </c>
      <c r="B108" s="68">
        <v>1.05</v>
      </c>
      <c r="C108" s="68">
        <f>space_classification[[#This Row],[Lighting (A90.1 -2010)]]*0.85</f>
        <v>0.89249999999999996</v>
      </c>
      <c r="D108" s="69">
        <v>0</v>
      </c>
      <c r="E108" s="68">
        <v>250</v>
      </c>
      <c r="F108" s="70">
        <v>200</v>
      </c>
      <c r="G108" s="68"/>
      <c r="H108" s="68"/>
      <c r="I108" s="68"/>
      <c r="J108" s="70"/>
      <c r="K108" s="68">
        <v>40</v>
      </c>
      <c r="L108" s="68">
        <v>7.5</v>
      </c>
      <c r="M108" s="68">
        <v>0.12</v>
      </c>
      <c r="N108" s="68">
        <v>0</v>
      </c>
      <c r="O108" s="70">
        <v>0</v>
      </c>
      <c r="P108" s="68"/>
      <c r="Q108" s="68">
        <v>15</v>
      </c>
      <c r="R108" s="68">
        <v>0.15</v>
      </c>
      <c r="S108" s="68">
        <v>0</v>
      </c>
      <c r="T108" s="70">
        <v>0</v>
      </c>
      <c r="W108" s="19"/>
      <c r="X108" s="19"/>
      <c r="Y108" s="19"/>
      <c r="Z108" s="19"/>
    </row>
    <row r="109" spans="1:26" ht="20.100000000000001" customHeight="1" x14ac:dyDescent="0.25">
      <c r="A109" s="67" t="s">
        <v>1963</v>
      </c>
      <c r="B109" s="68">
        <v>1.05</v>
      </c>
      <c r="C109" s="68">
        <f>space_classification[[#This Row],[Lighting (A90.1 -2010)]]*0.85</f>
        <v>0.89249999999999996</v>
      </c>
      <c r="D109" s="69">
        <v>0</v>
      </c>
      <c r="E109" s="68">
        <v>250</v>
      </c>
      <c r="F109" s="70">
        <v>200</v>
      </c>
      <c r="G109" s="68"/>
      <c r="H109" s="68"/>
      <c r="I109" s="68"/>
      <c r="J109" s="70"/>
      <c r="K109" s="68">
        <v>40</v>
      </c>
      <c r="L109" s="68">
        <v>7.5</v>
      </c>
      <c r="M109" s="68">
        <v>0.06</v>
      </c>
      <c r="N109" s="68">
        <v>0</v>
      </c>
      <c r="O109" s="70">
        <v>0</v>
      </c>
      <c r="P109" s="68"/>
      <c r="Q109" s="68">
        <v>15</v>
      </c>
      <c r="R109" s="68">
        <v>0.15</v>
      </c>
      <c r="S109" s="68">
        <v>0</v>
      </c>
      <c r="T109" s="70">
        <v>0</v>
      </c>
      <c r="W109" s="19"/>
      <c r="X109" s="19"/>
      <c r="Y109" s="19"/>
      <c r="Z109" s="19"/>
    </row>
    <row r="110" spans="1:26" ht="20.100000000000001" customHeight="1" x14ac:dyDescent="0.25">
      <c r="A110" s="67" t="s">
        <v>1964</v>
      </c>
      <c r="B110" s="68">
        <v>2.4300000000000002</v>
      </c>
      <c r="C110" s="68">
        <f>space_classification[[#This Row],[Lighting (A90.1 -2010)]]*0.85</f>
        <v>2.0655000000000001</v>
      </c>
      <c r="D110" s="69">
        <v>0</v>
      </c>
      <c r="E110" s="68">
        <v>250</v>
      </c>
      <c r="F110" s="70">
        <v>200</v>
      </c>
      <c r="G110" s="68"/>
      <c r="H110" s="68"/>
      <c r="I110" s="68"/>
      <c r="J110" s="70"/>
      <c r="K110" s="68">
        <v>35</v>
      </c>
      <c r="L110" s="68">
        <v>10</v>
      </c>
      <c r="M110" s="68">
        <v>0.06</v>
      </c>
      <c r="N110" s="68">
        <v>0</v>
      </c>
      <c r="O110" s="70">
        <v>0</v>
      </c>
      <c r="P110" s="68"/>
      <c r="Q110" s="68">
        <v>15</v>
      </c>
      <c r="R110" s="68">
        <v>0.15</v>
      </c>
      <c r="S110" s="68">
        <v>0</v>
      </c>
      <c r="T110" s="70">
        <v>0</v>
      </c>
      <c r="W110" s="19"/>
      <c r="X110" s="19"/>
      <c r="Y110" s="19"/>
      <c r="Z110" s="19"/>
    </row>
    <row r="111" spans="1:26" ht="20.100000000000001" customHeight="1" x14ac:dyDescent="0.25">
      <c r="A111" s="67" t="s">
        <v>1965</v>
      </c>
      <c r="B111" s="68">
        <v>1.81</v>
      </c>
      <c r="C111" s="68">
        <f>space_classification[[#This Row],[Lighting (A90.1 -2010)]]*0.85</f>
        <v>1.5385</v>
      </c>
      <c r="D111" s="69">
        <v>2</v>
      </c>
      <c r="E111" s="68">
        <v>250</v>
      </c>
      <c r="F111" s="70">
        <v>200</v>
      </c>
      <c r="G111" s="68"/>
      <c r="H111" s="68"/>
      <c r="I111" s="68"/>
      <c r="J111" s="70"/>
      <c r="K111" s="68">
        <v>25</v>
      </c>
      <c r="L111" s="68">
        <v>10</v>
      </c>
      <c r="M111" s="68">
        <v>0.18</v>
      </c>
      <c r="N111" s="68">
        <v>0</v>
      </c>
      <c r="O111" s="70">
        <v>0</v>
      </c>
      <c r="P111" s="68">
        <v>4.16</v>
      </c>
      <c r="Q111" s="68">
        <v>15</v>
      </c>
      <c r="R111" s="68">
        <v>0.15</v>
      </c>
      <c r="S111" s="68">
        <v>0</v>
      </c>
      <c r="T111" s="70">
        <v>0</v>
      </c>
      <c r="W111" s="19"/>
      <c r="X111" s="19"/>
      <c r="Y111" s="19"/>
      <c r="Z111" s="19"/>
    </row>
    <row r="112" spans="1:26" ht="20.100000000000001" customHeight="1" x14ac:dyDescent="0.25">
      <c r="A112" s="67" t="s">
        <v>1966</v>
      </c>
      <c r="B112" s="68">
        <v>1.66</v>
      </c>
      <c r="C112" s="68">
        <f>space_classification[[#This Row],[Lighting (A90.1 -2010)]]*0.85</f>
        <v>1.4109999999999998</v>
      </c>
      <c r="D112" s="69">
        <v>1</v>
      </c>
      <c r="E112" s="68">
        <v>250</v>
      </c>
      <c r="F112" s="70">
        <v>200</v>
      </c>
      <c r="G112" s="68">
        <v>2</v>
      </c>
      <c r="H112" s="68">
        <v>6</v>
      </c>
      <c r="I112" s="68">
        <v>0</v>
      </c>
      <c r="J112" s="70" t="s">
        <v>1767</v>
      </c>
      <c r="K112" s="68"/>
      <c r="L112" s="68"/>
      <c r="M112" s="68"/>
      <c r="N112" s="68"/>
      <c r="O112" s="70"/>
      <c r="P112" s="68">
        <v>4.16</v>
      </c>
      <c r="Q112" s="68">
        <v>15</v>
      </c>
      <c r="R112" s="68">
        <v>0.15</v>
      </c>
      <c r="S112" s="68"/>
      <c r="T112" s="70"/>
      <c r="W112" s="19"/>
      <c r="X112" s="19"/>
      <c r="Y112" s="19"/>
      <c r="Z112" s="19"/>
    </row>
    <row r="113" spans="1:26" ht="20.100000000000001" customHeight="1" x14ac:dyDescent="0.25">
      <c r="A113" s="67" t="s">
        <v>1967</v>
      </c>
      <c r="B113" s="68">
        <v>0.88</v>
      </c>
      <c r="C113" s="68">
        <f>space_classification[[#This Row],[Lighting (A90.1 -2010)]]*0.85</f>
        <v>0.748</v>
      </c>
      <c r="D113" s="69">
        <v>1</v>
      </c>
      <c r="E113" s="68">
        <v>250</v>
      </c>
      <c r="F113" s="70">
        <v>200</v>
      </c>
      <c r="G113" s="68">
        <v>2</v>
      </c>
      <c r="H113" s="68">
        <v>6</v>
      </c>
      <c r="I113" s="68">
        <v>0</v>
      </c>
      <c r="J113" s="70" t="s">
        <v>240</v>
      </c>
      <c r="K113" s="68"/>
      <c r="L113" s="68"/>
      <c r="M113" s="68"/>
      <c r="N113" s="68"/>
      <c r="O113" s="70"/>
      <c r="P113" s="68">
        <v>4.16</v>
      </c>
      <c r="Q113" s="68">
        <v>15</v>
      </c>
      <c r="R113" s="68">
        <v>0.15</v>
      </c>
      <c r="S113" s="68"/>
      <c r="T113" s="70"/>
      <c r="W113" s="19"/>
      <c r="X113" s="19"/>
      <c r="Y113" s="19"/>
      <c r="Z113" s="19"/>
    </row>
    <row r="114" spans="1:26" ht="20.100000000000001" customHeight="1" x14ac:dyDescent="0.25">
      <c r="A114" s="67" t="s">
        <v>1968</v>
      </c>
      <c r="B114" s="68">
        <v>1.81</v>
      </c>
      <c r="C114" s="68">
        <f>space_classification[[#This Row],[Lighting (A90.1 -2010)]]*0.85</f>
        <v>1.5385</v>
      </c>
      <c r="D114" s="69">
        <v>20</v>
      </c>
      <c r="E114" s="68">
        <v>250</v>
      </c>
      <c r="F114" s="70">
        <v>200</v>
      </c>
      <c r="G114" s="68"/>
      <c r="H114" s="68"/>
      <c r="I114" s="68"/>
      <c r="J114" s="70"/>
      <c r="K114" s="68">
        <v>25</v>
      </c>
      <c r="L114" s="68">
        <v>10</v>
      </c>
      <c r="M114" s="68">
        <v>0.18</v>
      </c>
      <c r="N114" s="68">
        <v>0</v>
      </c>
      <c r="O114" s="70">
        <v>0</v>
      </c>
      <c r="P114" s="68">
        <v>4.16</v>
      </c>
      <c r="Q114" s="68">
        <v>15</v>
      </c>
      <c r="R114" s="68">
        <v>0.15</v>
      </c>
      <c r="S114" s="68">
        <v>0</v>
      </c>
      <c r="T114" s="70">
        <v>0</v>
      </c>
      <c r="W114" s="19"/>
      <c r="X114" s="19"/>
      <c r="Y114" s="19"/>
      <c r="Z114" s="19"/>
    </row>
    <row r="115" spans="1:26" ht="20.100000000000001" customHeight="1" x14ac:dyDescent="0.25">
      <c r="A115" s="67" t="s">
        <v>1969</v>
      </c>
      <c r="B115" s="68">
        <v>0.74</v>
      </c>
      <c r="C115" s="68">
        <f>space_classification[[#This Row],[Lighting (A90.1 -2010)]]*0.85</f>
        <v>0.629</v>
      </c>
      <c r="D115" s="69">
        <v>1</v>
      </c>
      <c r="E115" s="68">
        <v>250</v>
      </c>
      <c r="F115" s="70">
        <v>200</v>
      </c>
      <c r="G115" s="68">
        <v>0</v>
      </c>
      <c r="H115" s="68">
        <v>0</v>
      </c>
      <c r="I115" s="68">
        <v>10</v>
      </c>
      <c r="J115" s="70" t="s">
        <v>1727</v>
      </c>
      <c r="K115" s="68"/>
      <c r="L115" s="68"/>
      <c r="M115" s="68"/>
      <c r="N115" s="68"/>
      <c r="O115" s="70"/>
      <c r="P115" s="68">
        <v>4.16</v>
      </c>
      <c r="Q115" s="68">
        <v>15</v>
      </c>
      <c r="R115" s="68">
        <v>0.15</v>
      </c>
      <c r="S115" s="68"/>
      <c r="T115" s="70"/>
      <c r="W115" s="19"/>
      <c r="X115" s="19"/>
      <c r="Y115" s="19"/>
      <c r="Z115" s="19"/>
    </row>
    <row r="116" spans="1:26" ht="20.100000000000001" customHeight="1" x14ac:dyDescent="0.25">
      <c r="A116" s="67" t="s">
        <v>1970</v>
      </c>
      <c r="B116" s="68">
        <v>0.9</v>
      </c>
      <c r="C116" s="68">
        <f>space_classification[[#This Row],[Lighting (A90.1 -2010)]]*0.85</f>
        <v>0.76500000000000001</v>
      </c>
      <c r="D116" s="69">
        <v>3</v>
      </c>
      <c r="E116" s="68">
        <v>250</v>
      </c>
      <c r="F116" s="70">
        <v>200</v>
      </c>
      <c r="G116" s="68"/>
      <c r="H116" s="68"/>
      <c r="I116" s="68"/>
      <c r="J116" s="70"/>
      <c r="K116" s="68">
        <v>10</v>
      </c>
      <c r="L116" s="68">
        <v>5</v>
      </c>
      <c r="M116" s="68">
        <v>0.06</v>
      </c>
      <c r="N116" s="68">
        <v>0</v>
      </c>
      <c r="O116" s="70">
        <v>0</v>
      </c>
      <c r="P116" s="68">
        <v>8.3339999999999996</v>
      </c>
      <c r="Q116" s="68">
        <v>15</v>
      </c>
      <c r="R116" s="68">
        <v>0.15</v>
      </c>
      <c r="S116" s="68">
        <v>0</v>
      </c>
      <c r="T116" s="70">
        <v>0</v>
      </c>
      <c r="W116" s="19"/>
      <c r="X116" s="19"/>
      <c r="Y116" s="19"/>
      <c r="Z116" s="19"/>
    </row>
    <row r="117" spans="1:26" ht="20.100000000000001" customHeight="1" x14ac:dyDescent="0.25">
      <c r="A117" s="67" t="s">
        <v>1971</v>
      </c>
      <c r="B117" s="68">
        <v>1.1000000000000001</v>
      </c>
      <c r="C117" s="68">
        <f>space_classification[[#This Row],[Lighting (A90.1 -2010)]]*0.85</f>
        <v>0.93500000000000005</v>
      </c>
      <c r="D117" s="69">
        <v>1</v>
      </c>
      <c r="E117" s="68">
        <v>250</v>
      </c>
      <c r="F117" s="70">
        <v>200</v>
      </c>
      <c r="G117" s="68"/>
      <c r="H117" s="68"/>
      <c r="I117" s="68"/>
      <c r="J117" s="70"/>
      <c r="K117" s="68">
        <v>5</v>
      </c>
      <c r="L117" s="68">
        <v>5</v>
      </c>
      <c r="M117" s="68">
        <v>0.06</v>
      </c>
      <c r="N117" s="68">
        <v>0</v>
      </c>
      <c r="O117" s="70">
        <v>0</v>
      </c>
      <c r="P117" s="68">
        <v>10</v>
      </c>
      <c r="Q117" s="68">
        <v>15</v>
      </c>
      <c r="R117" s="68">
        <v>0.15</v>
      </c>
      <c r="S117" s="68">
        <v>0</v>
      </c>
      <c r="T117" s="70">
        <v>0</v>
      </c>
      <c r="W117" s="19"/>
      <c r="X117" s="19"/>
      <c r="Y117" s="19"/>
      <c r="Z117" s="19"/>
    </row>
    <row r="118" spans="1:26" ht="20.100000000000001" customHeight="1" x14ac:dyDescent="0.25">
      <c r="A118" s="67" t="s">
        <v>1972</v>
      </c>
      <c r="B118" s="68">
        <v>1.1000000000000001</v>
      </c>
      <c r="C118" s="68">
        <f>space_classification[[#This Row],[Lighting (A90.1 -2010)]]*0.85</f>
        <v>0.93500000000000005</v>
      </c>
      <c r="D118" s="69">
        <v>1</v>
      </c>
      <c r="E118" s="68">
        <v>250</v>
      </c>
      <c r="F118" s="70">
        <v>200</v>
      </c>
      <c r="G118" s="68"/>
      <c r="H118" s="68"/>
      <c r="I118" s="68"/>
      <c r="J118" s="70"/>
      <c r="K118" s="68">
        <v>5</v>
      </c>
      <c r="L118" s="68">
        <v>5</v>
      </c>
      <c r="M118" s="68">
        <v>0.06</v>
      </c>
      <c r="N118" s="68">
        <v>0</v>
      </c>
      <c r="O118" s="70">
        <v>0</v>
      </c>
      <c r="P118" s="68">
        <v>10</v>
      </c>
      <c r="Q118" s="68">
        <v>15</v>
      </c>
      <c r="R118" s="68">
        <v>0.15</v>
      </c>
      <c r="S118" s="68">
        <v>0</v>
      </c>
      <c r="T118" s="70">
        <v>0</v>
      </c>
      <c r="W118" s="19"/>
      <c r="X118" s="19"/>
      <c r="Y118" s="19"/>
      <c r="Z118" s="19"/>
    </row>
    <row r="119" spans="1:26" ht="21.95" customHeight="1" x14ac:dyDescent="0.25">
      <c r="A119" s="67" t="s">
        <v>1973</v>
      </c>
      <c r="B119" s="68">
        <v>0.91</v>
      </c>
      <c r="C119" s="68">
        <f>space_classification[[#This Row],[Lighting (A90.1 -2010)]]*0.85</f>
        <v>0.77349999999999997</v>
      </c>
      <c r="D119" s="69">
        <v>2</v>
      </c>
      <c r="E119" s="68">
        <v>275</v>
      </c>
      <c r="F119" s="70">
        <v>275</v>
      </c>
      <c r="G119" s="68">
        <v>2</v>
      </c>
      <c r="H119" s="68">
        <v>6</v>
      </c>
      <c r="I119" s="68">
        <v>0</v>
      </c>
      <c r="J119" s="70" t="s">
        <v>240</v>
      </c>
      <c r="K119" s="68"/>
      <c r="L119" s="68"/>
      <c r="M119" s="68"/>
      <c r="N119" s="68"/>
      <c r="O119" s="70"/>
      <c r="P119" s="68">
        <v>10</v>
      </c>
      <c r="Q119" s="68">
        <v>15</v>
      </c>
      <c r="R119" s="68">
        <v>0.15</v>
      </c>
      <c r="S119" s="68"/>
      <c r="T119" s="70"/>
      <c r="W119" s="19"/>
      <c r="X119" s="19"/>
      <c r="Y119" s="19"/>
      <c r="Z119" s="19"/>
    </row>
    <row r="120" spans="1:26" ht="20.100000000000001" customHeight="1" x14ac:dyDescent="0.25">
      <c r="A120" s="67" t="s">
        <v>1974</v>
      </c>
      <c r="B120" s="68">
        <v>0.19</v>
      </c>
      <c r="C120" s="68">
        <f>space_classification[[#This Row],[Lighting (A90.1 -2010)]]*0.85</f>
        <v>0.1615</v>
      </c>
      <c r="D120" s="69">
        <v>0</v>
      </c>
      <c r="E120" s="68">
        <v>250</v>
      </c>
      <c r="F120" s="70">
        <v>200</v>
      </c>
      <c r="G120" s="68"/>
      <c r="H120" s="68"/>
      <c r="I120" s="68"/>
      <c r="J120" s="70"/>
      <c r="K120" s="68">
        <v>0</v>
      </c>
      <c r="L120" s="68">
        <v>0</v>
      </c>
      <c r="M120" s="68">
        <v>0</v>
      </c>
      <c r="N120" s="68">
        <v>0.75</v>
      </c>
      <c r="O120" s="70">
        <v>0</v>
      </c>
      <c r="P120" s="68"/>
      <c r="Q120" s="68">
        <v>15</v>
      </c>
      <c r="R120" s="68">
        <v>0.15</v>
      </c>
      <c r="S120" s="68">
        <v>0.75</v>
      </c>
      <c r="T120" s="70">
        <v>0</v>
      </c>
    </row>
    <row r="121" spans="1:26" ht="20.100000000000001" customHeight="1" x14ac:dyDescent="0.25">
      <c r="A121" s="67" t="s">
        <v>1975</v>
      </c>
      <c r="B121" s="68">
        <v>1.9</v>
      </c>
      <c r="C121" s="68">
        <f>space_classification[[#This Row],[Lighting (A90.1 -2010)]]*0.85</f>
        <v>1.615</v>
      </c>
      <c r="D121" s="69">
        <v>15</v>
      </c>
      <c r="E121" s="68">
        <v>275</v>
      </c>
      <c r="F121" s="70">
        <v>475</v>
      </c>
      <c r="G121" s="68">
        <v>5</v>
      </c>
      <c r="H121" s="68">
        <v>20</v>
      </c>
      <c r="I121" s="68">
        <v>0</v>
      </c>
      <c r="J121" s="70" t="s">
        <v>1767</v>
      </c>
      <c r="K121" s="68"/>
      <c r="L121" s="68"/>
      <c r="M121" s="68"/>
      <c r="N121" s="68"/>
      <c r="O121" s="70"/>
      <c r="P121" s="68">
        <v>4.16</v>
      </c>
      <c r="Q121" s="68">
        <v>15</v>
      </c>
      <c r="R121" s="68">
        <v>0.15</v>
      </c>
      <c r="S121" s="68"/>
      <c r="T121" s="70"/>
    </row>
    <row r="122" spans="1:26" ht="20.100000000000001" customHeight="1" x14ac:dyDescent="0.25">
      <c r="A122" s="67" t="s">
        <v>1523</v>
      </c>
      <c r="B122" s="68">
        <v>0.7</v>
      </c>
      <c r="C122" s="68">
        <f>space_classification[[#This Row],[Lighting (A90.1 -2010)]]*0.85</f>
        <v>0.59499999999999997</v>
      </c>
      <c r="D122" s="69">
        <v>2</v>
      </c>
      <c r="E122" s="68">
        <v>250</v>
      </c>
      <c r="F122" s="70">
        <v>200</v>
      </c>
      <c r="G122" s="68">
        <v>2</v>
      </c>
      <c r="H122" s="68">
        <v>6</v>
      </c>
      <c r="I122" s="68">
        <v>0</v>
      </c>
      <c r="J122" s="70" t="s">
        <v>240</v>
      </c>
      <c r="K122" s="68"/>
      <c r="L122" s="68"/>
      <c r="M122" s="68"/>
      <c r="N122" s="68"/>
      <c r="O122" s="70"/>
      <c r="P122" s="68">
        <v>4.16</v>
      </c>
      <c r="Q122" s="68">
        <v>15</v>
      </c>
      <c r="R122" s="68">
        <v>0.15</v>
      </c>
      <c r="S122" s="68"/>
      <c r="T122" s="70"/>
    </row>
    <row r="123" spans="1:26" ht="20.100000000000001" customHeight="1" x14ac:dyDescent="0.25">
      <c r="A123" s="67" t="s">
        <v>1976</v>
      </c>
      <c r="B123" s="68">
        <v>0.7</v>
      </c>
      <c r="C123" s="68">
        <f>space_classification[[#This Row],[Lighting (A90.1 -2010)]]*0.85</f>
        <v>0.59499999999999997</v>
      </c>
      <c r="D123" s="69">
        <v>3</v>
      </c>
      <c r="E123" s="68">
        <v>250</v>
      </c>
      <c r="F123" s="70">
        <v>200</v>
      </c>
      <c r="G123" s="68">
        <v>2</v>
      </c>
      <c r="H123" s="68">
        <v>6</v>
      </c>
      <c r="I123" s="68">
        <v>0</v>
      </c>
      <c r="J123" s="70" t="s">
        <v>240</v>
      </c>
      <c r="K123" s="68"/>
      <c r="L123" s="68"/>
      <c r="M123" s="68"/>
      <c r="N123" s="68"/>
      <c r="O123" s="70"/>
      <c r="P123" s="68">
        <v>4.16</v>
      </c>
      <c r="Q123" s="68">
        <v>15</v>
      </c>
      <c r="R123" s="68">
        <v>0.15</v>
      </c>
      <c r="S123" s="68"/>
      <c r="T123" s="70"/>
    </row>
    <row r="124" spans="1:26" ht="20.100000000000001" customHeight="1" x14ac:dyDescent="0.25">
      <c r="A124" s="67" t="s">
        <v>1977</v>
      </c>
      <c r="B124" s="68">
        <v>0.7</v>
      </c>
      <c r="C124" s="68">
        <f>space_classification[[#This Row],[Lighting (A90.1 -2010)]]*0.85</f>
        <v>0.59499999999999997</v>
      </c>
      <c r="D124" s="69">
        <v>3</v>
      </c>
      <c r="E124" s="68">
        <v>250</v>
      </c>
      <c r="F124" s="70">
        <v>200</v>
      </c>
      <c r="G124" s="68">
        <v>2</v>
      </c>
      <c r="H124" s="68">
        <v>6</v>
      </c>
      <c r="I124" s="68">
        <v>0</v>
      </c>
      <c r="J124" s="70" t="s">
        <v>240</v>
      </c>
      <c r="K124" s="68"/>
      <c r="L124" s="68"/>
      <c r="M124" s="68"/>
      <c r="N124" s="68"/>
      <c r="O124" s="70"/>
      <c r="P124" s="68">
        <v>4.16</v>
      </c>
      <c r="Q124" s="68">
        <v>15</v>
      </c>
      <c r="R124" s="68">
        <v>0.15</v>
      </c>
      <c r="S124" s="68"/>
      <c r="T124" s="70"/>
    </row>
    <row r="125" spans="1:26" ht="20.100000000000001" customHeight="1" x14ac:dyDescent="0.25">
      <c r="A125" s="67" t="s">
        <v>1978</v>
      </c>
      <c r="B125" s="68">
        <v>0.7</v>
      </c>
      <c r="C125" s="68">
        <f>space_classification[[#This Row],[Lighting (A90.1 -2010)]]*0.85</f>
        <v>0.59499999999999997</v>
      </c>
      <c r="D125" s="69">
        <v>3</v>
      </c>
      <c r="E125" s="68">
        <v>250</v>
      </c>
      <c r="F125" s="70">
        <v>200</v>
      </c>
      <c r="G125" s="68">
        <v>2</v>
      </c>
      <c r="H125" s="68">
        <v>12</v>
      </c>
      <c r="I125" s="68">
        <v>0</v>
      </c>
      <c r="J125" s="70" t="s">
        <v>1767</v>
      </c>
      <c r="K125" s="68"/>
      <c r="L125" s="68"/>
      <c r="M125" s="68"/>
      <c r="N125" s="68"/>
      <c r="O125" s="70"/>
      <c r="P125" s="68">
        <v>4.16</v>
      </c>
      <c r="Q125" s="68">
        <v>15</v>
      </c>
      <c r="R125" s="68">
        <v>0.15</v>
      </c>
      <c r="S125" s="68"/>
      <c r="T125" s="70"/>
    </row>
    <row r="126" spans="1:26" ht="20.100000000000001" customHeight="1" x14ac:dyDescent="0.25">
      <c r="A126" s="67" t="s">
        <v>1979</v>
      </c>
      <c r="B126" s="68">
        <v>1.2</v>
      </c>
      <c r="C126" s="68">
        <f>space_classification[[#This Row],[Lighting (A90.1 -2010)]]*0.85</f>
        <v>1.02</v>
      </c>
      <c r="D126" s="69">
        <v>1.5</v>
      </c>
      <c r="E126" s="68">
        <v>250</v>
      </c>
      <c r="F126" s="70">
        <v>200</v>
      </c>
      <c r="G126" s="68">
        <v>2</v>
      </c>
      <c r="H126" s="68">
        <v>4</v>
      </c>
      <c r="I126" s="68"/>
      <c r="J126" s="70" t="s">
        <v>1767</v>
      </c>
      <c r="K126" s="68">
        <v>10</v>
      </c>
      <c r="L126" s="68">
        <v>5</v>
      </c>
      <c r="M126" s="68">
        <v>0.18</v>
      </c>
      <c r="N126" s="68">
        <v>0</v>
      </c>
      <c r="O126" s="70">
        <v>0</v>
      </c>
      <c r="P126" s="68">
        <v>8.3339999999999996</v>
      </c>
      <c r="Q126" s="68">
        <v>15</v>
      </c>
      <c r="R126" s="68">
        <v>0.15</v>
      </c>
      <c r="S126" s="68">
        <v>0</v>
      </c>
      <c r="T126" s="70">
        <v>0</v>
      </c>
    </row>
    <row r="127" spans="1:26" ht="20.100000000000001" customHeight="1" x14ac:dyDescent="0.25">
      <c r="A127" s="67" t="s">
        <v>1980</v>
      </c>
      <c r="B127" s="68">
        <v>1.2</v>
      </c>
      <c r="C127" s="68">
        <f>space_classification[[#This Row],[Lighting (A90.1 -2010)]]*0.85</f>
        <v>1.02</v>
      </c>
      <c r="D127" s="69">
        <v>10</v>
      </c>
      <c r="E127" s="68">
        <v>250</v>
      </c>
      <c r="F127" s="70">
        <v>200</v>
      </c>
      <c r="G127" s="68">
        <v>2</v>
      </c>
      <c r="H127" s="68">
        <v>30</v>
      </c>
      <c r="I127" s="68">
        <v>0</v>
      </c>
      <c r="J127" s="70" t="s">
        <v>1767</v>
      </c>
      <c r="K127" s="68">
        <v>10</v>
      </c>
      <c r="L127" s="68">
        <v>5</v>
      </c>
      <c r="M127" s="68">
        <v>0.18</v>
      </c>
      <c r="N127" s="68">
        <v>0</v>
      </c>
      <c r="O127" s="70">
        <v>0</v>
      </c>
      <c r="P127" s="68">
        <v>8.3339999999999996</v>
      </c>
      <c r="Q127" s="68">
        <v>15</v>
      </c>
      <c r="R127" s="68">
        <v>0.15</v>
      </c>
      <c r="S127" s="68">
        <v>0</v>
      </c>
      <c r="T127" s="70">
        <v>0</v>
      </c>
    </row>
    <row r="128" spans="1:26" ht="20.100000000000001" customHeight="1" x14ac:dyDescent="0.25">
      <c r="A128" s="67" t="s">
        <v>1981</v>
      </c>
      <c r="B128" s="68">
        <v>0.54</v>
      </c>
      <c r="C128" s="68">
        <f>space_classification[[#This Row],[Lighting (A90.1 -2010)]]*0.85</f>
        <v>0.45900000000000002</v>
      </c>
      <c r="D128" s="69">
        <v>0</v>
      </c>
      <c r="E128" s="68">
        <v>250</v>
      </c>
      <c r="F128" s="70">
        <v>200</v>
      </c>
      <c r="G128" s="68"/>
      <c r="H128" s="68"/>
      <c r="I128" s="68"/>
      <c r="J128" s="70"/>
      <c r="K128" s="68">
        <v>30</v>
      </c>
      <c r="L128" s="68">
        <v>7.5</v>
      </c>
      <c r="M128" s="68">
        <v>0.06</v>
      </c>
      <c r="N128" s="68">
        <v>0</v>
      </c>
      <c r="O128" s="70">
        <v>0</v>
      </c>
      <c r="P128" s="68"/>
      <c r="Q128" s="68">
        <v>15</v>
      </c>
      <c r="R128" s="68">
        <v>0.15</v>
      </c>
      <c r="S128" s="68">
        <v>0</v>
      </c>
      <c r="T128" s="70">
        <v>0</v>
      </c>
    </row>
    <row r="129" spans="1:26" ht="20.100000000000001" customHeight="1" x14ac:dyDescent="0.25">
      <c r="A129" s="67" t="s">
        <v>1982</v>
      </c>
      <c r="B129" s="68">
        <v>1.81</v>
      </c>
      <c r="C129" s="68">
        <f>space_classification[[#This Row],[Lighting (A90.1 -2010)]]*0.85</f>
        <v>1.5385</v>
      </c>
      <c r="D129" s="99">
        <v>12</v>
      </c>
      <c r="E129" s="68">
        <v>250</v>
      </c>
      <c r="F129" s="70">
        <v>200</v>
      </c>
      <c r="G129" s="68">
        <v>2</v>
      </c>
      <c r="H129" s="68">
        <v>12</v>
      </c>
      <c r="I129" s="83">
        <v>1</v>
      </c>
      <c r="J129" s="70" t="s">
        <v>1767</v>
      </c>
      <c r="K129" s="68">
        <v>25</v>
      </c>
      <c r="L129" s="68">
        <v>10</v>
      </c>
      <c r="M129" s="68">
        <v>0.18</v>
      </c>
      <c r="N129" s="68">
        <v>0</v>
      </c>
      <c r="O129" s="70">
        <v>0</v>
      </c>
      <c r="P129" s="68">
        <v>8.3339999999999996</v>
      </c>
      <c r="Q129" s="68">
        <v>15</v>
      </c>
      <c r="R129" s="68">
        <v>0.15</v>
      </c>
      <c r="S129" s="68">
        <v>0</v>
      </c>
      <c r="T129" s="70">
        <v>0</v>
      </c>
    </row>
    <row r="130" spans="1:26" ht="20.100000000000001" customHeight="1" x14ac:dyDescent="0.25">
      <c r="A130" s="67" t="s">
        <v>1983</v>
      </c>
      <c r="B130" s="68">
        <v>1.81</v>
      </c>
      <c r="C130" s="68">
        <f>space_classification[[#This Row],[Lighting (A90.1 -2010)]]*0.85</f>
        <v>1.5385</v>
      </c>
      <c r="D130" s="99">
        <v>12</v>
      </c>
      <c r="E130" s="68">
        <v>250</v>
      </c>
      <c r="F130" s="70">
        <v>200</v>
      </c>
      <c r="G130" s="68">
        <v>2</v>
      </c>
      <c r="H130" s="68">
        <v>12</v>
      </c>
      <c r="I130" s="83"/>
      <c r="J130" s="70" t="s">
        <v>240</v>
      </c>
      <c r="K130" s="68">
        <v>25</v>
      </c>
      <c r="L130" s="68">
        <v>10</v>
      </c>
      <c r="M130" s="68">
        <v>0.18</v>
      </c>
      <c r="N130" s="68">
        <v>0</v>
      </c>
      <c r="O130" s="70">
        <v>0</v>
      </c>
      <c r="P130" s="68">
        <v>8.3339999999999996</v>
      </c>
      <c r="Q130" s="68">
        <v>15</v>
      </c>
      <c r="R130" s="68">
        <v>0.15</v>
      </c>
      <c r="S130" s="68">
        <v>0</v>
      </c>
      <c r="T130" s="70">
        <v>0</v>
      </c>
    </row>
    <row r="131" spans="1:26" s="89" customFormat="1" ht="20.100000000000001" customHeight="1" x14ac:dyDescent="0.25">
      <c r="A131" s="85" t="s">
        <v>1984</v>
      </c>
      <c r="B131" s="86">
        <v>1.81</v>
      </c>
      <c r="C131" s="86">
        <f>space_classification[[#This Row],[Lighting (A90.1 -2010)]]*0.85</f>
        <v>1.5385</v>
      </c>
      <c r="D131" s="87">
        <v>12</v>
      </c>
      <c r="E131" s="86">
        <v>250</v>
      </c>
      <c r="F131" s="88">
        <v>200</v>
      </c>
      <c r="G131" s="86">
        <v>2</v>
      </c>
      <c r="H131" s="86">
        <v>12</v>
      </c>
      <c r="I131" s="100">
        <v>12</v>
      </c>
      <c r="J131" s="88" t="s">
        <v>1727</v>
      </c>
      <c r="K131" s="86">
        <v>25</v>
      </c>
      <c r="L131" s="86">
        <v>10</v>
      </c>
      <c r="M131" s="86">
        <v>0.18</v>
      </c>
      <c r="N131" s="86">
        <v>0</v>
      </c>
      <c r="O131" s="88">
        <v>0</v>
      </c>
      <c r="P131" s="86">
        <v>8.3339999999999996</v>
      </c>
      <c r="Q131" s="86">
        <v>15</v>
      </c>
      <c r="R131" s="86">
        <v>0.15</v>
      </c>
      <c r="S131" s="86">
        <v>0</v>
      </c>
      <c r="T131" s="88">
        <v>0</v>
      </c>
      <c r="V131"/>
      <c r="W131"/>
      <c r="X131"/>
      <c r="Y131"/>
      <c r="Z131"/>
    </row>
    <row r="132" spans="1:26" ht="20.100000000000001" customHeight="1" x14ac:dyDescent="0.25">
      <c r="A132" s="67" t="s">
        <v>1985</v>
      </c>
      <c r="B132" s="68">
        <v>0.91</v>
      </c>
      <c r="C132" s="68">
        <f>space_classification[[#This Row],[Lighting (A90.1 -2010)]]*0.85</f>
        <v>0.77349999999999997</v>
      </c>
      <c r="D132" s="69">
        <v>0.5</v>
      </c>
      <c r="E132" s="68">
        <v>275</v>
      </c>
      <c r="F132" s="70">
        <v>275</v>
      </c>
      <c r="G132" s="68">
        <v>2</v>
      </c>
      <c r="H132" s="68">
        <v>6</v>
      </c>
      <c r="I132" s="68">
        <v>0</v>
      </c>
      <c r="J132" s="70" t="s">
        <v>1727</v>
      </c>
      <c r="K132" s="68"/>
      <c r="L132" s="68"/>
      <c r="M132" s="68"/>
      <c r="N132" s="68"/>
      <c r="O132" s="70"/>
      <c r="P132" s="68">
        <v>8.3339999999999996</v>
      </c>
      <c r="Q132" s="68">
        <v>15</v>
      </c>
      <c r="R132" s="68">
        <v>0.15</v>
      </c>
      <c r="S132" s="68"/>
      <c r="T132" s="70"/>
      <c r="V132" s="89"/>
      <c r="W132" s="89"/>
      <c r="X132" s="89"/>
      <c r="Y132" s="89"/>
      <c r="Z132" s="89"/>
    </row>
    <row r="133" spans="1:26" ht="20.100000000000001" customHeight="1" x14ac:dyDescent="0.25">
      <c r="A133" s="101" t="s">
        <v>1986</v>
      </c>
      <c r="B133" s="68">
        <v>1.3</v>
      </c>
      <c r="C133" s="68">
        <f>space_classification[[#This Row],[Lighting (A90.1 -2010)]]*0.85</f>
        <v>1.105</v>
      </c>
      <c r="D133" s="69">
        <v>1.5</v>
      </c>
      <c r="E133" s="68">
        <v>250</v>
      </c>
      <c r="F133" s="70">
        <v>200</v>
      </c>
      <c r="G133" s="68"/>
      <c r="H133" s="68"/>
      <c r="I133" s="68"/>
      <c r="J133" s="70"/>
      <c r="K133" s="68">
        <v>30</v>
      </c>
      <c r="L133" s="68">
        <v>5</v>
      </c>
      <c r="M133" s="68">
        <v>0.06</v>
      </c>
      <c r="N133" s="68">
        <v>0</v>
      </c>
      <c r="O133" s="70">
        <v>0</v>
      </c>
      <c r="P133" s="68"/>
      <c r="Q133" s="68">
        <v>15</v>
      </c>
      <c r="R133" s="68">
        <v>0.15</v>
      </c>
      <c r="S133" s="68">
        <v>0</v>
      </c>
      <c r="T133" s="70">
        <v>0</v>
      </c>
    </row>
    <row r="134" spans="1:26" ht="20.100000000000001" customHeight="1" x14ac:dyDescent="0.25">
      <c r="A134" s="102" t="s">
        <v>1987</v>
      </c>
      <c r="B134" s="68">
        <v>2.2000000000000002</v>
      </c>
      <c r="C134" s="68">
        <f>space_classification[[#This Row],[Lighting (A90.1 -2010)]]*0.85</f>
        <v>1.87</v>
      </c>
      <c r="D134" s="69">
        <v>10</v>
      </c>
      <c r="E134" s="68">
        <v>250</v>
      </c>
      <c r="F134" s="70">
        <v>200</v>
      </c>
      <c r="G134" s="68">
        <v>2</v>
      </c>
      <c r="H134" s="68">
        <v>6</v>
      </c>
      <c r="I134" s="68">
        <v>6</v>
      </c>
      <c r="J134" s="70" t="s">
        <v>1727</v>
      </c>
      <c r="K134" s="68"/>
      <c r="L134" s="68"/>
      <c r="M134" s="68"/>
      <c r="N134" s="68"/>
      <c r="O134" s="70"/>
      <c r="P134" s="68">
        <v>8.3339999999999996</v>
      </c>
      <c r="Q134" s="68">
        <v>15</v>
      </c>
      <c r="R134" s="68">
        <v>0.15</v>
      </c>
      <c r="S134" s="68"/>
      <c r="T134" s="70"/>
    </row>
    <row r="135" spans="1:26" ht="20.100000000000001" customHeight="1" x14ac:dyDescent="0.25">
      <c r="A135" s="101" t="s">
        <v>1527</v>
      </c>
      <c r="B135" s="68">
        <v>1.2</v>
      </c>
      <c r="C135" s="68">
        <f>space_classification[[#This Row],[Lighting (A90.1 -2010)]]*0.85</f>
        <v>1.02</v>
      </c>
      <c r="D135" s="69">
        <v>2</v>
      </c>
      <c r="E135" s="68">
        <v>250</v>
      </c>
      <c r="F135" s="70">
        <v>200</v>
      </c>
      <c r="G135" s="68">
        <v>2</v>
      </c>
      <c r="H135" s="68">
        <v>6</v>
      </c>
      <c r="I135" s="68">
        <v>6</v>
      </c>
      <c r="J135" s="70" t="s">
        <v>240</v>
      </c>
      <c r="K135" s="68"/>
      <c r="L135" s="68"/>
      <c r="M135" s="68"/>
      <c r="N135" s="68"/>
      <c r="O135" s="70"/>
      <c r="P135" s="68">
        <v>4.16</v>
      </c>
      <c r="Q135" s="68">
        <v>15</v>
      </c>
      <c r="R135" s="68">
        <v>0.15</v>
      </c>
      <c r="S135" s="68"/>
      <c r="T135" s="70"/>
    </row>
    <row r="136" spans="1:26" ht="20.100000000000001" customHeight="1" x14ac:dyDescent="0.25">
      <c r="A136" s="101" t="s">
        <v>1988</v>
      </c>
      <c r="B136" s="68">
        <v>1.2</v>
      </c>
      <c r="C136" s="68">
        <f>space_classification[[#This Row],[Lighting (A90.1 -2010)]]*0.85</f>
        <v>1.02</v>
      </c>
      <c r="D136" s="69">
        <v>2</v>
      </c>
      <c r="E136" s="68">
        <v>250</v>
      </c>
      <c r="F136" s="70">
        <v>200</v>
      </c>
      <c r="G136" s="68">
        <v>2</v>
      </c>
      <c r="H136" s="68">
        <v>6</v>
      </c>
      <c r="I136" s="68">
        <v>6</v>
      </c>
      <c r="J136" s="70" t="s">
        <v>240</v>
      </c>
      <c r="K136" s="68"/>
      <c r="L136" s="68"/>
      <c r="M136" s="68"/>
      <c r="N136" s="68"/>
      <c r="O136" s="70"/>
      <c r="P136" s="68">
        <v>4.16</v>
      </c>
      <c r="Q136" s="68">
        <v>15</v>
      </c>
      <c r="R136" s="68">
        <v>0.15</v>
      </c>
      <c r="S136" s="68"/>
      <c r="T136" s="70"/>
    </row>
    <row r="137" spans="1:26" ht="20.100000000000001" customHeight="1" x14ac:dyDescent="0.25">
      <c r="A137" s="101" t="s">
        <v>1989</v>
      </c>
      <c r="B137" s="68">
        <v>1.7</v>
      </c>
      <c r="C137" s="68">
        <f>space_classification[[#This Row],[Lighting (A90.1 -2010)]]*0.85</f>
        <v>1.4449999999999998</v>
      </c>
      <c r="D137" s="69">
        <v>0.5</v>
      </c>
      <c r="E137" s="68">
        <v>250</v>
      </c>
      <c r="F137" s="70">
        <v>200</v>
      </c>
      <c r="G137" s="68"/>
      <c r="H137" s="68"/>
      <c r="I137" s="68"/>
      <c r="J137" s="70"/>
      <c r="K137" s="68">
        <v>15</v>
      </c>
      <c r="L137" s="68">
        <v>7.5</v>
      </c>
      <c r="M137" s="68">
        <v>0.12</v>
      </c>
      <c r="N137" s="68">
        <v>0</v>
      </c>
      <c r="O137" s="70">
        <v>0</v>
      </c>
      <c r="P137" s="68"/>
      <c r="Q137" s="68">
        <v>15</v>
      </c>
      <c r="R137" s="68">
        <v>0.15</v>
      </c>
      <c r="S137" s="68">
        <v>0</v>
      </c>
      <c r="T137" s="70">
        <v>0</v>
      </c>
    </row>
    <row r="138" spans="1:26" ht="20.100000000000001" customHeight="1" x14ac:dyDescent="0.25">
      <c r="A138" s="101" t="s">
        <v>1990</v>
      </c>
      <c r="B138" s="68">
        <v>0.47</v>
      </c>
      <c r="C138" s="68">
        <f>space_classification[[#This Row],[Lighting (A90.1 -2010)]]*0.85</f>
        <v>0.39949999999999997</v>
      </c>
      <c r="D138" s="69">
        <v>1</v>
      </c>
      <c r="E138" s="68">
        <v>275</v>
      </c>
      <c r="F138" s="70">
        <v>275</v>
      </c>
      <c r="G138" s="68"/>
      <c r="H138" s="68"/>
      <c r="I138" s="68"/>
      <c r="J138" s="70"/>
      <c r="K138" s="68">
        <v>2</v>
      </c>
      <c r="L138" s="68">
        <v>10</v>
      </c>
      <c r="M138" s="68">
        <v>0.12</v>
      </c>
      <c r="N138" s="68">
        <v>0</v>
      </c>
      <c r="O138" s="70">
        <v>0</v>
      </c>
      <c r="P138" s="68"/>
      <c r="Q138" s="68">
        <v>15</v>
      </c>
      <c r="R138" s="68">
        <v>0.15</v>
      </c>
      <c r="S138" s="68">
        <v>0</v>
      </c>
      <c r="T138" s="70">
        <v>0</v>
      </c>
    </row>
    <row r="139" spans="1:26" ht="20.100000000000001" customHeight="1" x14ac:dyDescent="0.25">
      <c r="A139" s="101" t="s">
        <v>1991</v>
      </c>
      <c r="B139" s="68">
        <v>0.61</v>
      </c>
      <c r="C139" s="68">
        <f>space_classification[[#This Row],[Lighting (A90.1 -2010)]]*0.85</f>
        <v>0.51849999999999996</v>
      </c>
      <c r="D139" s="69">
        <v>0</v>
      </c>
      <c r="E139" s="68">
        <v>250</v>
      </c>
      <c r="F139" s="70">
        <v>200</v>
      </c>
      <c r="G139" s="68"/>
      <c r="H139" s="68"/>
      <c r="I139" s="68"/>
      <c r="J139" s="70"/>
      <c r="K139" s="68"/>
      <c r="L139" s="68"/>
      <c r="M139" s="68"/>
      <c r="N139" s="68"/>
      <c r="O139" s="70"/>
      <c r="P139" s="68"/>
      <c r="Q139" s="68">
        <v>15</v>
      </c>
      <c r="R139" s="68">
        <v>0.15</v>
      </c>
      <c r="S139" s="68"/>
      <c r="T139" s="70"/>
    </row>
    <row r="140" spans="1:26" ht="20.100000000000001" customHeight="1" x14ac:dyDescent="0.25">
      <c r="A140" s="101" t="s">
        <v>1992</v>
      </c>
      <c r="B140" s="68">
        <v>1.5</v>
      </c>
      <c r="C140" s="68">
        <f>space_classification[[#This Row],[Lighting (A90.1 -2010)]]*0.85</f>
        <v>1.2749999999999999</v>
      </c>
      <c r="D140" s="69">
        <v>3</v>
      </c>
      <c r="E140" s="68">
        <v>250</v>
      </c>
      <c r="F140" s="70">
        <v>200</v>
      </c>
      <c r="G140" s="68">
        <v>2</v>
      </c>
      <c r="H140" s="68">
        <v>4</v>
      </c>
      <c r="I140" s="68">
        <v>0</v>
      </c>
      <c r="J140" s="70" t="s">
        <v>1767</v>
      </c>
      <c r="K140" s="68"/>
      <c r="L140" s="68"/>
      <c r="M140" s="68"/>
      <c r="N140" s="68"/>
      <c r="O140" s="70"/>
      <c r="P140" s="68">
        <v>4.16</v>
      </c>
      <c r="Q140" s="68">
        <v>15</v>
      </c>
      <c r="R140" s="68">
        <v>0.15</v>
      </c>
      <c r="S140" s="68"/>
      <c r="T140" s="70"/>
    </row>
    <row r="141" spans="1:26" ht="20.100000000000001" customHeight="1" x14ac:dyDescent="0.25">
      <c r="A141" s="101" t="s">
        <v>1993</v>
      </c>
      <c r="B141" s="68">
        <v>1.29</v>
      </c>
      <c r="C141" s="68">
        <f>space_classification[[#This Row],[Lighting (A90.1 -2010)]]*0.85</f>
        <v>1.0965</v>
      </c>
      <c r="D141" s="69">
        <v>6</v>
      </c>
      <c r="E141" s="68">
        <v>275</v>
      </c>
      <c r="F141" s="70">
        <v>275</v>
      </c>
      <c r="G141" s="68"/>
      <c r="H141" s="68"/>
      <c r="I141" s="68"/>
      <c r="J141" s="70"/>
      <c r="K141" s="68">
        <v>7</v>
      </c>
      <c r="L141" s="68">
        <v>7.5</v>
      </c>
      <c r="M141" s="68">
        <v>0.12</v>
      </c>
      <c r="N141" s="68">
        <v>0</v>
      </c>
      <c r="O141" s="70">
        <v>0</v>
      </c>
      <c r="P141" s="68"/>
      <c r="Q141" s="68">
        <v>15</v>
      </c>
      <c r="R141" s="68">
        <v>0.15</v>
      </c>
      <c r="S141" s="68">
        <v>0</v>
      </c>
      <c r="T141" s="70">
        <v>0</v>
      </c>
    </row>
    <row r="142" spans="1:26" ht="20.100000000000001" customHeight="1" x14ac:dyDescent="0.25">
      <c r="A142" s="102" t="s">
        <v>1994</v>
      </c>
      <c r="B142" s="68">
        <v>0.5</v>
      </c>
      <c r="C142" s="68">
        <f>space_classification[[#This Row],[Lighting (A90.1 -2010)]]*0.85</f>
        <v>0.42499999999999999</v>
      </c>
      <c r="D142" s="69">
        <v>0</v>
      </c>
      <c r="E142" s="68">
        <v>250</v>
      </c>
      <c r="F142" s="70">
        <v>200</v>
      </c>
      <c r="G142" s="68"/>
      <c r="H142" s="68"/>
      <c r="I142" s="68"/>
      <c r="J142" s="70"/>
      <c r="K142" s="68">
        <v>10</v>
      </c>
      <c r="L142" s="68">
        <v>5</v>
      </c>
      <c r="M142" s="68">
        <v>0.06</v>
      </c>
      <c r="N142" s="68">
        <v>0</v>
      </c>
      <c r="O142" s="70">
        <v>0</v>
      </c>
      <c r="P142" s="68">
        <v>4.16</v>
      </c>
      <c r="Q142" s="68">
        <v>15</v>
      </c>
      <c r="R142" s="68">
        <v>0.15</v>
      </c>
      <c r="S142" s="68">
        <v>0</v>
      </c>
      <c r="T142" s="70">
        <v>0</v>
      </c>
    </row>
    <row r="143" spans="1:26" ht="19.5" customHeight="1" x14ac:dyDescent="0.25">
      <c r="A143" s="101" t="s">
        <v>1995</v>
      </c>
      <c r="B143" s="68">
        <v>1.75</v>
      </c>
      <c r="C143" s="68">
        <f>space_classification[[#This Row],[Lighting (A90.1 -2010)]]*0.85</f>
        <v>1.4875</v>
      </c>
      <c r="D143" s="69">
        <v>0</v>
      </c>
      <c r="E143" s="68">
        <v>250</v>
      </c>
      <c r="F143" s="70">
        <v>200</v>
      </c>
      <c r="G143" s="68">
        <v>2</v>
      </c>
      <c r="H143" s="68">
        <v>4</v>
      </c>
      <c r="I143" s="68">
        <v>0</v>
      </c>
      <c r="J143" s="70" t="s">
        <v>1767</v>
      </c>
      <c r="K143" s="68"/>
      <c r="L143" s="68"/>
      <c r="M143" s="68"/>
      <c r="N143" s="68"/>
      <c r="O143" s="70"/>
      <c r="P143" s="68"/>
      <c r="Q143" s="68">
        <v>15</v>
      </c>
      <c r="R143" s="68">
        <v>0.15</v>
      </c>
      <c r="S143" s="68"/>
      <c r="T143" s="70"/>
    </row>
    <row r="144" spans="1:26" ht="20.100000000000001" customHeight="1" x14ac:dyDescent="0.25">
      <c r="A144" s="101" t="s">
        <v>1996</v>
      </c>
      <c r="B144" s="68">
        <v>1.81</v>
      </c>
      <c r="C144" s="68">
        <f>space_classification[[#This Row],[Lighting (A90.1 -2010)]]*0.85</f>
        <v>1.5385</v>
      </c>
      <c r="D144" s="69">
        <v>15</v>
      </c>
      <c r="E144" s="68">
        <v>250</v>
      </c>
      <c r="F144" s="70">
        <v>200</v>
      </c>
      <c r="G144" s="68">
        <v>2</v>
      </c>
      <c r="H144" s="68">
        <v>10</v>
      </c>
      <c r="I144" s="68">
        <v>10</v>
      </c>
      <c r="J144" s="70" t="s">
        <v>1727</v>
      </c>
      <c r="K144" s="68">
        <v>25</v>
      </c>
      <c r="L144" s="68">
        <v>10</v>
      </c>
      <c r="M144" s="68">
        <v>0.18</v>
      </c>
      <c r="N144" s="68">
        <v>0</v>
      </c>
      <c r="O144" s="70">
        <v>0</v>
      </c>
      <c r="P144" s="68"/>
      <c r="Q144" s="68">
        <v>15</v>
      </c>
      <c r="R144" s="68">
        <v>0.15</v>
      </c>
      <c r="S144" s="68">
        <v>0</v>
      </c>
      <c r="T144" s="70">
        <v>0</v>
      </c>
    </row>
    <row r="145" spans="1:20" ht="20.100000000000001" customHeight="1" x14ac:dyDescent="0.25">
      <c r="A145" s="102" t="s">
        <v>1997</v>
      </c>
      <c r="B145" s="68">
        <v>0.74</v>
      </c>
      <c r="C145" s="68">
        <f>space_classification[[#This Row],[Lighting (A90.1 -2010)]]*0.85</f>
        <v>0.629</v>
      </c>
      <c r="D145" s="69">
        <v>0.1</v>
      </c>
      <c r="E145" s="68">
        <v>250</v>
      </c>
      <c r="F145" s="70">
        <v>200</v>
      </c>
      <c r="G145" s="68">
        <v>0</v>
      </c>
      <c r="H145" s="68"/>
      <c r="I145" s="68"/>
      <c r="J145" s="70"/>
      <c r="K145" s="68">
        <v>0</v>
      </c>
      <c r="L145" s="68">
        <v>0</v>
      </c>
      <c r="M145" s="68">
        <v>0</v>
      </c>
      <c r="N145" s="68">
        <v>1.5</v>
      </c>
      <c r="O145" s="70">
        <v>0</v>
      </c>
      <c r="P145" s="68"/>
      <c r="Q145" s="68">
        <v>15</v>
      </c>
      <c r="R145" s="68">
        <v>0.15</v>
      </c>
      <c r="S145" s="68">
        <v>1.5</v>
      </c>
      <c r="T145" s="70">
        <v>0</v>
      </c>
    </row>
    <row r="146" spans="1:20" ht="20.100000000000001" customHeight="1" x14ac:dyDescent="0.25">
      <c r="A146" s="102" t="s">
        <v>1998</v>
      </c>
      <c r="B146" s="68">
        <v>1.2</v>
      </c>
      <c r="C146" s="68">
        <f>space_classification[[#This Row],[Lighting (A90.1 -2010)]]*0.85</f>
        <v>1.02</v>
      </c>
      <c r="D146" s="69">
        <v>0.5</v>
      </c>
      <c r="E146" s="68">
        <v>250</v>
      </c>
      <c r="F146" s="70">
        <v>200</v>
      </c>
      <c r="G146" s="68">
        <v>0</v>
      </c>
      <c r="H146" s="68"/>
      <c r="I146" s="68"/>
      <c r="J146" s="70"/>
      <c r="K146" s="68">
        <v>0</v>
      </c>
      <c r="L146" s="68">
        <v>0</v>
      </c>
      <c r="M146" s="68">
        <v>0</v>
      </c>
      <c r="N146" s="68">
        <v>1.5</v>
      </c>
      <c r="O146" s="70">
        <v>0</v>
      </c>
      <c r="P146" s="68"/>
      <c r="Q146" s="68">
        <v>15</v>
      </c>
      <c r="R146" s="68">
        <v>0.15</v>
      </c>
      <c r="S146" s="68">
        <v>1.5</v>
      </c>
      <c r="T146" s="70">
        <v>0</v>
      </c>
    </row>
    <row r="147" spans="1:20" ht="20.100000000000001" customHeight="1" x14ac:dyDescent="0.25">
      <c r="A147" s="101" t="s">
        <v>1999</v>
      </c>
      <c r="B147" s="68">
        <v>1.2</v>
      </c>
      <c r="C147" s="68">
        <f>space_classification[[#This Row],[Lighting (A90.1 -2010)]]*0.85</f>
        <v>1.02</v>
      </c>
      <c r="D147" s="69">
        <v>15</v>
      </c>
      <c r="E147" s="68">
        <v>250</v>
      </c>
      <c r="F147" s="70">
        <v>200</v>
      </c>
      <c r="G147" s="68">
        <v>0</v>
      </c>
      <c r="H147" s="68">
        <v>10</v>
      </c>
      <c r="I147" s="68">
        <v>10</v>
      </c>
      <c r="J147" s="70" t="s">
        <v>1727</v>
      </c>
      <c r="K147" s="68"/>
      <c r="L147" s="68"/>
      <c r="M147" s="68"/>
      <c r="N147" s="68"/>
      <c r="O147" s="70"/>
      <c r="P147" s="68"/>
      <c r="Q147" s="68">
        <v>15</v>
      </c>
      <c r="R147" s="68">
        <v>0.15</v>
      </c>
      <c r="S147" s="68"/>
      <c r="T147" s="70"/>
    </row>
    <row r="148" spans="1:20" ht="20.100000000000001" customHeight="1" x14ac:dyDescent="0.25">
      <c r="A148" s="101" t="s">
        <v>2000</v>
      </c>
      <c r="B148" s="68">
        <v>0.9</v>
      </c>
      <c r="C148" s="68">
        <f>space_classification[[#This Row],[Lighting (A90.1 -2010)]]*0.85</f>
        <v>0.76500000000000001</v>
      </c>
      <c r="D148" s="69">
        <v>0.1</v>
      </c>
      <c r="E148" s="68">
        <v>250</v>
      </c>
      <c r="F148" s="70">
        <v>200</v>
      </c>
      <c r="G148" s="68">
        <v>2</v>
      </c>
      <c r="H148" s="68">
        <v>2</v>
      </c>
      <c r="I148" s="68">
        <v>0</v>
      </c>
      <c r="J148" s="70" t="s">
        <v>1767</v>
      </c>
      <c r="K148" s="68"/>
      <c r="L148" s="68"/>
      <c r="M148" s="68"/>
      <c r="N148" s="68"/>
      <c r="O148" s="70"/>
      <c r="P148" s="68"/>
      <c r="Q148" s="68">
        <v>15</v>
      </c>
      <c r="R148" s="68">
        <v>0.15</v>
      </c>
      <c r="S148" s="68"/>
      <c r="T148" s="70"/>
    </row>
    <row r="149" spans="1:20" ht="20.100000000000001" customHeight="1" x14ac:dyDescent="0.25">
      <c r="A149" s="101" t="s">
        <v>2001</v>
      </c>
      <c r="B149" s="68">
        <v>0.9</v>
      </c>
      <c r="C149" s="68">
        <f>space_classification[[#This Row],[Lighting (A90.1 -2010)]]*0.85</f>
        <v>0.76500000000000001</v>
      </c>
      <c r="D149" s="69">
        <v>0.1</v>
      </c>
      <c r="E149" s="68">
        <v>250</v>
      </c>
      <c r="F149" s="70">
        <v>200</v>
      </c>
      <c r="G149" s="68">
        <v>2</v>
      </c>
      <c r="H149" s="68">
        <v>2</v>
      </c>
      <c r="I149" s="68">
        <v>0</v>
      </c>
      <c r="J149" s="70" t="s">
        <v>1767</v>
      </c>
      <c r="K149" s="68"/>
      <c r="L149" s="68"/>
      <c r="M149" s="68"/>
      <c r="N149" s="68"/>
      <c r="O149" s="70"/>
      <c r="P149" s="68"/>
      <c r="Q149" s="68">
        <v>15</v>
      </c>
      <c r="R149" s="68">
        <v>0.15</v>
      </c>
      <c r="S149" s="68"/>
      <c r="T149" s="70"/>
    </row>
    <row r="150" spans="1:20" ht="20.100000000000001" customHeight="1" x14ac:dyDescent="0.25">
      <c r="A150" s="102" t="s">
        <v>2002</v>
      </c>
      <c r="B150" s="68">
        <v>0.9</v>
      </c>
      <c r="C150" s="68">
        <f>space_classification[[#This Row],[Lighting (A90.1 -2010)]]*0.85</f>
        <v>0.76500000000000001</v>
      </c>
      <c r="D150" s="69">
        <v>0.1</v>
      </c>
      <c r="E150" s="68">
        <v>250</v>
      </c>
      <c r="F150" s="70">
        <v>200</v>
      </c>
      <c r="G150" s="68">
        <v>0</v>
      </c>
      <c r="H150" s="68"/>
      <c r="I150" s="68"/>
      <c r="J150" s="70"/>
      <c r="K150" s="68"/>
      <c r="L150" s="68"/>
      <c r="M150" s="68"/>
      <c r="N150" s="68"/>
      <c r="O150" s="70"/>
      <c r="P150" s="68"/>
      <c r="Q150" s="68">
        <v>15</v>
      </c>
      <c r="R150" s="68">
        <v>0.15</v>
      </c>
      <c r="S150" s="68"/>
      <c r="T150" s="70"/>
    </row>
    <row r="151" spans="1:20" ht="20.100000000000001" customHeight="1" x14ac:dyDescent="0.25">
      <c r="A151" s="101" t="s">
        <v>2003</v>
      </c>
      <c r="B151" s="68">
        <v>0.9</v>
      </c>
      <c r="C151" s="68">
        <f>space_classification[[#This Row],[Lighting (A90.1 -2010)]]*0.85</f>
        <v>0.76500000000000001</v>
      </c>
      <c r="D151" s="69">
        <v>0.1</v>
      </c>
      <c r="E151" s="68">
        <v>250</v>
      </c>
      <c r="F151" s="70">
        <v>200</v>
      </c>
      <c r="G151" s="68"/>
      <c r="H151" s="68"/>
      <c r="I151" s="68"/>
      <c r="J151" s="70"/>
      <c r="K151" s="68"/>
      <c r="L151" s="68"/>
      <c r="M151" s="68"/>
      <c r="N151" s="68"/>
      <c r="O151" s="70"/>
      <c r="P151" s="68"/>
      <c r="Q151" s="68">
        <v>15</v>
      </c>
      <c r="R151" s="68">
        <v>0.15</v>
      </c>
      <c r="S151" s="68"/>
      <c r="T151" s="70"/>
    </row>
    <row r="152" spans="1:20" ht="20.100000000000001" customHeight="1" x14ac:dyDescent="0.25">
      <c r="A152" s="101" t="s">
        <v>2004</v>
      </c>
      <c r="B152" s="68">
        <v>0.9</v>
      </c>
      <c r="C152" s="68">
        <f>space_classification[[#This Row],[Lighting (A90.1 -2010)]]*0.85</f>
        <v>0.76500000000000001</v>
      </c>
      <c r="D152" s="69">
        <v>0.1</v>
      </c>
      <c r="E152" s="68">
        <v>250</v>
      </c>
      <c r="F152" s="70">
        <v>200</v>
      </c>
      <c r="G152" s="68">
        <v>2</v>
      </c>
      <c r="H152" s="68">
        <v>0</v>
      </c>
      <c r="I152" s="68">
        <v>10</v>
      </c>
      <c r="J152" s="70" t="s">
        <v>1727</v>
      </c>
      <c r="K152" s="68"/>
      <c r="L152" s="68"/>
      <c r="M152" s="68"/>
      <c r="N152" s="68"/>
      <c r="O152" s="70"/>
      <c r="P152" s="68"/>
      <c r="Q152" s="68">
        <v>15</v>
      </c>
      <c r="R152" s="68">
        <v>0.15</v>
      </c>
      <c r="S152" s="68"/>
      <c r="T152" s="70"/>
    </row>
    <row r="153" spans="1:20" ht="19.5" customHeight="1" x14ac:dyDescent="0.25">
      <c r="A153" s="101" t="s">
        <v>2005</v>
      </c>
      <c r="B153" s="68">
        <v>0.9</v>
      </c>
      <c r="C153" s="68">
        <f>space_classification[[#This Row],[Lighting (A90.1 -2010)]]*0.85</f>
        <v>0.76500000000000001</v>
      </c>
      <c r="D153" s="69">
        <v>0.1</v>
      </c>
      <c r="E153" s="68">
        <v>250</v>
      </c>
      <c r="F153" s="70">
        <v>200</v>
      </c>
      <c r="G153" s="68">
        <v>0</v>
      </c>
      <c r="H153" s="68"/>
      <c r="I153" s="68"/>
      <c r="J153" s="70"/>
      <c r="K153" s="68">
        <v>2</v>
      </c>
      <c r="L153" s="68">
        <v>5</v>
      </c>
      <c r="M153" s="68">
        <v>0.06</v>
      </c>
      <c r="N153" s="68">
        <v>0</v>
      </c>
      <c r="O153" s="70">
        <v>0</v>
      </c>
      <c r="P153" s="68"/>
      <c r="Q153" s="68">
        <v>15</v>
      </c>
      <c r="R153" s="68">
        <v>0.15</v>
      </c>
      <c r="S153" s="68">
        <v>0</v>
      </c>
      <c r="T153" s="70">
        <v>0</v>
      </c>
    </row>
    <row r="154" spans="1:20" ht="19.5" customHeight="1" x14ac:dyDescent="0.25">
      <c r="A154" s="101" t="s">
        <v>2006</v>
      </c>
      <c r="B154" s="68">
        <v>0.9</v>
      </c>
      <c r="C154" s="68">
        <f>space_classification[[#This Row],[Lighting (A90.1 -2010)]]*0.85</f>
        <v>0.76500000000000001</v>
      </c>
      <c r="D154" s="69">
        <v>0.1</v>
      </c>
      <c r="E154" s="68">
        <v>250</v>
      </c>
      <c r="F154" s="70">
        <v>200</v>
      </c>
      <c r="G154" s="68"/>
      <c r="H154" s="68"/>
      <c r="I154" s="68"/>
      <c r="J154" s="70"/>
      <c r="K154" s="68">
        <v>2</v>
      </c>
      <c r="L154" s="68">
        <v>5</v>
      </c>
      <c r="M154" s="68">
        <v>0.12</v>
      </c>
      <c r="N154" s="68">
        <v>0</v>
      </c>
      <c r="O154" s="70">
        <v>0</v>
      </c>
      <c r="P154" s="68"/>
      <c r="Q154" s="68">
        <v>15</v>
      </c>
      <c r="R154" s="68">
        <v>0.15</v>
      </c>
      <c r="S154" s="68">
        <v>0</v>
      </c>
      <c r="T154" s="70">
        <v>0</v>
      </c>
    </row>
    <row r="155" spans="1:20" ht="19.5" customHeight="1" x14ac:dyDescent="0.25">
      <c r="A155" s="101" t="s">
        <v>2007</v>
      </c>
      <c r="B155" s="68">
        <v>0.9</v>
      </c>
      <c r="C155" s="68">
        <f>space_classification[[#This Row],[Lighting (A90.1 -2010)]]*0.85</f>
        <v>0.76500000000000001</v>
      </c>
      <c r="D155" s="69">
        <v>0.1</v>
      </c>
      <c r="E155" s="68">
        <v>250</v>
      </c>
      <c r="F155" s="70">
        <v>200</v>
      </c>
      <c r="G155" s="68">
        <v>0</v>
      </c>
      <c r="H155" s="68">
        <v>8</v>
      </c>
      <c r="I155" s="68">
        <v>8</v>
      </c>
      <c r="J155" s="70" t="s">
        <v>240</v>
      </c>
      <c r="K155" s="68"/>
      <c r="L155" s="68"/>
      <c r="M155" s="68"/>
      <c r="N155" s="68"/>
      <c r="O155" s="70"/>
      <c r="P155" s="68"/>
      <c r="Q155" s="68">
        <v>15</v>
      </c>
      <c r="R155" s="68">
        <v>0.15</v>
      </c>
      <c r="S155" s="68"/>
      <c r="T155" s="70"/>
    </row>
    <row r="156" spans="1:20" ht="19.5" customHeight="1" x14ac:dyDescent="0.25">
      <c r="A156" s="101" t="s">
        <v>2008</v>
      </c>
      <c r="B156" s="68">
        <v>0.9</v>
      </c>
      <c r="C156" s="68">
        <f>space_classification[[#This Row],[Lighting (A90.1 -2010)]]*0.85</f>
        <v>0.76500000000000001</v>
      </c>
      <c r="D156" s="69">
        <v>0.1</v>
      </c>
      <c r="E156" s="68">
        <v>250</v>
      </c>
      <c r="F156" s="70">
        <v>200</v>
      </c>
      <c r="G156" s="68">
        <v>0</v>
      </c>
      <c r="H156" s="68">
        <v>0</v>
      </c>
      <c r="I156" s="68">
        <v>10</v>
      </c>
      <c r="J156" s="70" t="s">
        <v>1727</v>
      </c>
      <c r="K156" s="68"/>
      <c r="L156" s="68"/>
      <c r="M156" s="68"/>
      <c r="N156" s="68"/>
      <c r="O156" s="70"/>
      <c r="P156" s="68"/>
      <c r="Q156" s="68">
        <v>15</v>
      </c>
      <c r="R156" s="68">
        <v>0.15</v>
      </c>
      <c r="S156" s="68"/>
      <c r="T156" s="70"/>
    </row>
    <row r="157" spans="1:20" ht="19.5" customHeight="1" x14ac:dyDescent="0.25">
      <c r="A157" s="101" t="s">
        <v>2009</v>
      </c>
      <c r="B157" s="68">
        <v>0.9</v>
      </c>
      <c r="C157" s="68">
        <f>space_classification[[#This Row],[Lighting (A90.1 -2010)]]*0.85</f>
        <v>0.76500000000000001</v>
      </c>
      <c r="D157" s="69">
        <v>0.1</v>
      </c>
      <c r="E157" s="68">
        <v>250</v>
      </c>
      <c r="F157" s="70">
        <v>200</v>
      </c>
      <c r="G157" s="68">
        <v>0</v>
      </c>
      <c r="H157" s="68">
        <v>0</v>
      </c>
      <c r="I157" s="68">
        <v>10</v>
      </c>
      <c r="J157" s="70" t="s">
        <v>1727</v>
      </c>
      <c r="K157" s="68"/>
      <c r="L157" s="68"/>
      <c r="M157" s="68"/>
      <c r="N157" s="68"/>
      <c r="O157" s="70"/>
      <c r="P157" s="68"/>
      <c r="Q157" s="68">
        <v>15</v>
      </c>
      <c r="R157" s="68">
        <v>0.15</v>
      </c>
      <c r="S157" s="68"/>
      <c r="T157" s="70"/>
    </row>
    <row r="158" spans="1:20" ht="20.100000000000001" customHeight="1" x14ac:dyDescent="0.25">
      <c r="A158" s="101" t="s">
        <v>2010</v>
      </c>
      <c r="B158" s="68">
        <v>1.2</v>
      </c>
      <c r="C158" s="68">
        <f>space_classification[[#This Row],[Lighting (A90.1 -2010)]]*0.85</f>
        <v>1.02</v>
      </c>
      <c r="D158" s="69">
        <v>0</v>
      </c>
      <c r="E158" s="68">
        <v>250</v>
      </c>
      <c r="F158" s="70">
        <v>200</v>
      </c>
      <c r="G158" s="68"/>
      <c r="H158" s="68"/>
      <c r="I158" s="68"/>
      <c r="J158" s="70"/>
      <c r="K158" s="68">
        <v>0</v>
      </c>
      <c r="L158" s="68">
        <v>0</v>
      </c>
      <c r="M158" s="68">
        <v>0.48</v>
      </c>
      <c r="N158" s="68">
        <v>0</v>
      </c>
      <c r="O158" s="70">
        <v>0</v>
      </c>
      <c r="P158" s="68"/>
      <c r="Q158" s="68">
        <v>15</v>
      </c>
      <c r="R158" s="68">
        <v>0.15</v>
      </c>
      <c r="S158" s="68">
        <v>0</v>
      </c>
      <c r="T158" s="70">
        <v>0</v>
      </c>
    </row>
    <row r="159" spans="1:20" ht="20.100000000000001" customHeight="1" x14ac:dyDescent="0.25">
      <c r="A159" s="101" t="s">
        <v>2011</v>
      </c>
      <c r="B159" s="68">
        <v>1.43</v>
      </c>
      <c r="C159" s="68">
        <f>space_classification[[#This Row],[Lighting (A90.1 -2010)]]*0.85</f>
        <v>1.2155</v>
      </c>
      <c r="D159" s="69">
        <v>4</v>
      </c>
      <c r="E159" s="68">
        <v>250</v>
      </c>
      <c r="F159" s="70">
        <v>200</v>
      </c>
      <c r="G159" s="68"/>
      <c r="H159" s="68"/>
      <c r="I159" s="68"/>
      <c r="J159" s="70"/>
      <c r="K159" s="68">
        <v>25</v>
      </c>
      <c r="L159" s="68">
        <v>10</v>
      </c>
      <c r="M159" s="68">
        <v>0.18</v>
      </c>
      <c r="N159" s="68">
        <v>0</v>
      </c>
      <c r="O159" s="70">
        <v>0</v>
      </c>
      <c r="P159" s="68">
        <v>10</v>
      </c>
      <c r="Q159" s="68">
        <v>15</v>
      </c>
      <c r="R159" s="68">
        <v>0.15</v>
      </c>
      <c r="S159" s="68">
        <v>0</v>
      </c>
      <c r="T159" s="70">
        <v>0</v>
      </c>
    </row>
    <row r="160" spans="1:20" ht="19.5" customHeight="1" x14ac:dyDescent="0.25">
      <c r="A160" s="101" t="s">
        <v>2012</v>
      </c>
      <c r="B160" s="68">
        <v>1.1100000000000001</v>
      </c>
      <c r="C160" s="68">
        <f>space_classification[[#This Row],[Lighting (A90.1 -2010)]]*0.85</f>
        <v>0.94350000000000001</v>
      </c>
      <c r="D160" s="69">
        <v>1.5</v>
      </c>
      <c r="E160" s="68">
        <v>250</v>
      </c>
      <c r="F160" s="70">
        <v>200</v>
      </c>
      <c r="G160" s="68"/>
      <c r="H160" s="68"/>
      <c r="I160" s="68"/>
      <c r="J160" s="70"/>
      <c r="K160" s="68">
        <v>60</v>
      </c>
      <c r="L160" s="68">
        <v>5</v>
      </c>
      <c r="M160" s="68">
        <v>0.06</v>
      </c>
      <c r="N160" s="68">
        <v>0</v>
      </c>
      <c r="O160" s="70">
        <v>0</v>
      </c>
      <c r="P160" s="68"/>
      <c r="Q160" s="68">
        <v>15</v>
      </c>
      <c r="R160" s="68">
        <v>0.15</v>
      </c>
      <c r="S160" s="68">
        <v>0</v>
      </c>
      <c r="T160" s="70">
        <v>0</v>
      </c>
    </row>
    <row r="161" spans="1:20" ht="20.100000000000001" customHeight="1" x14ac:dyDescent="0.25">
      <c r="A161" s="101" t="s">
        <v>2013</v>
      </c>
      <c r="B161" s="68">
        <v>1.1100000000000001</v>
      </c>
      <c r="C161" s="68">
        <f>space_classification[[#This Row],[Lighting (A90.1 -2010)]]*0.85</f>
        <v>0.94350000000000001</v>
      </c>
      <c r="D161" s="69">
        <v>1</v>
      </c>
      <c r="E161" s="68">
        <v>250</v>
      </c>
      <c r="F161" s="70">
        <v>200</v>
      </c>
      <c r="G161" s="68"/>
      <c r="H161" s="68"/>
      <c r="I161" s="68"/>
      <c r="J161" s="70"/>
      <c r="K161" s="68"/>
      <c r="L161" s="68"/>
      <c r="M161" s="68"/>
      <c r="N161" s="68"/>
      <c r="O161" s="70"/>
      <c r="P161" s="68"/>
      <c r="Q161" s="68">
        <v>15</v>
      </c>
      <c r="R161" s="68">
        <v>0.15</v>
      </c>
      <c r="S161" s="68"/>
      <c r="T161" s="70"/>
    </row>
    <row r="162" spans="1:20" ht="20.100000000000001" customHeight="1" x14ac:dyDescent="0.25">
      <c r="A162" s="67" t="s">
        <v>2014</v>
      </c>
      <c r="B162" s="68">
        <v>0.9</v>
      </c>
      <c r="C162" s="68">
        <f>space_classification[[#This Row],[Lighting (A90.1 -2010)]]*0.85</f>
        <v>0.76500000000000001</v>
      </c>
      <c r="D162" s="69">
        <v>0.2</v>
      </c>
      <c r="E162" s="68">
        <v>250</v>
      </c>
      <c r="F162" s="70">
        <v>200</v>
      </c>
      <c r="G162" s="68">
        <v>0</v>
      </c>
      <c r="H162" s="68">
        <v>0</v>
      </c>
      <c r="I162" s="68">
        <v>10</v>
      </c>
      <c r="J162" s="70" t="s">
        <v>1727</v>
      </c>
      <c r="K162" s="68">
        <v>0</v>
      </c>
      <c r="L162" s="68">
        <v>0</v>
      </c>
      <c r="M162" s="68">
        <v>0</v>
      </c>
      <c r="N162" s="68">
        <v>0</v>
      </c>
      <c r="O162" s="70">
        <v>50</v>
      </c>
      <c r="P162" s="68"/>
      <c r="Q162" s="68">
        <v>15</v>
      </c>
      <c r="R162" s="68">
        <v>0.15</v>
      </c>
      <c r="S162" s="68">
        <v>0</v>
      </c>
      <c r="T162" s="70">
        <v>50</v>
      </c>
    </row>
    <row r="163" spans="1:20" ht="20.100000000000001" customHeight="1" x14ac:dyDescent="0.25">
      <c r="A163" s="67" t="s">
        <v>2015</v>
      </c>
      <c r="B163" s="68">
        <v>0.74</v>
      </c>
      <c r="C163" s="68">
        <f>space_classification[[#This Row],[Lighting (A90.1 -2010)]]*0.85</f>
        <v>0.629</v>
      </c>
      <c r="D163" s="69">
        <v>1</v>
      </c>
      <c r="E163" s="68">
        <v>250</v>
      </c>
      <c r="F163" s="70">
        <v>200</v>
      </c>
      <c r="G163" s="68">
        <v>2</v>
      </c>
      <c r="H163" s="68">
        <v>10</v>
      </c>
      <c r="I163" s="68">
        <v>10</v>
      </c>
      <c r="J163" s="70" t="s">
        <v>240</v>
      </c>
      <c r="K163" s="68"/>
      <c r="L163" s="68"/>
      <c r="M163" s="68"/>
      <c r="N163" s="68"/>
      <c r="O163" s="70"/>
      <c r="P163" s="68"/>
      <c r="Q163" s="68">
        <v>15</v>
      </c>
      <c r="R163" s="68">
        <v>0.15</v>
      </c>
      <c r="S163" s="68"/>
      <c r="T163" s="70"/>
    </row>
    <row r="164" spans="1:20" ht="20.100000000000001" customHeight="1" x14ac:dyDescent="0.25">
      <c r="A164" s="67" t="s">
        <v>2016</v>
      </c>
      <c r="B164" s="68">
        <v>1.7</v>
      </c>
      <c r="C164" s="68">
        <f>space_classification[[#This Row],[Lighting (A90.1 -2010)]]*0.85</f>
        <v>1.4449999999999998</v>
      </c>
      <c r="D164" s="69">
        <v>3</v>
      </c>
      <c r="E164" s="68">
        <v>250</v>
      </c>
      <c r="F164" s="70">
        <v>200</v>
      </c>
      <c r="G164" s="68"/>
      <c r="H164" s="68"/>
      <c r="I164" s="68"/>
      <c r="J164" s="70"/>
      <c r="K164" s="68">
        <v>25</v>
      </c>
      <c r="L164" s="68">
        <v>10</v>
      </c>
      <c r="M164" s="68">
        <v>0.18</v>
      </c>
      <c r="N164" s="68">
        <v>0</v>
      </c>
      <c r="O164" s="70">
        <v>0</v>
      </c>
      <c r="P164" s="68">
        <v>4.16</v>
      </c>
      <c r="Q164" s="68">
        <v>15</v>
      </c>
      <c r="R164" s="68">
        <v>0.15</v>
      </c>
      <c r="S164" s="68">
        <v>0</v>
      </c>
      <c r="T164" s="70">
        <v>0</v>
      </c>
    </row>
    <row r="165" spans="1:20" ht="20.100000000000001" customHeight="1" x14ac:dyDescent="0.25">
      <c r="A165" s="67" t="s">
        <v>2017</v>
      </c>
      <c r="B165" s="68">
        <v>0.9</v>
      </c>
      <c r="C165" s="68">
        <f>space_classification[[#This Row],[Lighting (A90.1 -2010)]]*0.85</f>
        <v>0.76500000000000001</v>
      </c>
      <c r="D165" s="69">
        <v>0.2</v>
      </c>
      <c r="E165" s="68">
        <v>250</v>
      </c>
      <c r="F165" s="70">
        <v>200</v>
      </c>
      <c r="G165" s="68">
        <v>0</v>
      </c>
      <c r="H165" s="68">
        <v>0</v>
      </c>
      <c r="I165" s="68">
        <v>10</v>
      </c>
      <c r="J165" s="70" t="s">
        <v>1727</v>
      </c>
      <c r="K165" s="68">
        <v>0</v>
      </c>
      <c r="L165" s="68">
        <v>0</v>
      </c>
      <c r="M165" s="68">
        <v>0</v>
      </c>
      <c r="N165" s="68">
        <v>0</v>
      </c>
      <c r="O165" s="70">
        <v>50</v>
      </c>
      <c r="P165" s="68"/>
      <c r="Q165" s="68">
        <v>15</v>
      </c>
      <c r="R165" s="68">
        <v>0.15</v>
      </c>
      <c r="S165" s="68">
        <v>0</v>
      </c>
      <c r="T165" s="70">
        <v>50</v>
      </c>
    </row>
    <row r="166" spans="1:20" ht="20.100000000000001" customHeight="1" x14ac:dyDescent="0.25">
      <c r="A166" s="67" t="s">
        <v>2018</v>
      </c>
      <c r="B166" s="68">
        <v>2.48</v>
      </c>
      <c r="C166" s="68">
        <f>space_classification[[#This Row],[Lighting (A90.1 -2010)]]*0.85</f>
        <v>2.1080000000000001</v>
      </c>
      <c r="D166" s="69">
        <v>12</v>
      </c>
      <c r="E166" s="68">
        <v>275</v>
      </c>
      <c r="F166" s="70">
        <v>275</v>
      </c>
      <c r="G166" s="68">
        <v>5</v>
      </c>
      <c r="H166" s="68">
        <v>20</v>
      </c>
      <c r="I166" s="68">
        <v>0</v>
      </c>
      <c r="J166" s="70" t="s">
        <v>1767</v>
      </c>
      <c r="K166" s="68"/>
      <c r="L166" s="68"/>
      <c r="M166" s="68"/>
      <c r="N166" s="68"/>
      <c r="O166" s="70"/>
      <c r="P166" s="68"/>
      <c r="Q166" s="68">
        <v>15</v>
      </c>
      <c r="R166" s="68">
        <v>0.15</v>
      </c>
      <c r="S166" s="68"/>
      <c r="T166" s="70"/>
    </row>
    <row r="167" spans="1:20" ht="20.100000000000001" customHeight="1" x14ac:dyDescent="0.25">
      <c r="A167" s="67" t="s">
        <v>2019</v>
      </c>
      <c r="B167" s="68">
        <v>0</v>
      </c>
      <c r="C167" s="68">
        <f>space_classification[[#This Row],[Lighting (A90.1 -2010)]]*0.85</f>
        <v>0</v>
      </c>
      <c r="D167" s="69">
        <v>0</v>
      </c>
      <c r="E167" s="68">
        <v>0</v>
      </c>
      <c r="F167" s="70">
        <v>0</v>
      </c>
      <c r="G167" s="68">
        <v>0</v>
      </c>
      <c r="H167" s="68"/>
      <c r="I167" s="68"/>
      <c r="J167" s="70"/>
      <c r="K167" s="68"/>
      <c r="L167" s="68"/>
      <c r="M167" s="68"/>
      <c r="N167" s="68"/>
      <c r="O167" s="70"/>
      <c r="P167" s="68"/>
      <c r="Q167" s="68">
        <v>0</v>
      </c>
      <c r="R167" s="68">
        <v>0</v>
      </c>
      <c r="S167" s="68"/>
      <c r="T167" s="70"/>
    </row>
    <row r="168" spans="1:20" ht="20.100000000000001" customHeight="1" x14ac:dyDescent="0.25">
      <c r="A168" s="67" t="s">
        <v>2020</v>
      </c>
      <c r="B168" s="68">
        <v>1.66</v>
      </c>
      <c r="C168" s="68">
        <f>space_classification[[#This Row],[Lighting (A90.1 -2010)]]*0.85</f>
        <v>1.4109999999999998</v>
      </c>
      <c r="D168" s="69">
        <v>1</v>
      </c>
      <c r="E168" s="68">
        <v>250</v>
      </c>
      <c r="F168" s="70">
        <v>200</v>
      </c>
      <c r="G168" s="68">
        <v>2</v>
      </c>
      <c r="H168" s="68">
        <v>12</v>
      </c>
      <c r="I168" s="68">
        <v>12</v>
      </c>
      <c r="J168" s="70" t="s">
        <v>1727</v>
      </c>
      <c r="K168" s="68"/>
      <c r="L168" s="68"/>
      <c r="M168" s="68"/>
      <c r="N168" s="68"/>
      <c r="O168" s="70"/>
      <c r="P168" s="68"/>
      <c r="Q168" s="68">
        <v>15</v>
      </c>
      <c r="R168" s="68">
        <v>0.15</v>
      </c>
      <c r="S168" s="68"/>
      <c r="T168" s="70"/>
    </row>
    <row r="169" spans="1:20" ht="20.100000000000001" customHeight="1" x14ac:dyDescent="0.25">
      <c r="A169" s="67" t="s">
        <v>2021</v>
      </c>
      <c r="B169" s="68">
        <v>1.81</v>
      </c>
      <c r="C169" s="68">
        <f>space_classification[[#This Row],[Lighting (A90.1 -2010)]]*0.85</f>
        <v>1.5385</v>
      </c>
      <c r="D169" s="69">
        <v>2</v>
      </c>
      <c r="E169" s="68">
        <v>250</v>
      </c>
      <c r="F169" s="70">
        <v>200</v>
      </c>
      <c r="G169" s="68"/>
      <c r="H169" s="68"/>
      <c r="I169" s="68"/>
      <c r="J169" s="70"/>
      <c r="K169" s="68">
        <v>25</v>
      </c>
      <c r="L169" s="68">
        <v>10</v>
      </c>
      <c r="M169" s="68">
        <v>0.18</v>
      </c>
      <c r="N169" s="68">
        <v>0</v>
      </c>
      <c r="O169" s="70">
        <v>0</v>
      </c>
      <c r="P169" s="68">
        <v>10</v>
      </c>
      <c r="Q169" s="68">
        <v>15</v>
      </c>
      <c r="R169" s="68">
        <v>0.15</v>
      </c>
      <c r="S169" s="68">
        <v>0</v>
      </c>
      <c r="T169" s="70">
        <v>0</v>
      </c>
    </row>
    <row r="170" spans="1:20" ht="20.100000000000001" customHeight="1" x14ac:dyDescent="0.25">
      <c r="A170" s="78" t="s">
        <v>2022</v>
      </c>
      <c r="B170" s="68">
        <v>0.54</v>
      </c>
      <c r="C170" s="68">
        <f>space_classification[[#This Row],[Lighting (A90.1 -2010)]]*0.85</f>
        <v>0.45900000000000002</v>
      </c>
      <c r="D170" s="69">
        <v>0</v>
      </c>
      <c r="E170" s="68">
        <v>250</v>
      </c>
      <c r="F170" s="70">
        <v>200</v>
      </c>
      <c r="G170" s="68">
        <v>2</v>
      </c>
      <c r="H170" s="68">
        <v>10</v>
      </c>
      <c r="I170" s="68"/>
      <c r="J170" s="70"/>
      <c r="K170" s="68">
        <v>50</v>
      </c>
      <c r="L170" s="68">
        <v>7.5</v>
      </c>
      <c r="M170" s="68">
        <v>0.06</v>
      </c>
      <c r="N170" s="68">
        <v>0</v>
      </c>
      <c r="O170" s="70">
        <v>0</v>
      </c>
      <c r="P170" s="68"/>
      <c r="Q170" s="68">
        <v>15</v>
      </c>
      <c r="R170" s="68">
        <v>0.15</v>
      </c>
      <c r="S170" s="68">
        <v>0</v>
      </c>
      <c r="T170" s="70">
        <v>0</v>
      </c>
    </row>
    <row r="171" spans="1:20" ht="20.100000000000001" customHeight="1" x14ac:dyDescent="0.25">
      <c r="A171" s="67" t="s">
        <v>2023</v>
      </c>
      <c r="B171" s="68">
        <v>1.3</v>
      </c>
      <c r="C171" s="68">
        <f>space_classification[[#This Row],[Lighting (A90.1 -2010)]]*0.85</f>
        <v>1.105</v>
      </c>
      <c r="D171" s="69">
        <v>8</v>
      </c>
      <c r="E171" s="68">
        <v>250</v>
      </c>
      <c r="F171" s="70">
        <v>200</v>
      </c>
      <c r="G171" s="68">
        <v>0</v>
      </c>
      <c r="H171" s="68">
        <v>2</v>
      </c>
      <c r="I171" s="68">
        <v>0</v>
      </c>
      <c r="J171" s="70" t="s">
        <v>240</v>
      </c>
      <c r="K171" s="68"/>
      <c r="L171" s="68"/>
      <c r="M171" s="68"/>
      <c r="N171" s="68"/>
      <c r="O171" s="70"/>
      <c r="P171" s="68"/>
      <c r="Q171" s="68">
        <v>15</v>
      </c>
      <c r="R171" s="68">
        <v>0.15</v>
      </c>
      <c r="S171" s="68"/>
      <c r="T171" s="70"/>
    </row>
    <row r="172" spans="1:20" ht="20.100000000000001" customHeight="1" x14ac:dyDescent="0.25">
      <c r="A172" s="67" t="s">
        <v>2024</v>
      </c>
      <c r="B172" s="68">
        <v>0.54</v>
      </c>
      <c r="C172" s="68">
        <f>space_classification[[#This Row],[Lighting (A90.1 -2010)]]*0.85</f>
        <v>0.45900000000000002</v>
      </c>
      <c r="D172" s="69">
        <v>0</v>
      </c>
      <c r="E172" s="68">
        <v>250</v>
      </c>
      <c r="F172" s="70">
        <v>200</v>
      </c>
      <c r="G172" s="68"/>
      <c r="H172" s="68"/>
      <c r="I172" s="68"/>
      <c r="J172" s="70"/>
      <c r="K172" s="68">
        <v>100</v>
      </c>
      <c r="L172" s="68">
        <v>7.5</v>
      </c>
      <c r="M172" s="68">
        <v>0.06</v>
      </c>
      <c r="N172" s="68">
        <v>0</v>
      </c>
      <c r="O172" s="70">
        <v>0</v>
      </c>
      <c r="P172" s="68"/>
      <c r="Q172" s="68">
        <v>15</v>
      </c>
      <c r="R172" s="68">
        <v>0.15</v>
      </c>
      <c r="S172" s="68">
        <v>0</v>
      </c>
      <c r="T172" s="70">
        <v>0</v>
      </c>
    </row>
    <row r="173" spans="1:20" ht="20.100000000000001" customHeight="1" x14ac:dyDescent="0.25">
      <c r="A173" s="67" t="s">
        <v>1921</v>
      </c>
      <c r="B173" s="68">
        <v>0.98</v>
      </c>
      <c r="C173" s="68">
        <f>space_classification[[#This Row],[Lighting (A90.1 -2010)]]*0.85</f>
        <v>0.83299999999999996</v>
      </c>
      <c r="D173" s="69">
        <v>1</v>
      </c>
      <c r="E173" s="68">
        <v>275</v>
      </c>
      <c r="F173" s="70">
        <v>275</v>
      </c>
      <c r="G173" s="68"/>
      <c r="H173" s="68"/>
      <c r="I173" s="68"/>
      <c r="J173" s="70"/>
      <c r="K173" s="68">
        <v>0</v>
      </c>
      <c r="L173" s="68">
        <v>10</v>
      </c>
      <c r="M173" s="68">
        <v>0.06</v>
      </c>
      <c r="N173" s="68">
        <v>0</v>
      </c>
      <c r="O173" s="70">
        <v>0</v>
      </c>
      <c r="P173" s="68"/>
      <c r="Q173" s="68">
        <v>15</v>
      </c>
      <c r="R173" s="68">
        <v>0.15</v>
      </c>
      <c r="S173" s="68">
        <v>0</v>
      </c>
      <c r="T173" s="70">
        <v>0</v>
      </c>
    </row>
    <row r="174" spans="1:20" ht="20.100000000000001" customHeight="1" x14ac:dyDescent="0.25">
      <c r="A174" s="67" t="s">
        <v>2025</v>
      </c>
      <c r="B174" s="68">
        <v>0.9</v>
      </c>
      <c r="C174" s="68">
        <f>space_classification[[#This Row],[Lighting (A90.1 -2010)]]*0.85</f>
        <v>0.76500000000000001</v>
      </c>
      <c r="D174" s="69">
        <v>0.25</v>
      </c>
      <c r="E174" s="68">
        <v>250</v>
      </c>
      <c r="F174" s="70">
        <v>200</v>
      </c>
      <c r="G174" s="68">
        <v>2</v>
      </c>
      <c r="H174" s="68">
        <v>10</v>
      </c>
      <c r="I174" s="68">
        <v>10</v>
      </c>
      <c r="J174" s="70" t="s">
        <v>1727</v>
      </c>
      <c r="K174" s="68">
        <v>50</v>
      </c>
      <c r="L174" s="68">
        <v>7.5</v>
      </c>
      <c r="M174" s="68">
        <v>0.06</v>
      </c>
      <c r="N174" s="68">
        <v>0</v>
      </c>
      <c r="O174" s="70">
        <v>0</v>
      </c>
      <c r="P174" s="68"/>
      <c r="Q174" s="68">
        <v>15</v>
      </c>
      <c r="R174" s="68">
        <v>0.15</v>
      </c>
      <c r="S174" s="68">
        <v>0</v>
      </c>
      <c r="T174" s="70">
        <v>0</v>
      </c>
    </row>
    <row r="175" spans="1:20" ht="20.100000000000001" customHeight="1" x14ac:dyDescent="0.25">
      <c r="A175" s="67" t="s">
        <v>2026</v>
      </c>
      <c r="B175" s="68">
        <v>1.81</v>
      </c>
      <c r="C175" s="68">
        <f>space_classification[[#This Row],[Lighting (A90.1 -2010)]]*0.85</f>
        <v>1.5385</v>
      </c>
      <c r="D175" s="69">
        <v>8</v>
      </c>
      <c r="E175" s="68">
        <v>250</v>
      </c>
      <c r="F175" s="70">
        <v>200</v>
      </c>
      <c r="G175" s="68"/>
      <c r="H175" s="68"/>
      <c r="I175" s="68"/>
      <c r="J175" s="70"/>
      <c r="K175" s="68">
        <v>25</v>
      </c>
      <c r="L175" s="68">
        <v>10</v>
      </c>
      <c r="M175" s="68">
        <v>0.18</v>
      </c>
      <c r="N175" s="68">
        <v>0</v>
      </c>
      <c r="O175" s="70">
        <v>0</v>
      </c>
      <c r="P175" s="68">
        <v>10</v>
      </c>
      <c r="Q175" s="68">
        <v>15</v>
      </c>
      <c r="R175" s="68">
        <v>0.15</v>
      </c>
      <c r="S175" s="68">
        <v>0</v>
      </c>
      <c r="T175" s="70">
        <v>0</v>
      </c>
    </row>
    <row r="176" spans="1:20" ht="20.100000000000001" customHeight="1" x14ac:dyDescent="0.25">
      <c r="A176" s="67" t="s">
        <v>2027</v>
      </c>
      <c r="B176" s="68">
        <v>1.59</v>
      </c>
      <c r="C176" s="68">
        <f>space_classification[[#This Row],[Lighting (A90.1 -2010)]]*0.85</f>
        <v>1.3514999999999999</v>
      </c>
      <c r="D176" s="69">
        <v>8</v>
      </c>
      <c r="E176" s="68">
        <v>250</v>
      </c>
      <c r="F176" s="70">
        <v>200</v>
      </c>
      <c r="G176" s="68"/>
      <c r="H176" s="68"/>
      <c r="I176" s="68"/>
      <c r="J176" s="70"/>
      <c r="K176" s="68">
        <v>20</v>
      </c>
      <c r="L176" s="68">
        <v>10</v>
      </c>
      <c r="M176" s="68">
        <v>0.18</v>
      </c>
      <c r="N176" s="68">
        <v>0.5</v>
      </c>
      <c r="O176" s="70">
        <v>0</v>
      </c>
      <c r="P176" s="68"/>
      <c r="Q176" s="68">
        <v>15</v>
      </c>
      <c r="R176" s="68">
        <v>0.15</v>
      </c>
      <c r="S176" s="68">
        <v>0.5</v>
      </c>
      <c r="T176" s="70">
        <v>0</v>
      </c>
    </row>
    <row r="177" spans="1:20" ht="20.100000000000001" customHeight="1" x14ac:dyDescent="0.25">
      <c r="A177" s="78" t="s">
        <v>2028</v>
      </c>
      <c r="B177" s="68">
        <v>1.21</v>
      </c>
      <c r="C177" s="68">
        <f>space_classification[[#This Row],[Lighting (A90.1 -2010)]]*0.85</f>
        <v>1.0285</v>
      </c>
      <c r="D177" s="69">
        <v>15</v>
      </c>
      <c r="E177" s="68">
        <v>275</v>
      </c>
      <c r="F177" s="70">
        <v>275</v>
      </c>
      <c r="G177" s="68">
        <v>0</v>
      </c>
      <c r="H177" s="68">
        <v>0</v>
      </c>
      <c r="I177" s="68">
        <v>10</v>
      </c>
      <c r="J177" s="70" t="s">
        <v>1727</v>
      </c>
      <c r="K177" s="68"/>
      <c r="L177" s="68"/>
      <c r="M177" s="68"/>
      <c r="N177" s="68"/>
      <c r="O177" s="70"/>
      <c r="P177" s="68"/>
      <c r="Q177" s="68">
        <v>15</v>
      </c>
      <c r="R177" s="68">
        <v>0.15</v>
      </c>
      <c r="S177" s="68"/>
      <c r="T177" s="70"/>
    </row>
    <row r="178" spans="1:20" ht="20.100000000000001" customHeight="1" x14ac:dyDescent="0.25">
      <c r="A178" s="67" t="s">
        <v>2029</v>
      </c>
      <c r="B178" s="68">
        <v>0.74</v>
      </c>
      <c r="C178" s="68">
        <f>space_classification[[#This Row],[Lighting (A90.1 -2010)]]*0.85</f>
        <v>0.629</v>
      </c>
      <c r="D178" s="69">
        <v>5</v>
      </c>
      <c r="E178" s="68">
        <v>250</v>
      </c>
      <c r="F178" s="70">
        <v>200</v>
      </c>
      <c r="G178" s="68"/>
      <c r="H178" s="68"/>
      <c r="I178" s="68"/>
      <c r="J178" s="70"/>
      <c r="K178" s="68">
        <v>5</v>
      </c>
      <c r="L178" s="68">
        <v>5</v>
      </c>
      <c r="M178" s="68">
        <v>0.06</v>
      </c>
      <c r="N178" s="68">
        <v>0</v>
      </c>
      <c r="O178" s="70">
        <v>0</v>
      </c>
      <c r="P178" s="68">
        <v>8.3339999999999996</v>
      </c>
      <c r="Q178" s="68">
        <v>15</v>
      </c>
      <c r="R178" s="68">
        <v>0.15</v>
      </c>
      <c r="S178" s="68">
        <v>0</v>
      </c>
      <c r="T178" s="70">
        <v>0</v>
      </c>
    </row>
    <row r="179" spans="1:20" ht="20.100000000000001" customHeight="1" x14ac:dyDescent="0.25">
      <c r="A179" s="67" t="s">
        <v>2030</v>
      </c>
      <c r="B179" s="68">
        <v>0.74</v>
      </c>
      <c r="C179" s="68">
        <f>space_classification[[#This Row],[Lighting (A90.1 -2010)]]*0.85</f>
        <v>0.629</v>
      </c>
      <c r="D179" s="69">
        <v>5</v>
      </c>
      <c r="E179" s="68">
        <v>250</v>
      </c>
      <c r="F179" s="70">
        <v>200</v>
      </c>
      <c r="G179" s="103">
        <v>2</v>
      </c>
      <c r="H179" s="103">
        <v>4</v>
      </c>
      <c r="I179" s="103">
        <v>0</v>
      </c>
      <c r="J179" s="91" t="s">
        <v>1767</v>
      </c>
      <c r="K179" s="68">
        <v>5</v>
      </c>
      <c r="L179" s="68">
        <v>5</v>
      </c>
      <c r="M179" s="68">
        <v>0.06</v>
      </c>
      <c r="N179" s="68">
        <v>0</v>
      </c>
      <c r="O179" s="70">
        <v>0</v>
      </c>
      <c r="P179" s="68">
        <v>8.3339999999999996</v>
      </c>
      <c r="Q179" s="68">
        <v>15</v>
      </c>
      <c r="R179" s="68">
        <v>0.15</v>
      </c>
      <c r="S179" s="68">
        <v>0</v>
      </c>
      <c r="T179" s="70">
        <v>0</v>
      </c>
    </row>
    <row r="180" spans="1:20" ht="20.100000000000001" customHeight="1" x14ac:dyDescent="0.25">
      <c r="A180" s="67" t="s">
        <v>2031</v>
      </c>
      <c r="B180" s="68">
        <v>0.74</v>
      </c>
      <c r="C180" s="68">
        <f>space_classification[[#This Row],[Lighting (A90.1 -2010)]]*0.85</f>
        <v>0.629</v>
      </c>
      <c r="D180" s="69">
        <v>5</v>
      </c>
      <c r="E180" s="68">
        <v>250</v>
      </c>
      <c r="F180" s="70">
        <v>200</v>
      </c>
      <c r="G180" s="103">
        <v>2</v>
      </c>
      <c r="H180" s="103">
        <v>1</v>
      </c>
      <c r="I180" s="103">
        <v>10</v>
      </c>
      <c r="J180" s="91" t="s">
        <v>1727</v>
      </c>
      <c r="K180" s="68">
        <v>5</v>
      </c>
      <c r="L180" s="68">
        <v>5</v>
      </c>
      <c r="M180" s="68">
        <v>0.06</v>
      </c>
      <c r="N180" s="68">
        <v>0</v>
      </c>
      <c r="O180" s="70">
        <v>0</v>
      </c>
      <c r="P180" s="68">
        <v>8.3339999999999996</v>
      </c>
      <c r="Q180" s="68">
        <v>15</v>
      </c>
      <c r="R180" s="68">
        <v>0.15</v>
      </c>
      <c r="S180" s="68">
        <v>0</v>
      </c>
      <c r="T180" s="70">
        <v>0</v>
      </c>
    </row>
    <row r="181" spans="1:20" x14ac:dyDescent="0.25">
      <c r="A181" s="67" t="s">
        <v>2032</v>
      </c>
      <c r="B181" s="68">
        <v>1.53</v>
      </c>
      <c r="C181" s="68">
        <f>space_classification[[#This Row],[Lighting (A90.1 -2010)]]*0.85</f>
        <v>1.3005</v>
      </c>
      <c r="D181" s="69">
        <v>0.5</v>
      </c>
      <c r="E181" s="68">
        <v>250</v>
      </c>
      <c r="F181" s="70">
        <v>200</v>
      </c>
      <c r="G181" s="68"/>
      <c r="H181" s="68"/>
      <c r="I181" s="68"/>
      <c r="J181" s="70"/>
      <c r="K181" s="68">
        <v>120</v>
      </c>
      <c r="L181" s="68">
        <v>5</v>
      </c>
      <c r="M181" s="68">
        <v>0.06</v>
      </c>
      <c r="N181" s="68">
        <v>0</v>
      </c>
      <c r="O181" s="70">
        <v>0</v>
      </c>
      <c r="P181" s="68"/>
      <c r="Q181" s="68">
        <v>15</v>
      </c>
      <c r="R181" s="68">
        <v>0.15</v>
      </c>
      <c r="S181" s="68">
        <v>0</v>
      </c>
      <c r="T181" s="70">
        <v>0</v>
      </c>
    </row>
    <row r="182" spans="1:20" x14ac:dyDescent="0.25">
      <c r="A182" s="67" t="s">
        <v>2033</v>
      </c>
      <c r="B182" s="68">
        <v>1.66</v>
      </c>
      <c r="C182" s="68">
        <f>space_classification[[#This Row],[Lighting (A90.1 -2010)]]*0.85</f>
        <v>1.4109999999999998</v>
      </c>
      <c r="D182" s="99">
        <v>12</v>
      </c>
      <c r="E182" s="68">
        <v>250</v>
      </c>
      <c r="F182" s="70">
        <v>200</v>
      </c>
      <c r="G182" s="68">
        <v>2</v>
      </c>
      <c r="H182" s="68">
        <v>6</v>
      </c>
      <c r="I182" s="68">
        <v>0</v>
      </c>
      <c r="J182" s="70" t="s">
        <v>240</v>
      </c>
      <c r="K182" s="68"/>
      <c r="L182" s="68"/>
      <c r="M182" s="68"/>
      <c r="N182" s="68"/>
      <c r="O182" s="70"/>
      <c r="P182" s="68">
        <v>4.16</v>
      </c>
      <c r="Q182" s="68">
        <v>15</v>
      </c>
      <c r="R182" s="68">
        <v>0.15</v>
      </c>
      <c r="S182" s="68"/>
      <c r="T182" s="70"/>
    </row>
    <row r="183" spans="1:20" x14ac:dyDescent="0.25">
      <c r="A183" s="67" t="s">
        <v>2034</v>
      </c>
      <c r="B183" s="68">
        <v>1.66</v>
      </c>
      <c r="C183" s="68">
        <f>space_classification[[#This Row],[Lighting (A90.1 -2010)]]*0.85</f>
        <v>1.4109999999999998</v>
      </c>
      <c r="D183" s="99">
        <v>12</v>
      </c>
      <c r="E183" s="68">
        <v>250</v>
      </c>
      <c r="F183" s="70">
        <v>200</v>
      </c>
      <c r="G183" s="68">
        <v>2</v>
      </c>
      <c r="H183" s="68">
        <v>6</v>
      </c>
      <c r="I183" s="68">
        <v>6</v>
      </c>
      <c r="J183" s="70" t="s">
        <v>1727</v>
      </c>
      <c r="K183" s="68"/>
      <c r="L183" s="68"/>
      <c r="M183" s="68"/>
      <c r="N183" s="68"/>
      <c r="O183" s="70"/>
      <c r="P183" s="68">
        <v>4.16</v>
      </c>
      <c r="Q183" s="68">
        <v>15</v>
      </c>
      <c r="R183" s="68">
        <v>0.15</v>
      </c>
      <c r="S183" s="68"/>
      <c r="T183" s="70"/>
    </row>
    <row r="184" spans="1:20" ht="20.100000000000001" customHeight="1" x14ac:dyDescent="0.25">
      <c r="A184" s="67" t="s">
        <v>2035</v>
      </c>
      <c r="B184" s="68">
        <v>1.9</v>
      </c>
      <c r="C184" s="68">
        <f>space_classification[[#This Row],[Lighting (A90.1 -2010)]]*0.85</f>
        <v>1.615</v>
      </c>
      <c r="D184" s="69">
        <v>12.5</v>
      </c>
      <c r="E184" s="68">
        <v>275</v>
      </c>
      <c r="F184" s="70">
        <v>475</v>
      </c>
      <c r="G184" s="68">
        <v>2</v>
      </c>
      <c r="H184" s="68">
        <v>6</v>
      </c>
      <c r="I184" s="68">
        <v>6</v>
      </c>
      <c r="J184" s="70" t="s">
        <v>1767</v>
      </c>
      <c r="K184" s="68"/>
      <c r="L184" s="68"/>
      <c r="M184" s="68"/>
      <c r="N184" s="68"/>
      <c r="O184" s="70"/>
      <c r="P184" s="68">
        <v>4.16</v>
      </c>
      <c r="Q184" s="68">
        <v>15</v>
      </c>
      <c r="R184" s="68">
        <v>0.15</v>
      </c>
      <c r="S184" s="68"/>
      <c r="T184" s="70"/>
    </row>
    <row r="188" spans="1:20" x14ac:dyDescent="0.25">
      <c r="A188" s="104" t="s">
        <v>2036</v>
      </c>
    </row>
    <row r="189" spans="1:20" x14ac:dyDescent="0.25">
      <c r="A189" s="105" t="s">
        <v>2037</v>
      </c>
    </row>
  </sheetData>
  <mergeCells count="14">
    <mergeCell ref="BE6:BF6"/>
    <mergeCell ref="BG6:BH6"/>
    <mergeCell ref="AZ6:BA6"/>
    <mergeCell ref="B3:F3"/>
    <mergeCell ref="G3:J3"/>
    <mergeCell ref="K3:O3"/>
    <mergeCell ref="P3:T3"/>
    <mergeCell ref="AX6:AY6"/>
    <mergeCell ref="AC6:AD6"/>
    <mergeCell ref="AE6:AF6"/>
    <mergeCell ref="AJ6:AK6"/>
    <mergeCell ref="AL6:AM6"/>
    <mergeCell ref="AQ6:AR6"/>
    <mergeCell ref="AS6:AT6"/>
  </mergeCells>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F6514A31DB5354BA777D0F78CDBB8A7" ma:contentTypeVersion="3" ma:contentTypeDescription="Create a new document." ma:contentTypeScope="" ma:versionID="9b8dbaad5d39633677a0496e8594a8d2">
  <xsd:schema xmlns:xsd="http://www.w3.org/2001/XMLSchema" xmlns:xs="http://www.w3.org/2001/XMLSchema" xmlns:p="http://schemas.microsoft.com/office/2006/metadata/properties" xmlns:ns2="12e9645f-0e02-4209-b113-f93a534f9e76" targetNamespace="http://schemas.microsoft.com/office/2006/metadata/properties" ma:root="true" ma:fieldsID="54df514393dbc5b5cce5dea2ce9254d8" ns2:_="">
    <xsd:import namespace="12e9645f-0e02-4209-b113-f93a534f9e76"/>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e9645f-0e02-4209-b113-f93a534f9e7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09EE652-F2AD-46C2-8A54-421133F7A5FC}">
  <ds:schemaRefs>
    <ds:schemaRef ds:uri="http://schemas.microsoft.com/office/2006/documentManagement/types"/>
    <ds:schemaRef ds:uri="http://purl.org/dc/elements/1.1/"/>
    <ds:schemaRef ds:uri="http://purl.org/dc/terms/"/>
    <ds:schemaRef ds:uri="http://schemas.microsoft.com/office/2006/metadata/properties"/>
    <ds:schemaRef ds:uri="http://schemas.openxmlformats.org/package/2006/metadata/core-properties"/>
    <ds:schemaRef ds:uri="12e9645f-0e02-4209-b113-f93a534f9e76"/>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EE3E0719-5D60-4C9F-A87A-2F83BB2C21DD}">
  <ds:schemaRefs>
    <ds:schemaRef ds:uri="http://schemas.microsoft.com/office/2006/metadata/contentType"/>
    <ds:schemaRef ds:uri="http://schemas.microsoft.com/office/2006/metadata/properties/metaAttributes"/>
    <ds:schemaRef ds:uri="http://www.w3.org/2000/xmlns/"/>
    <ds:schemaRef ds:uri="http://www.w3.org/2001/XMLSchema"/>
    <ds:schemaRef ds:uri="12e9645f-0e02-4209-b113-f93a534f9e76"/>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40F8468-2213-4044-B67C-BF1DE38242C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Master Room List</vt:lpstr>
      <vt:lpstr>Weather</vt:lpstr>
      <vt:lpstr>Setpoints</vt:lpstr>
      <vt:lpstr>Architectural</vt:lpstr>
      <vt:lpstr>OCC_Airflow</vt:lpstr>
      <vt:lpstr>Lighting</vt:lpstr>
      <vt:lpstr>Utilities</vt:lpstr>
      <vt:lpstr>Report Summary Table</vt:lpstr>
      <vt:lpstr>Summary Table 2</vt:lpstr>
      <vt:lpstr>ECM Reports</vt:lpstr>
      <vt:lpstr>ECM Data</vt:lpstr>
      <vt:lpstr>ECM Description</vt:lpstr>
      <vt:lpstr>Equip - Dry</vt:lpstr>
      <vt:lpstr>Equip - Wet</vt:lpstr>
      <vt:lpstr>eQuest Schedules</vt:lpstr>
      <vt:lpstr>eQuest Schedule Importer</vt:lpstr>
      <vt:lpstr>IES Schedules</vt:lpstr>
      <vt:lpstr>IES Schedule Importer</vt:lpstr>
      <vt:lpstr>LEED Baseline Sys. Selector</vt:lpstr>
      <vt:lpstr>LEED ApacheHVAC Check</vt:lpstr>
      <vt:lpstr>Water Efficiency</vt:lpstr>
      <vt:lpstr>Raw Data - Lighting</vt:lpstr>
      <vt:lpstr>Raw Data - Occupancy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Kyle Garske</dc:creator>
  <cp:keywords/>
  <dc:description/>
  <cp:lastModifiedBy>Kyle Garske</cp:lastModifiedBy>
  <cp:revision/>
  <dcterms:created xsi:type="dcterms:W3CDTF">2021-09-23T17:31:55Z</dcterms:created>
  <dcterms:modified xsi:type="dcterms:W3CDTF">2026-04-06T23:36:52Z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0x010100FF6514A31DB5354BA777D0F78CDBB8A7</vt:lpwstr>
  </property>
</Properties>
</file>