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805" tabRatio="916" firstSheet="1" activeTab="4"/>
  </bookViews>
  <sheets>
    <sheet name="更新日志" sheetId="32" state="hidden" r:id="rId1"/>
    <sheet name="【1】定价因子" sheetId="21" r:id="rId2"/>
    <sheet name="各村基准价" sheetId="41" state="veryHidden" r:id="rId3"/>
    <sheet name="piovt_各村均价" sheetId="38" state="hidden" r:id="rId4"/>
    <sheet name="【2】运营中心填-基本信息&amp;审核标准" sheetId="37" r:id="rId5"/>
    <sheet name="【1】楼栋基本信息" sheetId="30" state="hidden" r:id="rId6"/>
    <sheet name="项目基准价" sheetId="23" state="hidden" r:id="rId7"/>
    <sheet name="赋权表" sheetId="22" state="hidden" r:id="rId8"/>
    <sheet name="目录" sheetId="27" state="hidden" r:id="rId9"/>
    <sheet name="【3】大区填-楼栋基准格局定价" sheetId="25" r:id="rId10"/>
    <sheet name="【3-1】大区填-采光基本要素" sheetId="36" r:id="rId11"/>
    <sheet name="【3-2】大区&amp;运营中心填-房间模型价" sheetId="31" r:id="rId12"/>
    <sheet name="户型资产表" sheetId="42" state="hidden" r:id="rId13"/>
    <sheet name="【4】价目表" sheetId="33" r:id="rId14"/>
    <sheet name="【5】平面图" sheetId="34" r:id="rId15"/>
    <sheet name="【补充】采光验证因素" sheetId="35" state="hidden" r:id="rId16"/>
  </sheets>
  <externalReferences>
    <externalReference r:id="rId17"/>
  </externalReferences>
  <definedNames>
    <definedName name="_xlnm._FilterDatabase" localSheetId="2" hidden="1">各村基准价!$A$1:$C$88</definedName>
    <definedName name="_xlnm._FilterDatabase" localSheetId="11" hidden="1">'【3-2】大区&amp;运营中心填-房间模型价'!$A$1:$AN$41</definedName>
    <definedName name="采光">【1】定价因子!$D$42:$D$46</definedName>
    <definedName name="床型">【1】定价因子!$D$48:$D$53</definedName>
    <definedName name="地铁站步行时间">【1】定价因子!#REF!</definedName>
    <definedName name="电梯房楼层">【1】定价因子!$D$26:$D$34</definedName>
    <definedName name="公区步行距离">【1】定价因子!$D$2:$D$6</definedName>
    <definedName name="功能">【1】定价因子!$D$36:$D$41</definedName>
    <definedName name="户型格局">【1】定价因子!#REF!</definedName>
    <definedName name="楼栋外观">【1】定价因子!#REF!</definedName>
    <definedName name="楼梯房楼层">【1】定价因子!$D$16:$D$25</definedName>
    <definedName name="套内空间">【1】定价因子!$D$9:$D$13</definedName>
    <definedName name="梯户比">【1】定价因子!#REF!</definedName>
    <definedName name="阳台">【1】定价因子!$D$14:$D$15</definedName>
    <definedName name="有无电梯">【1】定价因子!$D$7:$D$8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LEE李小羊</author>
  </authors>
  <commentList>
    <comment ref="F2" authorId="0">
      <text>
        <r>
          <rPr>
            <b/>
            <sz val="9"/>
            <rFont val="宋体"/>
            <charset val="134"/>
          </rPr>
          <t>LEE李小羊:</t>
        </r>
        <r>
          <rPr>
            <sz val="9"/>
            <rFont val="宋体"/>
            <charset val="134"/>
          </rPr>
          <t xml:space="preserve">
2020年8月12日公寓例会决议定价模型公区系数调整</t>
        </r>
      </text>
    </comment>
  </commentList>
</comments>
</file>

<file path=xl/comments2.xml><?xml version="1.0" encoding="utf-8"?>
<comments xmlns="http://schemas.openxmlformats.org/spreadsheetml/2006/main">
  <authors>
    <author>29294</author>
  </authors>
  <commentList>
    <comment ref="I11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检验加入楼栋后全项目成本指标</t>
        </r>
      </text>
    </comment>
    <comment ref="M15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检验在同小区内同标签房间是否在0.95—1.15之间</t>
        </r>
      </text>
    </comment>
    <comment ref="M17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M19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D22" authorId="0">
      <text>
        <r>
          <rPr>
            <b/>
            <sz val="9"/>
            <color rgb="FF000000"/>
            <rFont val="宋体"/>
            <charset val="134"/>
          </rPr>
          <t>29294:</t>
        </r>
        <r>
          <rPr>
            <sz val="9"/>
            <color rgb="FF000000"/>
            <rFont val="宋体"/>
            <charset val="134"/>
          </rPr>
          <t xml:space="preserve">
0.9-1.1</t>
        </r>
      </text>
    </comment>
    <comment ref="E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F26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0.95-1.15</t>
        </r>
      </text>
    </comment>
  </commentList>
</comments>
</file>

<file path=xl/comments3.xml><?xml version="1.0" encoding="utf-8"?>
<comments xmlns="http://schemas.openxmlformats.org/spreadsheetml/2006/main">
  <authors>
    <author>孙铭馗</author>
  </authors>
  <commentList>
    <comment ref="D15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1699、1519都租过</t>
        </r>
      </text>
    </comment>
    <comment ref="D31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1569秒杀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<sst xmlns="http://schemas.openxmlformats.org/spreadsheetml/2006/main" count="6471" uniqueCount="875">
  <si>
    <t>版本号</t>
  </si>
  <si>
    <t>更新日期</t>
  </si>
  <si>
    <t>主要更新内容</t>
  </si>
  <si>
    <t>决议方式</t>
  </si>
  <si>
    <t>启用时间</t>
  </si>
  <si>
    <t>v1.0</t>
  </si>
  <si>
    <t>1. 创建了xlsx格式的模型，便于过程数据留存</t>
  </si>
  <si>
    <t>v1.01</t>
  </si>
  <si>
    <t>1. 优化了【楼栋公区距离】因子下的调价系数，使公区距离的影响力扩大，更符合市场需求；
2. 新增了定价模型的【更新日志】</t>
  </si>
  <si>
    <t>公寓例会</t>
  </si>
  <si>
    <t>v1.10</t>
  </si>
  <si>
    <t>1. 对各个格局的【套内空间】分档明确面积范围；
2. 【地铁站距离】测量方式改为步行时长（百度地图）；
3. 深化完善【户型】【功能】【采光】等因子各分档的标准描述，减小主观误差；</t>
  </si>
  <si>
    <t>定价小组会议</t>
  </si>
  <si>
    <t>v1.11</t>
  </si>
  <si>
    <r>
      <rPr>
        <sz val="11"/>
        <color theme="1"/>
        <rFont val="Microsoft YaHei Light"/>
        <charset val="134"/>
      </rPr>
      <t>1. 更新了两个项目的基准价：元芬上早</t>
    </r>
    <r>
      <rPr>
        <b/>
        <sz val="11"/>
        <color theme="1"/>
        <rFont val="Microsoft YaHei Light"/>
        <charset val="134"/>
      </rPr>
      <t>1468.41元</t>
    </r>
    <r>
      <rPr>
        <sz val="11"/>
        <color theme="1"/>
        <rFont val="Microsoft YaHei Light"/>
        <charset val="134"/>
      </rPr>
      <t>，创业花园</t>
    </r>
    <r>
      <rPr>
        <b/>
        <sz val="11"/>
        <color theme="1"/>
        <rFont val="Microsoft YaHei Light"/>
        <charset val="134"/>
      </rPr>
      <t>1763元</t>
    </r>
    <r>
      <rPr>
        <sz val="11"/>
        <color theme="1"/>
        <rFont val="Microsoft YaHei Light"/>
        <charset val="134"/>
      </rPr>
      <t>，以及各个格局的基准价；
2. 删除“高架床/窄床开间”格局，使格局类型与实际业务名词体系一致，新增【床型】因子，用于描述不同床型对定价的影响；
3. 调整了【采光】【地铁站距离】【有无电梯】【楼层】【功能】因子的分档和系数；
4. 删除了【公交站距离】【噪音】【污染】【视野】等极少使用或影响力极小的因子；
5. 深化完善各个因子各分档的标准描述；</t>
    </r>
  </si>
  <si>
    <t>v1.12</t>
  </si>
  <si>
    <t>1.更新采光因素量化标准，并增加采光因素填写sheet，需填写房间窗户数量，根据楼间距填写遮挡信息
2.增加审批条件，整体均价≥模型均价，实际定价在模型价格的-5%~15%之间</t>
  </si>
  <si>
    <t>v2.2</t>
  </si>
  <si>
    <t>1.将很狭小的折价从0.91修正为0.9；
2.将较宽敞的溢价由1.05提高到1.06，很宽敞溢价由1.09提高到1.10；
3.将楼梯一层的折价由0.9，提高到0.91；将电梯一层的折价由0.85，提高到0.87；</t>
  </si>
  <si>
    <t>v2.3</t>
  </si>
  <si>
    <t>1.增加房间面积，增加自动取值逻辑</t>
  </si>
  <si>
    <t>v2.4</t>
  </si>
  <si>
    <t>1.更新了一下村成本算法，增加自动取值逻辑</t>
  </si>
  <si>
    <t>V2.5</t>
  </si>
  <si>
    <t>1.增加二居室相关配置信息</t>
  </si>
  <si>
    <t>序号</t>
  </si>
  <si>
    <t>定价因子</t>
  </si>
  <si>
    <t>分档</t>
  </si>
  <si>
    <t>数列</t>
  </si>
  <si>
    <t>调价倍数</t>
  </si>
  <si>
    <t>备注</t>
  </si>
  <si>
    <t>项目基准价</t>
  </si>
  <si>
    <t>基准格局定价因子</t>
  </si>
  <si>
    <t>区位</t>
  </si>
  <si>
    <t>交通很便利</t>
  </si>
  <si>
    <t>距离中心楼栋步行300米以上，且为方向交通更便利，如更靠近地铁，更靠近主干道</t>
  </si>
  <si>
    <t>基准格局</t>
  </si>
  <si>
    <t>套均价</t>
  </si>
  <si>
    <t>交通较便利</t>
  </si>
  <si>
    <t>距离中心楼栋步行150米以上，且为方向交通更便利，如更靠近地铁，更靠近主干道</t>
  </si>
  <si>
    <t>开间</t>
  </si>
  <si>
    <t>中心位置</t>
  </si>
  <si>
    <t>在中心楼栋步行半径150米的位置范围内</t>
  </si>
  <si>
    <t>一居室</t>
  </si>
  <si>
    <t>交通较不便</t>
  </si>
  <si>
    <t>距离中心楼栋步行150米以上，且为方向交通更不便，如更远离地铁，距离村口位置更远</t>
  </si>
  <si>
    <t>二居室</t>
  </si>
  <si>
    <t>交通很不便</t>
  </si>
  <si>
    <t>距离中心楼栋步行300米以上，且为方向交通更不便，如更远离地铁，距离村口位置更远</t>
  </si>
  <si>
    <t>轻复式</t>
  </si>
  <si>
    <t>有无电梯</t>
  </si>
  <si>
    <t>有</t>
  </si>
  <si>
    <t>只比较楼梯4F和电梯4F</t>
  </si>
  <si>
    <t>二人宿舍</t>
  </si>
  <si>
    <t>无</t>
  </si>
  <si>
    <t>四人宿舍</t>
  </si>
  <si>
    <t>房间定价因子</t>
  </si>
  <si>
    <t>套内空间</t>
  </si>
  <si>
    <t>很宽敞</t>
  </si>
  <si>
    <t>权重：客厅&gt;卧室&gt;＞卫生间/洗漱区；
空间为住户实际使用感知的空间，如：（1）裸露地板的面积（2）床周边通行宽度（3）高架床、LOFT利用了立体空间，套内面积狭小但可能套内空间适中</t>
  </si>
  <si>
    <t>六人宿舍</t>
  </si>
  <si>
    <t>较宽敞</t>
  </si>
  <si>
    <t>八人宿舍</t>
  </si>
  <si>
    <t>适中</t>
  </si>
  <si>
    <t>二居轻复式</t>
  </si>
  <si>
    <t>较狭小</t>
  </si>
  <si>
    <t>很狭小</t>
  </si>
  <si>
    <t>阳台</t>
  </si>
  <si>
    <t>楼梯房楼层</t>
  </si>
  <si>
    <t>不考虑采光和视野的差异</t>
  </si>
  <si>
    <t>套内空间类型</t>
  </si>
  <si>
    <t>高架床/窄床</t>
  </si>
  <si>
    <t>正常开间</t>
  </si>
  <si>
    <t>正常一居室</t>
  </si>
  <si>
    <t>两居室</t>
  </si>
  <si>
    <t>1F</t>
  </si>
  <si>
    <t>&gt;18</t>
  </si>
  <si>
    <t>&gt;20㎡</t>
  </si>
  <si>
    <t>&gt;28㎡</t>
  </si>
  <si>
    <t>&gt;45㎡</t>
  </si>
  <si>
    <t>2F</t>
  </si>
  <si>
    <t>15-18㎡</t>
  </si>
  <si>
    <t>17-20㎡</t>
  </si>
  <si>
    <t>26-28㎡</t>
  </si>
  <si>
    <t>40-45㎡</t>
  </si>
  <si>
    <t>3F</t>
  </si>
  <si>
    <t>11-15㎡</t>
  </si>
  <si>
    <t>13-17㎡</t>
  </si>
  <si>
    <t>23-26㎡</t>
  </si>
  <si>
    <t>35-40㎡</t>
  </si>
  <si>
    <t>4F</t>
  </si>
  <si>
    <t>9-11㎡</t>
  </si>
  <si>
    <t>10-13㎡</t>
  </si>
  <si>
    <t>20-23㎡</t>
  </si>
  <si>
    <t>30-35㎡</t>
  </si>
  <si>
    <t>5F</t>
  </si>
  <si>
    <t>&lt;9㎡</t>
  </si>
  <si>
    <t>&lt;10㎡</t>
  </si>
  <si>
    <t>&lt;20㎡</t>
  </si>
  <si>
    <t>&lt;30㎡</t>
  </si>
  <si>
    <t>6F</t>
  </si>
  <si>
    <t>7F</t>
  </si>
  <si>
    <t>8F</t>
  </si>
  <si>
    <t>9F</t>
  </si>
  <si>
    <t>电梯房楼层</t>
  </si>
  <si>
    <t>2-3F</t>
  </si>
  <si>
    <t>5-6F</t>
  </si>
  <si>
    <t>7-8F</t>
  </si>
  <si>
    <t>9-10F</t>
  </si>
  <si>
    <t>11-12F</t>
  </si>
  <si>
    <t>13以上F</t>
  </si>
  <si>
    <t>功能配置（开间）</t>
  </si>
  <si>
    <t>缺失</t>
  </si>
  <si>
    <t>缺失（书桌）</t>
  </si>
  <si>
    <t>缺失（操作台）</t>
  </si>
  <si>
    <t>充足（油烟机/双人沙发）</t>
  </si>
  <si>
    <t>充足（单人沙发/餐桌）</t>
  </si>
  <si>
    <t>非常充足</t>
  </si>
  <si>
    <t>采光</t>
  </si>
  <si>
    <t>根据采光模型</t>
  </si>
  <si>
    <t>功能配置（一居）</t>
  </si>
  <si>
    <t>缺失（操作台/双人沙发）</t>
  </si>
  <si>
    <t>各格局功能分档说明</t>
  </si>
  <si>
    <t>开间（含窄床）</t>
  </si>
  <si>
    <t>缺失（餐桌）</t>
  </si>
  <si>
    <t>无操作台或无书桌</t>
  </si>
  <si>
    <t>沙发/餐桌/操作台任意缺一</t>
  </si>
  <si>
    <t>缺失沙发、餐桌、操作台、电视柜</t>
  </si>
  <si>
    <t>操作台+书桌</t>
  </si>
  <si>
    <t>沙发+餐桌+操作台</t>
  </si>
  <si>
    <t>沙发+餐桌+操作台+电视柜</t>
  </si>
  <si>
    <t>充配（书桌）</t>
  </si>
  <si>
    <t>充足</t>
  </si>
  <si>
    <t>操作台+书桌+沙发/餐桌</t>
  </si>
  <si>
    <t>沙发+餐桌+操作台+电视柜/卧室书桌</t>
  </si>
  <si>
    <t>客厅（沙发、餐桌、茶几、电视柜、油烟机/冰箱）</t>
  </si>
  <si>
    <t>充配（油烟机）</t>
  </si>
  <si>
    <t>操作台+书桌+沙发+餐桌</t>
  </si>
  <si>
    <t>沙发+餐桌+操作台+厨房（含油烟机）</t>
  </si>
  <si>
    <t>充足+油烟机+冰箱</t>
  </si>
  <si>
    <t>非常充配</t>
  </si>
  <si>
    <t>功能配置（二居）</t>
  </si>
  <si>
    <t>缺失（沙发/餐桌）</t>
  </si>
  <si>
    <t>缺失（电视柜/操作台）</t>
  </si>
  <si>
    <t>充配（油烟机/冰箱）</t>
  </si>
  <si>
    <t>公交站步行距离</t>
  </si>
  <si>
    <t>&lt;0.5km</t>
  </si>
  <si>
    <t>从定价因子中剔除，正常收集标签</t>
  </si>
  <si>
    <t>0.5~1km</t>
  </si>
  <si>
    <t>1~1.5km</t>
  </si>
  <si>
    <t>&gt;1.5km</t>
  </si>
  <si>
    <t>视野</t>
  </si>
  <si>
    <t>很好</t>
  </si>
  <si>
    <t>如：窗前有水景、山景、花园等</t>
  </si>
  <si>
    <t>较好</t>
  </si>
  <si>
    <t>如：视野开阔，无遮挡</t>
  </si>
  <si>
    <t>看的是邻栋楼</t>
  </si>
  <si>
    <t>差</t>
  </si>
  <si>
    <t>如：窗前有垃圾站、烂尾建筑等</t>
  </si>
  <si>
    <t>噪音影响度</t>
  </si>
  <si>
    <t>如：马路行车、商业喧嚣等（主要考虑噪音发生时间是否客户经常在家，如：早晨、夜间、周末；相邻马路车流量、隔音情况等）</t>
  </si>
  <si>
    <t>小</t>
  </si>
  <si>
    <t>中</t>
  </si>
  <si>
    <t>大</t>
  </si>
  <si>
    <t>污染</t>
  </si>
  <si>
    <t>如:臭气等</t>
  </si>
  <si>
    <t>村</t>
  </si>
  <si>
    <t>马蹄山村</t>
  </si>
  <si>
    <t>禾坪岗村</t>
  </si>
  <si>
    <t>中心围村</t>
  </si>
  <si>
    <t>白石龙老村</t>
  </si>
  <si>
    <t>东边新村</t>
  </si>
  <si>
    <t>陶吓新村</t>
  </si>
  <si>
    <t>元芬新村</t>
  </si>
  <si>
    <t>塘水围二区</t>
  </si>
  <si>
    <t>三合华侨新村</t>
  </si>
  <si>
    <t>谭罗华侨新村</t>
  </si>
  <si>
    <t>下早新村</t>
  </si>
  <si>
    <t>赤岭头村</t>
  </si>
  <si>
    <t>弓村</t>
  </si>
  <si>
    <t>东泉新村</t>
  </si>
  <si>
    <t>逸秀新村</t>
  </si>
  <si>
    <t>白石龙一区</t>
  </si>
  <si>
    <t>白石龙二区</t>
  </si>
  <si>
    <t>福围广生</t>
  </si>
  <si>
    <t>新和一区</t>
  </si>
  <si>
    <t>新和二区</t>
  </si>
  <si>
    <t>31区水口花园</t>
  </si>
  <si>
    <t>后亭村</t>
  </si>
  <si>
    <t>兴围村</t>
  </si>
  <si>
    <t>马山小区</t>
  </si>
  <si>
    <t>东方二街</t>
  </si>
  <si>
    <t>永丰八区</t>
  </si>
  <si>
    <t>瓦窑头</t>
  </si>
  <si>
    <t>福永新村</t>
  </si>
  <si>
    <t>三合新二村</t>
  </si>
  <si>
    <t>后瑞村</t>
  </si>
  <si>
    <t>芳华</t>
  </si>
  <si>
    <t>洪田</t>
  </si>
  <si>
    <t>望牛亭</t>
  </si>
  <si>
    <t>龙腾阁</t>
  </si>
  <si>
    <t>石龙头村</t>
  </si>
  <si>
    <t>咸田</t>
  </si>
  <si>
    <t>裕华园</t>
  </si>
  <si>
    <t>翠岗</t>
  </si>
  <si>
    <t>聚福园小区</t>
  </si>
  <si>
    <t>沙嘴村</t>
  </si>
  <si>
    <t>上沙塘晏村</t>
  </si>
  <si>
    <t>新狮村</t>
  </si>
  <si>
    <t>石厦西村</t>
  </si>
  <si>
    <t>上沙龙秋村</t>
  </si>
  <si>
    <t>流塘旧村</t>
  </si>
  <si>
    <t>清湖新村</t>
  </si>
  <si>
    <t>桥头新村</t>
  </si>
  <si>
    <t>玻璃围</t>
  </si>
  <si>
    <t>和顺新村</t>
  </si>
  <si>
    <t>坳下村</t>
  </si>
  <si>
    <t>上沙椰树村</t>
  </si>
  <si>
    <t>上沙东村</t>
  </si>
  <si>
    <t>新洲南村</t>
  </si>
  <si>
    <t>新洲中心村</t>
  </si>
  <si>
    <t>鹤州西区</t>
  </si>
  <si>
    <t>鹤州旧村</t>
  </si>
  <si>
    <t>安乐42区</t>
  </si>
  <si>
    <t>鹤洲新村</t>
  </si>
  <si>
    <t>上梅林新村</t>
  </si>
  <si>
    <t>新兴村</t>
  </si>
  <si>
    <t>塘尾村</t>
  </si>
  <si>
    <t>鹊山新村</t>
  </si>
  <si>
    <t>下横朗新村</t>
  </si>
  <si>
    <t>创业花园</t>
  </si>
  <si>
    <t>龙胜村</t>
  </si>
  <si>
    <t>鹤洲东区</t>
  </si>
  <si>
    <t>上沙村</t>
  </si>
  <si>
    <t>下沙五坊</t>
  </si>
  <si>
    <t>下沙六坊</t>
  </si>
  <si>
    <t>下沙七坊</t>
  </si>
  <si>
    <t>下沙八坊</t>
  </si>
  <si>
    <t>罗租村</t>
  </si>
  <si>
    <t>应人石</t>
  </si>
  <si>
    <t>新和西</t>
  </si>
  <si>
    <t>新和东</t>
  </si>
  <si>
    <t>塘下涌</t>
  </si>
  <si>
    <t>巴登村</t>
  </si>
  <si>
    <t>黄贝岭</t>
  </si>
  <si>
    <t>荔园村</t>
  </si>
  <si>
    <t>石厦东村</t>
  </si>
  <si>
    <t>径贝新村</t>
  </si>
  <si>
    <t>劳动二队东区</t>
  </si>
  <si>
    <t>麻布新村</t>
  </si>
  <si>
    <t>轻铁花园</t>
  </si>
  <si>
    <t>27区裕安新苑</t>
  </si>
  <si>
    <t>32区上川五片</t>
  </si>
  <si>
    <t>74区布心二村</t>
  </si>
  <si>
    <t>成本</t>
  </si>
  <si>
    <t>实际</t>
  </si>
  <si>
    <t>收楼坪效</t>
  </si>
  <si>
    <t>标准成本坪效</t>
  </si>
  <si>
    <t>挂牌坪效</t>
  </si>
  <si>
    <t>签约坪效</t>
  </si>
  <si>
    <t>总面积</t>
  </si>
  <si>
    <t>宝安永丰八区</t>
  </si>
  <si>
    <t>赤岭头新村</t>
  </si>
  <si>
    <t>东边坑</t>
  </si>
  <si>
    <t>桥荣路</t>
  </si>
  <si>
    <t>小区（村）</t>
  </si>
  <si>
    <t>楼栋号</t>
  </si>
  <si>
    <t>福永一队9-16栋</t>
  </si>
  <si>
    <t>楼栋基本画像</t>
  </si>
  <si>
    <t>屋面晾晒区</t>
  </si>
  <si>
    <t>电梯</t>
  </si>
  <si>
    <t>格局</t>
  </si>
  <si>
    <t>公寓楼层</t>
  </si>
  <si>
    <t>总销售单元数</t>
  </si>
  <si>
    <t>标准层单元数</t>
  </si>
  <si>
    <t>开间均价</t>
  </si>
  <si>
    <t>一居均价</t>
  </si>
  <si>
    <t>单元均价</t>
  </si>
  <si>
    <t>开间均面积</t>
  </si>
  <si>
    <t>一居室均面积</t>
  </si>
  <si>
    <t>标准层面积</t>
  </si>
  <si>
    <t>公寓面积</t>
  </si>
  <si>
    <t>月租金</t>
  </si>
  <si>
    <t>村公寓面积</t>
  </si>
  <si>
    <t>是</t>
  </si>
  <si>
    <t>否</t>
  </si>
  <si>
    <t>审批标准</t>
  </si>
  <si>
    <t>成本线指标</t>
  </si>
  <si>
    <t>楼栋成本线</t>
  </si>
  <si>
    <t>收楼成本单价</t>
  </si>
  <si>
    <t>成本标准单价</t>
  </si>
  <si>
    <t>定价坪效</t>
  </si>
  <si>
    <t>收楼溢价率</t>
  </si>
  <si>
    <t>成本溢价率</t>
  </si>
  <si>
    <t>check</t>
  </si>
  <si>
    <t>村成本线</t>
  </si>
  <si>
    <t>收楼成本均价</t>
  </si>
  <si>
    <t>成本标准均价</t>
  </si>
  <si>
    <t>项目整体定价坪效</t>
  </si>
  <si>
    <t>竞争线指标</t>
  </si>
  <si>
    <t>村竞争线</t>
  </si>
  <si>
    <t>项目</t>
  </si>
  <si>
    <t>标签属性</t>
  </si>
  <si>
    <t>挂牌均价</t>
  </si>
  <si>
    <t>签约均价</t>
  </si>
  <si>
    <t>本楼栋同标签定价均价</t>
  </si>
  <si>
    <t>模型线指标</t>
  </si>
  <si>
    <t>房间模型线</t>
  </si>
  <si>
    <t>房间偏差最小值</t>
  </si>
  <si>
    <t>房间偏差最大值</t>
  </si>
  <si>
    <t>楼栋模型线</t>
  </si>
  <si>
    <t>模型均价</t>
  </si>
  <si>
    <t>定价均价</t>
  </si>
  <si>
    <t xml:space="preserve"> </t>
  </si>
  <si>
    <t>楼栋号：</t>
  </si>
  <si>
    <t>A28栋</t>
  </si>
  <si>
    <t>房源基本画像</t>
  </si>
  <si>
    <t>公区</t>
  </si>
  <si>
    <t>开间&amp;一居室</t>
  </si>
  <si>
    <t>收楼-楼梯（元/㎡）</t>
  </si>
  <si>
    <t>收楼-电梯(元/㎡）</t>
  </si>
  <si>
    <t>成本坪效
（含建设按出租率96%）</t>
  </si>
  <si>
    <t>坪效</t>
  </si>
  <si>
    <t>成本坪效=（收入成本+建设成本）/ 96%</t>
  </si>
  <si>
    <t>属性</t>
  </si>
  <si>
    <t>挂牌价</t>
  </si>
  <si>
    <t>同房型对比</t>
  </si>
  <si>
    <t>元芬村</t>
  </si>
  <si>
    <t>10-15平</t>
  </si>
  <si>
    <t>标配</t>
  </si>
  <si>
    <t>无电梯</t>
  </si>
  <si>
    <t>无阳台</t>
  </si>
  <si>
    <t>15-20平</t>
  </si>
  <si>
    <t>20-25平</t>
  </si>
  <si>
    <t>成本线</t>
  </si>
  <si>
    <t>单楼栋</t>
  </si>
  <si>
    <t>全项目</t>
  </si>
  <si>
    <t>单位</t>
  </si>
  <si>
    <t>数值</t>
  </si>
  <si>
    <t>租金成本坪效</t>
  </si>
  <si>
    <t>元/㎡/月</t>
  </si>
  <si>
    <t>单元平均面积</t>
  </si>
  <si>
    <t>㎡/单元</t>
  </si>
  <si>
    <t>单位面积装修成本</t>
  </si>
  <si>
    <t>元/㎡</t>
  </si>
  <si>
    <t>装修线性折旧年限</t>
  </si>
  <si>
    <t>年</t>
  </si>
  <si>
    <t>稳定出租率</t>
  </si>
  <si>
    <t>%</t>
  </si>
  <si>
    <t>成本法基准价</t>
  </si>
  <si>
    <t>元/单元/月</t>
  </si>
  <si>
    <t>成本法权重</t>
  </si>
  <si>
    <t>市场法基准价</t>
  </si>
  <si>
    <t>市场法权重</t>
  </si>
  <si>
    <t>基准价条件</t>
  </si>
  <si>
    <t>地铁站步行距离</t>
  </si>
  <si>
    <t>公区步行距离</t>
  </si>
  <si>
    <t>噪音</t>
  </si>
  <si>
    <t>4楼有无电梯</t>
  </si>
  <si>
    <t>梯户比</t>
  </si>
  <si>
    <t>楼栋外观</t>
  </si>
  <si>
    <t>户型</t>
  </si>
  <si>
    <t>功能</t>
  </si>
  <si>
    <t>普通开间基准价</t>
  </si>
  <si>
    <t>元/套</t>
  </si>
  <si>
    <t>0~0.2km</t>
  </si>
  <si>
    <t>5~8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</si>
  <si>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楼</t>
    </r>
  </si>
  <si>
    <t>高架床/窄床开间基准价</t>
  </si>
  <si>
    <t>普通1居基准价</t>
  </si>
  <si>
    <t>客厅功能性弱的1居基准价</t>
  </si>
  <si>
    <t>LOFT基准价</t>
  </si>
  <si>
    <t>2居基准价</t>
  </si>
  <si>
    <t>2人间宿舍基准价</t>
  </si>
  <si>
    <t>运营中心</t>
  </si>
  <si>
    <t>营销中心</t>
  </si>
  <si>
    <r>
      <rPr>
        <b/>
        <sz val="10"/>
        <color rgb="FFFFFFFF"/>
        <rFont val="Arial"/>
        <charset val="134"/>
      </rPr>
      <t>4</t>
    </r>
    <r>
      <rPr>
        <b/>
        <sz val="10"/>
        <color indexed="9"/>
        <rFont val="宋体"/>
        <charset val="134"/>
      </rPr>
      <t>楼有无电梯</t>
    </r>
  </si>
  <si>
    <t>基准条件</t>
  </si>
  <si>
    <t>相对优</t>
  </si>
  <si>
    <t>优</t>
  </si>
  <si>
    <r>
      <rPr>
        <sz val="10"/>
        <rFont val="宋体"/>
        <charset val="134"/>
      </rPr>
      <t>较宽敞</t>
    </r>
  </si>
  <si>
    <t>相对差</t>
  </si>
  <si>
    <t>差异率</t>
  </si>
  <si>
    <t>0.2~0.5km</t>
  </si>
  <si>
    <t>&gt;8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</si>
  <si>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楼</t>
    </r>
  </si>
  <si>
    <t>V59-406</t>
  </si>
  <si>
    <t>定价租金</t>
  </si>
  <si>
    <t>较差</t>
  </si>
  <si>
    <t>模型租金</t>
  </si>
  <si>
    <t>N258-305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</si>
  <si>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楼</t>
    </r>
  </si>
  <si>
    <t>好</t>
  </si>
  <si>
    <t>T78-1404</t>
  </si>
  <si>
    <t>楼内</t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</si>
  <si>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楼</t>
    </r>
  </si>
  <si>
    <t>V20-410</t>
  </si>
  <si>
    <t>V17-105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</si>
  <si>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楼</t>
    </r>
  </si>
  <si>
    <t>很差</t>
  </si>
  <si>
    <t>V17-104</t>
  </si>
  <si>
    <t>X20-1020</t>
  </si>
  <si>
    <t>&gt;0.5km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</si>
  <si>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楼</t>
    </r>
  </si>
  <si>
    <t>X20-1001</t>
  </si>
  <si>
    <t>非常狭小</t>
  </si>
  <si>
    <t>非常缺失</t>
  </si>
  <si>
    <t>T78-815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</si>
  <si>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楼</t>
    </r>
  </si>
  <si>
    <t>高架</t>
  </si>
  <si>
    <t>V21-301</t>
  </si>
  <si>
    <t>超大</t>
  </si>
  <si>
    <t>V46-204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</si>
  <si>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楼</t>
    </r>
  </si>
  <si>
    <t>V46-304</t>
  </si>
  <si>
    <t>V17-301</t>
  </si>
  <si>
    <t>弱1居</t>
  </si>
  <si>
    <t>T78-1401</t>
  </si>
  <si>
    <t>V46-606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</si>
  <si>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楼</t>
    </r>
  </si>
  <si>
    <t>V60-504</t>
  </si>
  <si>
    <t>V19-505</t>
  </si>
  <si>
    <t>V60-303</t>
  </si>
  <si>
    <t>T133-505</t>
  </si>
  <si>
    <t>N248-306</t>
  </si>
  <si>
    <t>V43-1101</t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</si>
  <si>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楼</t>
    </r>
  </si>
  <si>
    <t>对标T133-505</t>
  </si>
  <si>
    <t>V21-304</t>
  </si>
  <si>
    <t>V20-404</t>
  </si>
  <si>
    <t>合计</t>
  </si>
  <si>
    <t>调价系数</t>
  </si>
  <si>
    <t>李晓阳</t>
  </si>
  <si>
    <t>姚欢</t>
  </si>
  <si>
    <t>孙铭馗</t>
  </si>
  <si>
    <t>王漫柔</t>
  </si>
  <si>
    <t>邓彬彬</t>
  </si>
  <si>
    <t>胡文竹</t>
  </si>
  <si>
    <t>贾矿营</t>
  </si>
  <si>
    <t>戚梓茵</t>
  </si>
  <si>
    <t>庹凯</t>
  </si>
  <si>
    <t>四楼有无电梯</t>
  </si>
  <si>
    <t>楼栋</t>
  </si>
  <si>
    <t>基准格局基准价</t>
  </si>
  <si>
    <t>调价倍数1</t>
  </si>
  <si>
    <t>调价倍数2</t>
  </si>
  <si>
    <t>基准格局定价</t>
  </si>
  <si>
    <t>仅需填写绿色部分，其余部分自动带出</t>
  </si>
  <si>
    <t>房间号</t>
  </si>
  <si>
    <t>房间窗户数量（不含卫生间窗户）</t>
  </si>
  <si>
    <t>阳台数量</t>
  </si>
  <si>
    <t>阳台面积（有阳台填写）</t>
  </si>
  <si>
    <t>窗户遮挡数量</t>
  </si>
  <si>
    <t>采光判断</t>
  </si>
  <si>
    <t>有无玄关</t>
  </si>
  <si>
    <t>窗户遮挡填写标准</t>
  </si>
  <si>
    <t>情况</t>
  </si>
  <si>
    <t>填写值</t>
  </si>
  <si>
    <t>窗户所面对的完全无楼栋或楼间距＞10米</t>
  </si>
  <si>
    <t>窗户对面有楼</t>
  </si>
  <si>
    <t>1-4楼窗户所对楼间距＞3米</t>
  </si>
  <si>
    <t>4楼以上窗户所对楼间距＞2米</t>
  </si>
  <si>
    <t>1-4楼窗户所对楼间距＜3米</t>
  </si>
  <si>
    <t>1*窗户遮挡数量</t>
  </si>
  <si>
    <t>4楼以上窗户所对楼间距＜2米</t>
  </si>
  <si>
    <t>以下规格，窗户数按0.5算</t>
  </si>
  <si>
    <t>以下规格，窗户数按1算</t>
  </si>
  <si>
    <t>以下规格，按窗户数2计算</t>
  </si>
  <si>
    <t>标准层1</t>
  </si>
  <si>
    <t>标准层2</t>
  </si>
  <si>
    <t>标准层3</t>
  </si>
  <si>
    <t>标准层4</t>
  </si>
  <si>
    <t>标准层5</t>
  </si>
  <si>
    <t>标准层6</t>
  </si>
  <si>
    <t>套内面积</t>
  </si>
  <si>
    <t>调价倍数3</t>
  </si>
  <si>
    <t>调价倍数4</t>
  </si>
  <si>
    <t>操作台</t>
  </si>
  <si>
    <t>书桌</t>
  </si>
  <si>
    <t>单人沙发</t>
  </si>
  <si>
    <t>双人沙发</t>
  </si>
  <si>
    <t>餐桌</t>
  </si>
  <si>
    <t>吸油烟机</t>
  </si>
  <si>
    <t>冰箱</t>
  </si>
  <si>
    <t>电视柜</t>
  </si>
  <si>
    <t>调价倍数5</t>
  </si>
  <si>
    <t>调价倍数6</t>
  </si>
  <si>
    <t>调价倍数7</t>
  </si>
  <si>
    <t>调价倍数8</t>
  </si>
  <si>
    <t>房间模型价</t>
  </si>
  <si>
    <t>实际定价</t>
  </si>
  <si>
    <t>差距</t>
  </si>
  <si>
    <t>A</t>
  </si>
  <si>
    <t>B</t>
  </si>
  <si>
    <t/>
  </si>
  <si>
    <t>C</t>
  </si>
  <si>
    <t>找不到的三类去资产项里查找一下对应的一类和二类名称，需要对应改</t>
  </si>
  <si>
    <t>全部下拉，有公式</t>
  </si>
  <si>
    <t>下拉，有公式</t>
  </si>
  <si>
    <t>公寓房间资产表</t>
  </si>
  <si>
    <t>小区名</t>
  </si>
  <si>
    <t>楼栋名</t>
  </si>
  <si>
    <t>户型名称</t>
  </si>
  <si>
    <t>空间位置</t>
  </si>
  <si>
    <t>一类</t>
  </si>
  <si>
    <t>二类</t>
  </si>
  <si>
    <t>三类</t>
  </si>
  <si>
    <t>辅助列（核对版删除）</t>
  </si>
  <si>
    <t>资产项</t>
  </si>
  <si>
    <t>核对版删除</t>
  </si>
  <si>
    <t>品牌</t>
  </si>
  <si>
    <t>规格型号</t>
  </si>
  <si>
    <t>供应商</t>
  </si>
  <si>
    <t>数量</t>
  </si>
  <si>
    <t>采购价格</t>
  </si>
  <si>
    <t>备注（系统已同步修改）</t>
  </si>
  <si>
    <t>调整</t>
  </si>
  <si>
    <t>此行为公式辅助行，请勿删除，右侧#N/A表示有公式</t>
  </si>
  <si>
    <t>_</t>
  </si>
  <si>
    <t>福永一队</t>
  </si>
  <si>
    <t>9-16栋</t>
  </si>
  <si>
    <t>门口</t>
  </si>
  <si>
    <t>门窗</t>
  </si>
  <si>
    <t>入户门</t>
  </si>
  <si>
    <t>入户门01木门</t>
  </si>
  <si>
    <t>入户门01木门_/</t>
  </si>
  <si>
    <t>/</t>
  </si>
  <si>
    <t>含门吸、猫眼、门把手、防火条、隔音条</t>
  </si>
  <si>
    <t>樘</t>
  </si>
  <si>
    <t>智能门锁</t>
  </si>
  <si>
    <t>智能门锁01</t>
  </si>
  <si>
    <t>智能门锁01_/</t>
  </si>
  <si>
    <t>TWNB-LOCK-06</t>
  </si>
  <si>
    <t>把</t>
  </si>
  <si>
    <t>标识</t>
  </si>
  <si>
    <t>门牌号</t>
  </si>
  <si>
    <t>门牌号01</t>
  </si>
  <si>
    <t>门牌号01_/</t>
  </si>
  <si>
    <t>180*100mm</t>
  </si>
  <si>
    <t>个</t>
  </si>
  <si>
    <t>公告栏</t>
  </si>
  <si>
    <t>户内公告栏01</t>
  </si>
  <si>
    <t>户内公告栏01_/</t>
  </si>
  <si>
    <t>215*305mm</t>
  </si>
  <si>
    <t>卧室1</t>
  </si>
  <si>
    <t>消防</t>
  </si>
  <si>
    <t>灭火器</t>
  </si>
  <si>
    <t>灭火器01</t>
  </si>
  <si>
    <t>灭火器01_/</t>
  </si>
  <si>
    <t>2kg,房间用</t>
  </si>
  <si>
    <t>家具</t>
  </si>
  <si>
    <t>鞋柜</t>
  </si>
  <si>
    <t>鞋柜01</t>
  </si>
  <si>
    <t>鞋柜01_/</t>
  </si>
  <si>
    <t>600宽铁艺</t>
  </si>
  <si>
    <t>床</t>
  </si>
  <si>
    <t>标准床01-1.5m宽</t>
  </si>
  <si>
    <t>标准床01-1.5m宽_/</t>
  </si>
  <si>
    <t>张</t>
  </si>
  <si>
    <t>床垫</t>
  </si>
  <si>
    <t>床垫01-1.5m</t>
  </si>
  <si>
    <t>床垫01-1.5m_/</t>
  </si>
  <si>
    <t>衣柜</t>
  </si>
  <si>
    <t>衣柜02-通用有冰箱</t>
  </si>
  <si>
    <t>衣柜01-通用无冰箱_/</t>
  </si>
  <si>
    <t>1050*500*2000mm，YG_10无冰箱位</t>
  </si>
  <si>
    <t>电器</t>
  </si>
  <si>
    <t>空调</t>
  </si>
  <si>
    <t>冷暖空调01-1p</t>
  </si>
  <si>
    <t>冷暖空调01-1p_/</t>
  </si>
  <si>
    <t>遥控器</t>
  </si>
  <si>
    <t>空调遥控器01</t>
  </si>
  <si>
    <t>空调遥控器01_/</t>
  </si>
  <si>
    <t>配套遥控器</t>
  </si>
  <si>
    <t>灯具</t>
  </si>
  <si>
    <t>吸顶灯</t>
  </si>
  <si>
    <t>吸顶灯01</t>
  </si>
  <si>
    <t>吸顶灯01_/</t>
  </si>
  <si>
    <t>规格：直径30cm</t>
  </si>
  <si>
    <t>烟感</t>
  </si>
  <si>
    <t>烟感01</t>
  </si>
  <si>
    <t>烟感01_/</t>
  </si>
  <si>
    <t>-</t>
  </si>
  <si>
    <t>强电</t>
  </si>
  <si>
    <t>户内箱</t>
  </si>
  <si>
    <t>户内配电箱01</t>
  </si>
  <si>
    <t>户内配电箱01_/</t>
  </si>
  <si>
    <t>AL1</t>
  </si>
  <si>
    <t>网络收纳盒</t>
  </si>
  <si>
    <t>网络收纳盒01</t>
  </si>
  <si>
    <t>网络收纳盒01_/</t>
  </si>
  <si>
    <t>网络</t>
  </si>
  <si>
    <t>光猫</t>
  </si>
  <si>
    <t>光猫01</t>
  </si>
  <si>
    <t>光猫01_/</t>
  </si>
  <si>
    <t>试衣镜</t>
  </si>
  <si>
    <t>试衣镜01</t>
  </si>
  <si>
    <t>试衣镜01_/</t>
  </si>
  <si>
    <t>40*140cm</t>
  </si>
  <si>
    <t>窗</t>
  </si>
  <si>
    <t>窗户02磨砂</t>
  </si>
  <si>
    <t>窗户01清玻_/</t>
  </si>
  <si>
    <t>标准窗户，带固定页</t>
  </si>
  <si>
    <t>扇</t>
  </si>
  <si>
    <t>软装装饰</t>
  </si>
  <si>
    <t>窗帘</t>
  </si>
  <si>
    <t>布帘01</t>
  </si>
  <si>
    <t>卷帘01_/</t>
  </si>
  <si>
    <t>尺寸根据现场定制</t>
  </si>
  <si>
    <t>平米</t>
  </si>
  <si>
    <t>卷帘01</t>
  </si>
  <si>
    <t>布帘01_/</t>
  </si>
  <si>
    <t>件</t>
  </si>
  <si>
    <t>操作台03洗衣机1.2m</t>
  </si>
  <si>
    <t>镜子01_/</t>
  </si>
  <si>
    <t>钢化玻璃，385mm宽*600mm高，周边磨边</t>
  </si>
  <si>
    <t>面</t>
  </si>
  <si>
    <t>等电位箱</t>
  </si>
  <si>
    <t>等电位箱01</t>
  </si>
  <si>
    <t>镜前灯01_/</t>
  </si>
  <si>
    <t>长38.5*高3
.8*进深5.5cm,功率
7w,色湿4200K</t>
  </si>
  <si>
    <t>书桌02带挡板0.9m</t>
  </si>
  <si>
    <t>操作台02洗衣机1.6m_/</t>
  </si>
  <si>
    <t>套</t>
  </si>
  <si>
    <t>椅子</t>
  </si>
  <si>
    <t>椅子01配书桌</t>
  </si>
  <si>
    <t>等电位箱01_/</t>
  </si>
  <si>
    <t>晾衣架</t>
  </si>
  <si>
    <t>墙上/天花晾衣杆</t>
  </si>
  <si>
    <t>书桌02带挡板0.9m_/</t>
  </si>
  <si>
    <t>900宽1350高</t>
  </si>
  <si>
    <t>整体卫浴</t>
  </si>
  <si>
    <t>卫生间门</t>
  </si>
  <si>
    <t>整体卫浴卫生间门01</t>
  </si>
  <si>
    <t>椅子01配书桌_/</t>
  </si>
  <si>
    <t>440*430*750mm</t>
  </si>
  <si>
    <t>排风扇</t>
  </si>
  <si>
    <t>整体卫浴排风扇01</t>
  </si>
  <si>
    <t>墙上/天花晾衣杆_/</t>
  </si>
  <si>
    <t>根</t>
  </si>
  <si>
    <t>镜子</t>
  </si>
  <si>
    <t>整体卫浴镜子01</t>
  </si>
  <si>
    <t>沙发01单人_/</t>
  </si>
  <si>
    <t>厨卫灯</t>
  </si>
  <si>
    <t>整体卫浴厨卫灯01</t>
  </si>
  <si>
    <t>茶几01圆形_/</t>
  </si>
  <si>
    <t>Φ400*450（圆形）</t>
  </si>
  <si>
    <t>卫浴五金</t>
  </si>
  <si>
    <t>淋浴器</t>
  </si>
  <si>
    <t>整体卫浴淋浴手持花洒01</t>
  </si>
  <si>
    <t>卫生间门01_/</t>
  </si>
  <si>
    <t>铝镁合金门</t>
  </si>
  <si>
    <t>马桶</t>
  </si>
  <si>
    <t>整体卫浴坐便器01</t>
  </si>
  <si>
    <t>嵌入式厨卫灯01_/</t>
  </si>
  <si>
    <t>300*300mm,10W</t>
  </si>
  <si>
    <t>毛巾架</t>
  </si>
  <si>
    <t>整体卫浴毛巾架01</t>
  </si>
  <si>
    <t>淋浴手持花洒01_/</t>
  </si>
  <si>
    <t>混水器
无下出水嘴，无升降
杆，304不锈钢-</t>
  </si>
  <si>
    <t>热水器</t>
  </si>
  <si>
    <t>电热水器01-40L</t>
  </si>
  <si>
    <t>坐便器01_/</t>
  </si>
  <si>
    <t>长590mm*宽
370mm*高720mm</t>
  </si>
  <si>
    <t>功能标识</t>
  </si>
  <si>
    <t>防水贴纸</t>
  </si>
  <si>
    <t>毛巾架01_/</t>
  </si>
  <si>
    <t>80mm*600mm</t>
  </si>
  <si>
    <t>洗手盆</t>
  </si>
  <si>
    <t>整体卫浴悬挂式洗手盆01</t>
  </si>
  <si>
    <t>电热水器01-40L_/</t>
  </si>
  <si>
    <t>40L-D40-HK3</t>
  </si>
  <si>
    <t>台</t>
  </si>
  <si>
    <t>浴篮</t>
  </si>
  <si>
    <t>整体卫浴三角浴篮01</t>
  </si>
  <si>
    <t>防水贴纸_/</t>
  </si>
  <si>
    <t>100*150机房、管井、设备
、警示、热水器开关、监控区域)</t>
  </si>
  <si>
    <t>纸巾架</t>
  </si>
  <si>
    <t>整体卫浴纸巾架01</t>
  </si>
  <si>
    <t>三角浴篮01_/</t>
  </si>
  <si>
    <t>半径220mm高120mm</t>
  </si>
  <si>
    <t>纸巾架01_/</t>
  </si>
  <si>
    <t>130H*150L*130W</t>
  </si>
  <si>
    <t>窗户02磨砂_/</t>
  </si>
  <si>
    <t>磨砂窗户，用于首层公寓</t>
  </si>
  <si>
    <t>书桌01无挡板0.9m</t>
  </si>
  <si>
    <t>整体卫浴卫生间门01_/</t>
  </si>
  <si>
    <t>700*2000mm，含门锁、结构胶及门套门框，铝合金门框尺寸</t>
  </si>
  <si>
    <t>整体卫浴排风扇01_/</t>
  </si>
  <si>
    <t>含排风管</t>
  </si>
  <si>
    <t>整体卫浴镜子01_/</t>
  </si>
  <si>
    <t>400*600mm,厚度5mm</t>
  </si>
  <si>
    <t>整体卫浴厨卫灯01_/</t>
  </si>
  <si>
    <t>整体卫浴淋浴手持花洒01_/</t>
  </si>
  <si>
    <t>单把挂墙 不锈钢（两个座）</t>
  </si>
  <si>
    <t>整体卫浴坐便器01_/</t>
  </si>
  <si>
    <t>连体顶按</t>
  </si>
  <si>
    <t>整体卫浴毛巾架01_/</t>
  </si>
  <si>
    <t>L=400mm,不锈钢</t>
  </si>
  <si>
    <t>整体卫浴悬挂式洗手盆01_/</t>
  </si>
  <si>
    <t>L=1000mm(SMC)</t>
  </si>
  <si>
    <t>整体卫浴三角浴篮01_/</t>
  </si>
  <si>
    <t>不锈钢</t>
  </si>
  <si>
    <t>整体卫浴纸巾架01_/</t>
  </si>
  <si>
    <t>衣柜01-通用无冰箱</t>
  </si>
  <si>
    <t>筒灯01_/</t>
  </si>
  <si>
    <t>6W（直径90mm,3300K）</t>
  </si>
  <si>
    <t>D</t>
  </si>
  <si>
    <t>沙发02两人_/</t>
  </si>
  <si>
    <t>茶几03一大一小_/</t>
  </si>
  <si>
    <t>Φ550*450,Φ400*400（一大一小款圆形茶几，一白一黄）</t>
  </si>
  <si>
    <t>组</t>
  </si>
  <si>
    <t>两人餐桌01正方形_/</t>
  </si>
  <si>
    <t>600*600*750</t>
  </si>
  <si>
    <t>窗户01清玻</t>
  </si>
  <si>
    <t>椅子02配餐桌_/</t>
  </si>
  <si>
    <t>520*480*760</t>
  </si>
  <si>
    <t>吸油烟机01-斜板式_/</t>
  </si>
  <si>
    <t>705*440*630mm</t>
  </si>
  <si>
    <t>房间门01_/</t>
  </si>
  <si>
    <t>含门吸、门锁、钥匙、把手，尺寸根据现场</t>
  </si>
  <si>
    <t>E</t>
  </si>
  <si>
    <t>电热水器02-60L_/</t>
  </si>
  <si>
    <t>60L，F60-A20GA2(H)</t>
  </si>
  <si>
    <t>F</t>
  </si>
  <si>
    <t>1层楼道公区</t>
  </si>
  <si>
    <t>正门门头</t>
  </si>
  <si>
    <t>发光字</t>
  </si>
  <si>
    <t>发光楼栋号01</t>
  </si>
  <si>
    <t>门头烤漆字</t>
  </si>
  <si>
    <t>外立面</t>
  </si>
  <si>
    <t>构筑物</t>
  </si>
  <si>
    <t>防坠物棚</t>
  </si>
  <si>
    <t>防坠物棚01</t>
  </si>
  <si>
    <t>首层外墙</t>
  </si>
  <si>
    <t>监控</t>
  </si>
  <si>
    <t>摄像头</t>
  </si>
  <si>
    <t>摄像头01枪式</t>
  </si>
  <si>
    <t>用水设备</t>
  </si>
  <si>
    <t>水表箱</t>
  </si>
  <si>
    <t>水表箱01</t>
  </si>
  <si>
    <t>水电燃气表</t>
  </si>
  <si>
    <t>水表</t>
  </si>
  <si>
    <t>智能水表01</t>
  </si>
  <si>
    <t>水表网关</t>
  </si>
  <si>
    <t>水表网关01</t>
  </si>
  <si>
    <t>单元门</t>
  </si>
  <si>
    <t>单元门-正门01</t>
  </si>
  <si>
    <t>门禁</t>
  </si>
  <si>
    <t>智能门禁</t>
  </si>
  <si>
    <t>智能门禁01</t>
  </si>
  <si>
    <t>信息标识</t>
  </si>
  <si>
    <t>楼梯间</t>
  </si>
  <si>
    <t>安全出口指示牌</t>
  </si>
  <si>
    <t>安全出口指示牌01</t>
  </si>
  <si>
    <t>公共照明</t>
  </si>
  <si>
    <t>红外感应灯01</t>
  </si>
  <si>
    <t>总等电位箱01</t>
  </si>
  <si>
    <t>弱电</t>
  </si>
  <si>
    <t>电信箱</t>
  </si>
  <si>
    <t>电信箱01</t>
  </si>
  <si>
    <t>弱电机柜</t>
  </si>
  <si>
    <t>弱电机柜01</t>
  </si>
  <si>
    <t>录像机</t>
  </si>
  <si>
    <t>硬盘录像机01</t>
  </si>
  <si>
    <t>疏散指示标志</t>
  </si>
  <si>
    <t>疏散指示灯01</t>
  </si>
  <si>
    <t>配电箱</t>
  </si>
  <si>
    <t>配电总箱01</t>
  </si>
  <si>
    <t>公区公告栏01-大</t>
  </si>
  <si>
    <t>摄像头02半球式</t>
  </si>
  <si>
    <t>应急照明</t>
  </si>
  <si>
    <t>应急照明灯01</t>
  </si>
  <si>
    <t>操作台03洗衣机1.2m_/</t>
  </si>
  <si>
    <t>模块</t>
  </si>
  <si>
    <t>模块箱01</t>
  </si>
  <si>
    <t>手动报警按钮</t>
  </si>
  <si>
    <t>手动报警按钮01</t>
  </si>
  <si>
    <t>声光报警器</t>
  </si>
  <si>
    <t>声光报警器01</t>
  </si>
  <si>
    <t>消火栓</t>
  </si>
  <si>
    <t>消火栓01</t>
  </si>
  <si>
    <t>2层楼道公区</t>
  </si>
  <si>
    <t>走廊</t>
  </si>
  <si>
    <t>喷淋头</t>
  </si>
  <si>
    <t>喷淋头01</t>
  </si>
  <si>
    <t>消防疏散平面图</t>
  </si>
  <si>
    <t>消防疏散平面图01</t>
  </si>
  <si>
    <t>配电层箱01</t>
  </si>
  <si>
    <t>电表</t>
  </si>
  <si>
    <t>智能电表01</t>
  </si>
  <si>
    <t>楼层牌</t>
  </si>
  <si>
    <t>楼层牌01</t>
  </si>
  <si>
    <t>楼层窗</t>
  </si>
  <si>
    <t>楼层窗01</t>
  </si>
  <si>
    <t>灭火器箱01</t>
  </si>
  <si>
    <t>标准床02-1.35m宽_/</t>
  </si>
  <si>
    <t>床垫02-1.35m_/</t>
  </si>
  <si>
    <t>3层楼道公区</t>
  </si>
  <si>
    <t>操作台01定制橱柜_/</t>
  </si>
  <si>
    <t>波轮洗衣机01_/</t>
  </si>
  <si>
    <t>阳台门03平开门_/</t>
  </si>
  <si>
    <t>单开门，尺寸以现场为准</t>
  </si>
  <si>
    <t>4层楼道公区</t>
  </si>
  <si>
    <t>阳台灯01_/</t>
  </si>
  <si>
    <t>围形LED防水防蚊吸顶灯</t>
  </si>
  <si>
    <t>阳台栏杆01_/</t>
  </si>
  <si>
    <t>50*50*1.2mm不锈钢扶手</t>
  </si>
  <si>
    <t>5层楼道公区</t>
  </si>
  <si>
    <t>衣柜02-通用有冰箱_/</t>
  </si>
  <si>
    <t>1050*500*2000mm，YG_11有冰箱位</t>
  </si>
  <si>
    <t>阳台门02门联窗_/</t>
  </si>
  <si>
    <t>门联窗款，尺寸以现场为准</t>
  </si>
  <si>
    <t>6层楼道公区</t>
  </si>
  <si>
    <t>7层楼道公区</t>
  </si>
  <si>
    <t>8层楼道公区</t>
  </si>
  <si>
    <t>阳台门01推拉门_/</t>
  </si>
  <si>
    <t>（推拉门）尺寸根据现场定制</t>
  </si>
  <si>
    <t>屋面</t>
  </si>
  <si>
    <t>屋面平台（内）</t>
  </si>
  <si>
    <t>晾晒区标识</t>
  </si>
  <si>
    <t>天台警示标识牌</t>
  </si>
  <si>
    <t>签到板</t>
  </si>
  <si>
    <t>保洁签到板01</t>
  </si>
  <si>
    <t>消防门</t>
  </si>
  <si>
    <t>防火门02乙级</t>
  </si>
  <si>
    <t>五金配件</t>
  </si>
  <si>
    <t>闭门器</t>
  </si>
  <si>
    <t>闭门器01</t>
  </si>
  <si>
    <t>APP开门01</t>
  </si>
  <si>
    <t>栏杆</t>
  </si>
  <si>
    <t>屋面围栏01</t>
  </si>
  <si>
    <t>屋面平台（外）</t>
  </si>
  <si>
    <t>防护网</t>
  </si>
  <si>
    <t>晾晒区防护网01</t>
  </si>
  <si>
    <t>晾衣杆</t>
  </si>
  <si>
    <t>天台晾衣杆01</t>
  </si>
  <si>
    <t>户外照明灯01</t>
  </si>
  <si>
    <t>水泵</t>
  </si>
  <si>
    <t>增压水泵01</t>
  </si>
  <si>
    <t>1层</t>
  </si>
  <si>
    <t>房号</t>
  </si>
  <si>
    <t>价格</t>
  </si>
  <si>
    <t>2层</t>
  </si>
  <si>
    <t>3层</t>
  </si>
  <si>
    <t>4层</t>
  </si>
  <si>
    <t>5层</t>
  </si>
  <si>
    <t>6层</t>
  </si>
  <si>
    <t>7层</t>
  </si>
  <si>
    <t>8层</t>
  </si>
  <si>
    <t>采光名词设定标准</t>
  </si>
  <si>
    <t>阴暗</t>
  </si>
  <si>
    <t>不足</t>
  </si>
  <si>
    <t>良好</t>
  </si>
  <si>
    <t>完美</t>
  </si>
  <si>
    <r>
      <rPr>
        <sz val="11"/>
        <color theme="1"/>
        <rFont val="微软雅黑"/>
        <charset val="134"/>
      </rPr>
      <t>备注：</t>
    </r>
    <r>
      <rPr>
        <b/>
        <sz val="11"/>
        <color indexed="10"/>
        <rFont val="微软雅黑"/>
        <charset val="134"/>
      </rPr>
      <t>阳台按两扇窗户</t>
    </r>
    <r>
      <rPr>
        <sz val="11"/>
        <color theme="1"/>
        <rFont val="微软雅黑"/>
        <charset val="134"/>
      </rPr>
      <t>计入</t>
    </r>
  </si>
  <si>
    <t>遮挡定义标准</t>
  </si>
  <si>
    <t>1-3楼楼间距＜4米</t>
  </si>
  <si>
    <t>4楼以上楼间距＜2米</t>
  </si>
  <si>
    <t>五个遮挡</t>
  </si>
  <si>
    <t>四个遮挡</t>
  </si>
  <si>
    <t>三个遮挡</t>
  </si>
  <si>
    <t>两个遮挡</t>
  </si>
  <si>
    <t>一个遮挡</t>
  </si>
  <si>
    <t>较优</t>
  </si>
  <si>
    <t>无遮挡</t>
  </si>
  <si>
    <t>一扇窗户</t>
  </si>
  <si>
    <t>两扇窗户</t>
  </si>
  <si>
    <t>三扇窗户</t>
  </si>
  <si>
    <t>四扇窗户</t>
  </si>
  <si>
    <t>五扇窗户</t>
  </si>
  <si>
    <t>格局：单间 轻复式 二人宿舍 三人宿舍</t>
  </si>
  <si>
    <t>格局：一居室 四人宿舍 六人宿舍</t>
  </si>
  <si>
    <t>格局：二居室</t>
  </si>
  <si>
    <t>格局：三居室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</si>
</sst>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_ "/>
    <numFmt numFmtId="178" formatCode="0.00_ "/>
    <numFmt numFmtId="179" formatCode="_ * #,##0.000_ ;_ * \-#,##0.000_ ;_ * &quot;-&quot;??_ ;_ @_ "/>
    <numFmt numFmtId="180" formatCode="0.0%"/>
    <numFmt numFmtId="181" formatCode="_ * #,##0_ ;_ * \-#,##0_ ;_ * &quot;-&quot;??_ ;_ @_ "/>
    <numFmt numFmtId="182" formatCode="_ * #,##0.0_ ;_ * \-#,##0.0_ ;_ * &quot;-&quot;??_ ;_ @_ "/>
    <numFmt numFmtId="183" formatCode="0.0_ "/>
    <numFmt numFmtId="184" formatCode="[$-F800]dddd\,\ mmmm\ dd\,\ yyyy"/>
  </numFmts>
  <fonts count="68">
    <font>
      <sz val="11"/>
      <color theme="1"/>
      <name val="等线"/>
      <charset val="134"/>
      <scheme val="minor"/>
    </font>
    <font>
      <sz val="14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等线"/>
      <charset val="134"/>
      <scheme val="minor"/>
    </font>
    <font>
      <b/>
      <sz val="11"/>
      <color rgb="FF000000"/>
      <name val="微软雅黑"/>
      <charset val="134"/>
    </font>
    <font>
      <sz val="14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sz val="11"/>
      <color indexed="8"/>
      <name val="等线"/>
      <charset val="134"/>
      <scheme val="minor"/>
    </font>
    <font>
      <b/>
      <sz val="12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rgb="FFFF0000"/>
      <name val="微软雅黑"/>
      <charset val="134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theme="1"/>
      <name val="等线"/>
      <charset val="134"/>
      <scheme val="minor"/>
    </font>
    <font>
      <sz val="10"/>
      <color rgb="FFFFFFFF"/>
      <name val="Microsoft YaHei Light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8"/>
      <color theme="1"/>
      <name val="微软雅黑"/>
      <charset val="134"/>
    </font>
    <font>
      <b/>
      <sz val="10"/>
      <color theme="2" tint="-0.499984740745262"/>
      <name val="微软雅黑"/>
      <charset val="134"/>
    </font>
    <font>
      <b/>
      <sz val="14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FFFFFF"/>
      <name val="微软雅黑"/>
      <charset val="134"/>
    </font>
    <font>
      <b/>
      <sz val="2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2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b/>
      <sz val="14"/>
      <color rgb="FFC00000"/>
      <name val="微软雅黑"/>
      <charset val="134"/>
    </font>
    <font>
      <sz val="26"/>
      <color theme="1"/>
      <name val="等线"/>
      <charset val="134"/>
      <scheme val="minor"/>
    </font>
    <font>
      <b/>
      <sz val="14"/>
      <color rgb="FFC00000"/>
      <name val="等线"/>
      <charset val="134"/>
      <scheme val="minor"/>
    </font>
    <font>
      <b/>
      <sz val="14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indexed="10"/>
      <name val="微软雅黑"/>
      <charset val="134"/>
    </font>
    <font>
      <b/>
      <sz val="10"/>
      <color indexed="9"/>
      <name val="宋体"/>
      <charset val="134"/>
    </font>
    <font>
      <sz val="11"/>
      <color theme="1"/>
      <name val="Microsoft YaHei Light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</fonts>
  <fills count="67">
    <fill>
      <patternFill patternType="none"/>
    </fill>
    <fill>
      <patternFill patternType="gray125"/>
    </fill>
    <fill>
      <patternFill patternType="solid">
        <fgColor theme="9" tint="0.799798577837458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8" tint="0.399822992645039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C306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42" borderId="55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56" applyNumberFormat="0" applyFill="0" applyAlignment="0" applyProtection="0">
      <alignment vertical="center"/>
    </xf>
    <xf numFmtId="0" fontId="48" fillId="0" borderId="56" applyNumberFormat="0" applyFill="0" applyAlignment="0" applyProtection="0">
      <alignment vertical="center"/>
    </xf>
    <xf numFmtId="0" fontId="49" fillId="0" borderId="57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43" borderId="58" applyNumberFormat="0" applyAlignment="0" applyProtection="0">
      <alignment vertical="center"/>
    </xf>
    <xf numFmtId="0" fontId="51" fillId="44" borderId="59" applyNumberFormat="0" applyAlignment="0" applyProtection="0">
      <alignment vertical="center"/>
    </xf>
    <xf numFmtId="0" fontId="52" fillId="44" borderId="58" applyNumberFormat="0" applyAlignment="0" applyProtection="0">
      <alignment vertical="center"/>
    </xf>
    <xf numFmtId="0" fontId="53" fillId="45" borderId="60" applyNumberFormat="0" applyAlignment="0" applyProtection="0">
      <alignment vertical="center"/>
    </xf>
    <xf numFmtId="0" fontId="54" fillId="0" borderId="61" applyNumberFormat="0" applyFill="0" applyAlignment="0" applyProtection="0">
      <alignment vertical="center"/>
    </xf>
    <xf numFmtId="0" fontId="55" fillId="0" borderId="62" applyNumberFormat="0" applyFill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9" fillId="49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60" fillId="59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59" fillId="60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60" fillId="62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59" fillId="63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60" fillId="64" borderId="0" applyNumberFormat="0" applyBorder="0" applyAlignment="0" applyProtection="0">
      <alignment vertical="center"/>
    </xf>
    <xf numFmtId="0" fontId="60" fillId="65" borderId="0" applyNumberFormat="0" applyBorder="0" applyAlignment="0" applyProtection="0">
      <alignment vertical="center"/>
    </xf>
    <xf numFmtId="0" fontId="59" fillId="66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</cellStyleXfs>
  <cellXfs count="314">
    <xf numFmtId="0" fontId="0" fillId="0" borderId="0" xfId="0"/>
    <xf numFmtId="0" fontId="1" fillId="2" borderId="1" xfId="4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44" fontId="3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177" fontId="5" fillId="10" borderId="1" xfId="0" applyNumberFormat="1" applyFont="1" applyFill="1" applyBorder="1" applyAlignment="1">
      <alignment horizontal="center" vertical="center"/>
    </xf>
    <xf numFmtId="177" fontId="6" fillId="11" borderId="1" xfId="0" applyNumberFormat="1" applyFont="1" applyFill="1" applyBorder="1" applyAlignment="1">
      <alignment horizontal="center"/>
    </xf>
    <xf numFmtId="177" fontId="6" fillId="12" borderId="1" xfId="0" applyNumberFormat="1" applyFont="1" applyFill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/>
    </xf>
    <xf numFmtId="177" fontId="7" fillId="9" borderId="1" xfId="0" applyNumberFormat="1" applyFont="1" applyFill="1" applyBorder="1" applyAlignment="1">
      <alignment horizontal="center" vertical="center"/>
    </xf>
    <xf numFmtId="177" fontId="8" fillId="9" borderId="1" xfId="0" applyNumberFormat="1" applyFont="1" applyFill="1" applyBorder="1" applyAlignment="1">
      <alignment horizontal="center"/>
    </xf>
    <xf numFmtId="177" fontId="6" fillId="9" borderId="1" xfId="0" applyNumberFormat="1" applyFont="1" applyFill="1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78" fontId="0" fillId="14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0" fillId="16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177" fontId="0" fillId="17" borderId="1" xfId="0" applyNumberForma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177" fontId="0" fillId="16" borderId="1" xfId="0" applyNumberForma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0" fontId="10" fillId="20" borderId="0" xfId="0" applyFont="1" applyFill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22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/>
    <xf numFmtId="177" fontId="0" fillId="0" borderId="0" xfId="0" applyNumberFormat="1"/>
    <xf numFmtId="0" fontId="0" fillId="13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21" borderId="0" xfId="0" applyFont="1" applyFill="1" applyAlignment="1">
      <alignment horizontal="center"/>
    </xf>
    <xf numFmtId="177" fontId="0" fillId="14" borderId="0" xfId="0" applyNumberFormat="1" applyFill="1" applyAlignment="1">
      <alignment horizontal="center"/>
    </xf>
    <xf numFmtId="0" fontId="0" fillId="13" borderId="1" xfId="0" applyFill="1" applyBorder="1" applyAlignment="1">
      <alignment vertical="center"/>
    </xf>
    <xf numFmtId="0" fontId="13" fillId="13" borderId="6" xfId="0" applyFont="1" applyFill="1" applyBorder="1" applyAlignment="1">
      <alignment vertical="center"/>
    </xf>
    <xf numFmtId="0" fontId="0" fillId="14" borderId="6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14" fillId="0" borderId="0" xfId="0" applyFont="1"/>
    <xf numFmtId="179" fontId="14" fillId="0" borderId="0" xfId="1" applyNumberFormat="1" applyFont="1" applyAlignment="1"/>
    <xf numFmtId="0" fontId="15" fillId="0" borderId="0" xfId="0" applyFont="1"/>
    <xf numFmtId="0" fontId="15" fillId="0" borderId="0" xfId="0" applyFont="1" applyAlignment="1">
      <alignment horizontal="center"/>
    </xf>
    <xf numFmtId="180" fontId="15" fillId="0" borderId="0" xfId="3" applyNumberFormat="1" applyFont="1" applyFill="1" applyAlignment="1"/>
    <xf numFmtId="0" fontId="16" fillId="0" borderId="1" xfId="0" applyFont="1" applyBorder="1" applyAlignment="1">
      <alignment horizontal="center"/>
    </xf>
    <xf numFmtId="0" fontId="17" fillId="25" borderId="10" xfId="0" applyFont="1" applyFill="1" applyBorder="1" applyAlignment="1">
      <alignment vertical="top" wrapText="1"/>
    </xf>
    <xf numFmtId="0" fontId="17" fillId="25" borderId="11" xfId="0" applyFont="1" applyFill="1" applyBorder="1" applyAlignment="1">
      <alignment horizontal="center" vertical="top" wrapText="1"/>
    </xf>
    <xf numFmtId="0" fontId="17" fillId="25" borderId="11" xfId="0" applyFont="1" applyFill="1" applyBorder="1" applyAlignment="1">
      <alignment vertical="top" wrapText="1"/>
    </xf>
    <xf numFmtId="180" fontId="17" fillId="0" borderId="11" xfId="3" applyNumberFormat="1" applyFont="1" applyFill="1" applyBorder="1" applyAlignment="1">
      <alignment vertical="top" wrapText="1"/>
    </xf>
    <xf numFmtId="0" fontId="18" fillId="26" borderId="11" xfId="0" applyFont="1" applyFill="1" applyBorder="1" applyAlignment="1">
      <alignment horizontal="left" vertical="center" wrapText="1" readingOrder="1"/>
    </xf>
    <xf numFmtId="0" fontId="18" fillId="25" borderId="11" xfId="0" applyFont="1" applyFill="1" applyBorder="1" applyAlignment="1">
      <alignment horizontal="left" vertical="center" wrapText="1" readingOrder="1"/>
    </xf>
    <xf numFmtId="0" fontId="19" fillId="27" borderId="1" xfId="0" applyFont="1" applyFill="1" applyBorder="1" applyAlignment="1">
      <alignment vertical="top" wrapText="1"/>
    </xf>
    <xf numFmtId="0" fontId="19" fillId="27" borderId="1" xfId="0" applyFont="1" applyFill="1" applyBorder="1" applyAlignment="1">
      <alignment horizontal="center" vertical="top" wrapText="1"/>
    </xf>
    <xf numFmtId="180" fontId="19" fillId="0" borderId="1" xfId="3" applyNumberFormat="1" applyFont="1" applyFill="1" applyBorder="1" applyAlignment="1">
      <alignment vertical="top" wrapText="1"/>
    </xf>
    <xf numFmtId="0" fontId="17" fillId="28" borderId="1" xfId="0" applyFont="1" applyFill="1" applyBorder="1" applyAlignment="1">
      <alignment vertical="center" wrapText="1" readingOrder="1"/>
    </xf>
    <xf numFmtId="0" fontId="20" fillId="28" borderId="1" xfId="0" applyFont="1" applyFill="1" applyBorder="1" applyAlignment="1">
      <alignment vertical="center" wrapText="1" readingOrder="1"/>
    </xf>
    <xf numFmtId="0" fontId="19" fillId="28" borderId="1" xfId="0" applyFont="1" applyFill="1" applyBorder="1" applyAlignment="1">
      <alignment vertical="center" wrapText="1" readingOrder="1"/>
    </xf>
    <xf numFmtId="0" fontId="19" fillId="28" borderId="1" xfId="0" applyFont="1" applyFill="1" applyBorder="1" applyAlignment="1">
      <alignment horizontal="center" vertical="center" wrapText="1" readingOrder="1"/>
    </xf>
    <xf numFmtId="180" fontId="19" fillId="0" borderId="1" xfId="3" applyNumberFormat="1" applyFont="1" applyFill="1" applyBorder="1" applyAlignment="1">
      <alignment vertical="center" wrapText="1" readingOrder="1"/>
    </xf>
    <xf numFmtId="0" fontId="19" fillId="28" borderId="0" xfId="0" applyFont="1" applyFill="1" applyAlignment="1">
      <alignment vertical="center" wrapText="1" readingOrder="1"/>
    </xf>
    <xf numFmtId="0" fontId="19" fillId="28" borderId="0" xfId="0" applyFont="1" applyFill="1" applyAlignment="1">
      <alignment horizontal="center" vertical="center" wrapText="1" readingOrder="1"/>
    </xf>
    <xf numFmtId="180" fontId="19" fillId="0" borderId="0" xfId="3" applyNumberFormat="1" applyFont="1" applyFill="1" applyBorder="1" applyAlignment="1">
      <alignment vertical="center" wrapText="1" readingOrder="1"/>
    </xf>
    <xf numFmtId="0" fontId="17" fillId="28" borderId="0" xfId="0" applyFont="1" applyFill="1" applyAlignment="1">
      <alignment vertical="center" wrapText="1" readingOrder="1"/>
    </xf>
    <xf numFmtId="181" fontId="19" fillId="28" borderId="0" xfId="1" applyNumberFormat="1" applyFont="1" applyFill="1" applyBorder="1" applyAlignment="1">
      <alignment vertical="center" wrapText="1" readingOrder="1"/>
    </xf>
    <xf numFmtId="179" fontId="19" fillId="28" borderId="0" xfId="1" applyNumberFormat="1" applyFont="1" applyFill="1" applyBorder="1" applyAlignment="1">
      <alignment vertical="center" wrapText="1" readingOrder="1"/>
    </xf>
    <xf numFmtId="179" fontId="17" fillId="28" borderId="0" xfId="1" applyNumberFormat="1" applyFont="1" applyFill="1" applyBorder="1" applyAlignment="1">
      <alignment vertical="center" wrapText="1" readingOrder="1"/>
    </xf>
    <xf numFmtId="179" fontId="20" fillId="28" borderId="1" xfId="1" applyNumberFormat="1" applyFont="1" applyFill="1" applyBorder="1" applyAlignment="1">
      <alignment vertical="center" wrapText="1" readingOrder="1"/>
    </xf>
    <xf numFmtId="179" fontId="17" fillId="28" borderId="1" xfId="1" applyNumberFormat="1" applyFont="1" applyFill="1" applyBorder="1" applyAlignment="1">
      <alignment vertical="center" wrapText="1" readingOrder="1"/>
    </xf>
    <xf numFmtId="179" fontId="20" fillId="14" borderId="1" xfId="1" applyNumberFormat="1" applyFont="1" applyFill="1" applyBorder="1" applyAlignment="1">
      <alignment vertical="center" wrapText="1" readingOrder="1"/>
    </xf>
    <xf numFmtId="0" fontId="13" fillId="27" borderId="1" xfId="0" applyFont="1" applyFill="1" applyBorder="1" applyAlignment="1">
      <alignment horizontal="center" vertical="center"/>
    </xf>
    <xf numFmtId="179" fontId="17" fillId="28" borderId="0" xfId="0" applyNumberFormat="1" applyFont="1" applyFill="1" applyAlignment="1">
      <alignment vertical="center" wrapText="1" readingOrder="1"/>
    </xf>
    <xf numFmtId="179" fontId="20" fillId="28" borderId="0" xfId="1" applyNumberFormat="1" applyFont="1" applyFill="1" applyBorder="1" applyAlignment="1">
      <alignment vertical="center" wrapText="1" readingOrder="1"/>
    </xf>
    <xf numFmtId="179" fontId="20" fillId="28" borderId="0" xfId="0" applyNumberFormat="1" applyFont="1" applyFill="1" applyAlignment="1">
      <alignment vertical="center" wrapText="1" readingOrder="1"/>
    </xf>
    <xf numFmtId="179" fontId="13" fillId="27" borderId="0" xfId="0" applyNumberFormat="1" applyFont="1" applyFill="1" applyAlignment="1">
      <alignment horizontal="center" vertical="center"/>
    </xf>
    <xf numFmtId="181" fontId="19" fillId="14" borderId="0" xfId="1" applyNumberFormat="1" applyFont="1" applyFill="1" applyBorder="1" applyAlignment="1">
      <alignment vertical="center" wrapText="1" readingOrder="1"/>
    </xf>
    <xf numFmtId="179" fontId="17" fillId="28" borderId="1" xfId="0" applyNumberFormat="1" applyFont="1" applyFill="1" applyBorder="1" applyAlignment="1">
      <alignment vertical="center" wrapText="1" readingOrder="1"/>
    </xf>
    <xf numFmtId="180" fontId="19" fillId="14" borderId="0" xfId="3" applyNumberFormat="1" applyFont="1" applyFill="1" applyBorder="1" applyAlignment="1">
      <alignment vertical="center" wrapText="1" readingOrder="1"/>
    </xf>
    <xf numFmtId="179" fontId="20" fillId="28" borderId="1" xfId="0" applyNumberFormat="1" applyFont="1" applyFill="1" applyBorder="1" applyAlignment="1">
      <alignment vertical="center" wrapText="1" readingOrder="1"/>
    </xf>
    <xf numFmtId="0" fontId="19" fillId="14" borderId="0" xfId="0" applyFont="1" applyFill="1" applyAlignment="1">
      <alignment vertical="center" wrapText="1" readingOrder="1"/>
    </xf>
    <xf numFmtId="0" fontId="13" fillId="14" borderId="1" xfId="0" applyFont="1" applyFill="1" applyBorder="1" applyAlignment="1">
      <alignment horizontal="center" vertical="center"/>
    </xf>
    <xf numFmtId="179" fontId="17" fillId="14" borderId="0" xfId="0" applyNumberFormat="1" applyFont="1" applyFill="1" applyAlignment="1">
      <alignment vertical="center" wrapText="1" readingOrder="1"/>
    </xf>
    <xf numFmtId="0" fontId="20" fillId="28" borderId="0" xfId="0" applyFont="1" applyFill="1" applyAlignment="1">
      <alignment vertical="center" wrapText="1" readingOrder="1"/>
    </xf>
    <xf numFmtId="9" fontId="19" fillId="0" borderId="0" xfId="3" applyFont="1" applyFill="1" applyBorder="1" applyAlignment="1">
      <alignment vertical="center" wrapText="1" readingOrder="1"/>
    </xf>
    <xf numFmtId="179" fontId="14" fillId="0" borderId="0" xfId="0" applyNumberFormat="1" applyFont="1"/>
    <xf numFmtId="10" fontId="14" fillId="0" borderId="0" xfId="0" applyNumberFormat="1" applyFont="1"/>
    <xf numFmtId="180" fontId="17" fillId="0" borderId="0" xfId="3" applyNumberFormat="1" applyFont="1" applyFill="1" applyBorder="1" applyAlignment="1">
      <alignment vertical="center" wrapText="1" readingOrder="1"/>
    </xf>
    <xf numFmtId="180" fontId="15" fillId="0" borderId="0" xfId="3" applyNumberFormat="1" applyFont="1" applyFill="1" applyBorder="1" applyAlignment="1"/>
    <xf numFmtId="0" fontId="17" fillId="0" borderId="0" xfId="0" applyFont="1" applyAlignment="1">
      <alignment vertical="center" wrapText="1" readingOrder="1"/>
    </xf>
    <xf numFmtId="0" fontId="21" fillId="0" borderId="0" xfId="0" applyFont="1"/>
    <xf numFmtId="181" fontId="0" fillId="0" borderId="0" xfId="1" applyNumberFormat="1" applyFont="1" applyAlignment="1"/>
    <xf numFmtId="181" fontId="21" fillId="0" borderId="0" xfId="1" applyNumberFormat="1" applyFont="1" applyAlignment="1"/>
    <xf numFmtId="182" fontId="0" fillId="0" borderId="0" xfId="1" applyNumberFormat="1" applyFont="1" applyAlignment="1"/>
    <xf numFmtId="9" fontId="0" fillId="0" borderId="0" xfId="3" applyFont="1" applyAlignment="1"/>
    <xf numFmtId="181" fontId="0" fillId="14" borderId="0" xfId="1" applyNumberFormat="1" applyFont="1" applyFill="1" applyAlignment="1"/>
    <xf numFmtId="0" fontId="18" fillId="25" borderId="1" xfId="0" applyFont="1" applyFill="1" applyBorder="1" applyAlignment="1">
      <alignment horizontal="left" vertical="center" wrapText="1" readingOrder="1"/>
    </xf>
    <xf numFmtId="0" fontId="22" fillId="25" borderId="1" xfId="0" applyFont="1" applyFill="1" applyBorder="1" applyAlignment="1">
      <alignment horizontal="left" vertical="center" wrapText="1" readingOrder="1"/>
    </xf>
    <xf numFmtId="181" fontId="0" fillId="0" borderId="0" xfId="0" applyNumberFormat="1"/>
    <xf numFmtId="176" fontId="0" fillId="0" borderId="0" xfId="0" applyNumberFormat="1"/>
    <xf numFmtId="0" fontId="19" fillId="0" borderId="0" xfId="0" applyFont="1" applyAlignment="1">
      <alignment vertical="center" wrapText="1" readingOrder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3" fontId="2" fillId="29" borderId="1" xfId="0" applyNumberFormat="1" applyFont="1" applyFill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183" fontId="23" fillId="0" borderId="1" xfId="0" applyNumberFormat="1" applyFont="1" applyBorder="1" applyAlignment="1">
      <alignment horizontal="center" vertical="center"/>
    </xf>
    <xf numFmtId="0" fontId="24" fillId="29" borderId="1" xfId="0" applyFont="1" applyFill="1" applyBorder="1" applyAlignment="1">
      <alignment horizontal="center" vertical="center"/>
    </xf>
    <xf numFmtId="0" fontId="25" fillId="29" borderId="1" xfId="0" applyFont="1" applyFill="1" applyBorder="1" applyAlignment="1">
      <alignment horizontal="center" vertical="center" wrapText="1"/>
    </xf>
    <xf numFmtId="0" fontId="25" fillId="29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83" fontId="3" fillId="0" borderId="1" xfId="0" applyNumberFormat="1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30" borderId="8" xfId="0" applyFont="1" applyFill="1" applyBorder="1" applyAlignment="1">
      <alignment horizontal="center" vertical="center"/>
    </xf>
    <xf numFmtId="0" fontId="2" fillId="30" borderId="12" xfId="0" applyFont="1" applyFill="1" applyBorder="1" applyAlignment="1">
      <alignment horizontal="center" vertical="center"/>
    </xf>
    <xf numFmtId="0" fontId="2" fillId="30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1" fillId="31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31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1" fillId="31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1" fillId="31" borderId="21" xfId="0" applyFont="1" applyFill="1" applyBorder="1" applyAlignment="1">
      <alignment horizontal="center" vertical="center"/>
    </xf>
    <xf numFmtId="0" fontId="2" fillId="14" borderId="22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83" fontId="2" fillId="0" borderId="23" xfId="0" applyNumberFormat="1" applyFont="1" applyBorder="1" applyAlignment="1">
      <alignment horizontal="center" vertical="center"/>
    </xf>
    <xf numFmtId="183" fontId="2" fillId="0" borderId="24" xfId="0" applyNumberFormat="1" applyFont="1" applyBorder="1" applyAlignment="1">
      <alignment horizontal="center" vertical="center"/>
    </xf>
    <xf numFmtId="183" fontId="2" fillId="0" borderId="22" xfId="0" applyNumberFormat="1" applyFont="1" applyBorder="1" applyAlignment="1">
      <alignment horizontal="center" vertical="center"/>
    </xf>
    <xf numFmtId="183" fontId="2" fillId="0" borderId="25" xfId="0" applyNumberFormat="1" applyFont="1" applyBorder="1" applyAlignment="1">
      <alignment horizontal="center" vertical="center"/>
    </xf>
    <xf numFmtId="183" fontId="2" fillId="0" borderId="26" xfId="0" applyNumberFormat="1" applyFont="1" applyBorder="1" applyAlignment="1">
      <alignment horizontal="center" vertical="center"/>
    </xf>
    <xf numFmtId="183" fontId="8" fillId="14" borderId="24" xfId="0" applyNumberFormat="1" applyFont="1" applyFill="1" applyBorder="1" applyAlignment="1">
      <alignment horizontal="center" vertical="center"/>
    </xf>
    <xf numFmtId="183" fontId="8" fillId="14" borderId="27" xfId="0" applyNumberFormat="1" applyFont="1" applyFill="1" applyBorder="1" applyAlignment="1">
      <alignment horizontal="center" vertical="center"/>
    </xf>
    <xf numFmtId="183" fontId="8" fillId="0" borderId="27" xfId="0" applyNumberFormat="1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11" fillId="32" borderId="31" xfId="0" applyFont="1" applyFill="1" applyBorder="1" applyAlignment="1">
      <alignment horizontal="center" vertical="center"/>
    </xf>
    <xf numFmtId="0" fontId="11" fillId="33" borderId="15" xfId="0" applyFont="1" applyFill="1" applyBorder="1" applyAlignment="1">
      <alignment horizontal="center" vertical="center"/>
    </xf>
    <xf numFmtId="0" fontId="11" fillId="32" borderId="32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1" fillId="33" borderId="34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1" fillId="32" borderId="35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9" fontId="2" fillId="0" borderId="23" xfId="3" applyFont="1" applyBorder="1" applyAlignment="1">
      <alignment horizontal="center" vertical="center"/>
    </xf>
    <xf numFmtId="0" fontId="11" fillId="33" borderId="24" xfId="0" applyFont="1" applyFill="1" applyBorder="1" applyAlignment="1">
      <alignment horizontal="center" vertical="center"/>
    </xf>
    <xf numFmtId="0" fontId="0" fillId="0" borderId="36" xfId="0" applyBorder="1"/>
    <xf numFmtId="0" fontId="11" fillId="0" borderId="36" xfId="0" applyFont="1" applyBorder="1" applyAlignment="1">
      <alignment vertical="center"/>
    </xf>
    <xf numFmtId="0" fontId="11" fillId="32" borderId="37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1" fillId="32" borderId="40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9" fontId="0" fillId="0" borderId="34" xfId="3" applyFont="1" applyBorder="1" applyAlignment="1">
      <alignment horizontal="center" vertical="center"/>
    </xf>
    <xf numFmtId="0" fontId="11" fillId="32" borderId="42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9" fontId="0" fillId="0" borderId="24" xfId="3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11" fillId="33" borderId="14" xfId="0" applyFont="1" applyFill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9" fontId="0" fillId="0" borderId="23" xfId="3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83" fontId="0" fillId="0" borderId="23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83" fontId="9" fillId="0" borderId="1" xfId="0" applyNumberFormat="1" applyFont="1" applyBorder="1" applyAlignment="1">
      <alignment horizontal="center" vertical="center"/>
    </xf>
    <xf numFmtId="183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83" fontId="11" fillId="32" borderId="1" xfId="0" applyNumberFormat="1" applyFont="1" applyFill="1" applyBorder="1" applyAlignment="1">
      <alignment horizontal="center" vertical="center"/>
    </xf>
    <xf numFmtId="0" fontId="11" fillId="32" borderId="1" xfId="0" applyFont="1" applyFill="1" applyBorder="1" applyAlignment="1">
      <alignment horizontal="center" vertical="center"/>
    </xf>
    <xf numFmtId="183" fontId="11" fillId="31" borderId="1" xfId="0" applyNumberFormat="1" applyFont="1" applyFill="1" applyBorder="1" applyAlignment="1">
      <alignment horizontal="center" vertical="center"/>
    </xf>
    <xf numFmtId="183" fontId="11" fillId="34" borderId="1" xfId="0" applyNumberFormat="1" applyFont="1" applyFill="1" applyBorder="1" applyAlignment="1">
      <alignment horizontal="center" vertical="center"/>
    </xf>
    <xf numFmtId="183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9" fillId="35" borderId="45" xfId="0" applyFont="1" applyFill="1" applyBorder="1" applyAlignment="1">
      <alignment horizontal="center" vertical="center"/>
    </xf>
    <xf numFmtId="183" fontId="29" fillId="35" borderId="45" xfId="0" applyNumberFormat="1" applyFont="1" applyFill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183" fontId="6" fillId="0" borderId="45" xfId="0" applyNumberFormat="1" applyFont="1" applyBorder="1" applyAlignment="1">
      <alignment horizontal="center" vertical="center"/>
    </xf>
    <xf numFmtId="183" fontId="0" fillId="0" borderId="0" xfId="0" applyNumberFormat="1"/>
    <xf numFmtId="0" fontId="8" fillId="0" borderId="45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/>
    </xf>
    <xf numFmtId="183" fontId="6" fillId="0" borderId="46" xfId="0" applyNumberFormat="1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30" fillId="0" borderId="0" xfId="0" applyFont="1"/>
    <xf numFmtId="0" fontId="13" fillId="0" borderId="0" xfId="0" applyFont="1"/>
    <xf numFmtId="0" fontId="0" fillId="0" borderId="0" xfId="49"/>
    <xf numFmtId="0" fontId="3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9" fontId="1" fillId="0" borderId="0" xfId="1" applyNumberFormat="1" applyFont="1" applyAlignment="1">
      <alignment vertical="center"/>
    </xf>
    <xf numFmtId="0" fontId="31" fillId="0" borderId="0" xfId="0" applyFont="1" applyAlignment="1">
      <alignment horizontal="left" vertical="center"/>
    </xf>
    <xf numFmtId="0" fontId="30" fillId="36" borderId="1" xfId="0" applyFont="1" applyFill="1" applyBorder="1" applyAlignment="1">
      <alignment horizontal="center" vertical="center"/>
    </xf>
    <xf numFmtId="0" fontId="32" fillId="36" borderId="1" xfId="0" applyFont="1" applyFill="1" applyBorder="1" applyAlignment="1">
      <alignment horizontal="center" vertical="center"/>
    </xf>
    <xf numFmtId="179" fontId="32" fillId="36" borderId="1" xfId="1" applyNumberFormat="1" applyFont="1" applyFill="1" applyBorder="1" applyAlignment="1">
      <alignment vertical="center"/>
    </xf>
    <xf numFmtId="0" fontId="30" fillId="36" borderId="1" xfId="0" applyFont="1" applyFill="1" applyBorder="1" applyAlignment="1" applyProtection="1">
      <alignment horizontal="center" vertical="center"/>
      <protection locked="0"/>
    </xf>
    <xf numFmtId="0" fontId="30" fillId="36" borderId="1" xfId="0" applyFont="1" applyFill="1" applyBorder="1" applyAlignment="1">
      <alignment horizontal="left" vertical="center"/>
    </xf>
    <xf numFmtId="181" fontId="30" fillId="0" borderId="0" xfId="1" applyNumberFormat="1" applyFont="1" applyAlignment="1"/>
    <xf numFmtId="0" fontId="30" fillId="0" borderId="0" xfId="0" applyFont="1" applyAlignment="1">
      <alignment horizontal="center" vertical="center"/>
    </xf>
    <xf numFmtId="0" fontId="33" fillId="36" borderId="1" xfId="0" applyFont="1" applyFill="1" applyBorder="1" applyAlignment="1">
      <alignment horizontal="center" vertical="center"/>
    </xf>
    <xf numFmtId="0" fontId="34" fillId="37" borderId="6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79" fontId="1" fillId="2" borderId="1" xfId="50" applyNumberFormat="1" applyFont="1" applyFill="1" applyBorder="1" applyAlignment="1">
      <alignment vertical="center"/>
    </xf>
    <xf numFmtId="0" fontId="31" fillId="2" borderId="1" xfId="49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left" vertical="center"/>
    </xf>
    <xf numFmtId="0" fontId="21" fillId="26" borderId="1" xfId="0" applyFont="1" applyFill="1" applyBorder="1" applyAlignment="1">
      <alignment horizontal="center" vertical="center"/>
    </xf>
    <xf numFmtId="0" fontId="34" fillId="37" borderId="7" xfId="0" applyFont="1" applyFill="1" applyBorder="1" applyAlignment="1">
      <alignment horizontal="center" vertical="center" wrapText="1"/>
    </xf>
    <xf numFmtId="0" fontId="14" fillId="38" borderId="1" xfId="0" applyFont="1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34" fillId="37" borderId="9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/>
    </xf>
    <xf numFmtId="0" fontId="31" fillId="2" borderId="1" xfId="49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6" fillId="39" borderId="6" xfId="0" applyFont="1" applyFill="1" applyBorder="1" applyAlignment="1">
      <alignment horizontal="center" vertical="center" wrapText="1"/>
    </xf>
    <xf numFmtId="0" fontId="36" fillId="39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/>
    </xf>
    <xf numFmtId="0" fontId="36" fillId="39" borderId="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8" fillId="26" borderId="1" xfId="0" applyFont="1" applyFill="1" applyBorder="1" applyAlignment="1">
      <alignment horizontal="center" vertical="center"/>
    </xf>
    <xf numFmtId="0" fontId="33" fillId="14" borderId="1" xfId="49" applyFont="1" applyFill="1" applyBorder="1" applyAlignment="1">
      <alignment horizontal="center"/>
    </xf>
    <xf numFmtId="0" fontId="38" fillId="13" borderId="1" xfId="49" applyFont="1" applyFill="1" applyBorder="1" applyAlignment="1">
      <alignment horizontal="center" vertical="center"/>
    </xf>
    <xf numFmtId="0" fontId="31" fillId="40" borderId="1" xfId="49" applyFont="1" applyFill="1" applyBorder="1" applyAlignment="1">
      <alignment horizontal="center" vertical="center"/>
    </xf>
    <xf numFmtId="0" fontId="36" fillId="39" borderId="9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37" fillId="2" borderId="7" xfId="0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37" fillId="2" borderId="6" xfId="49" applyFont="1" applyFill="1" applyBorder="1" applyAlignment="1">
      <alignment horizontal="center" vertical="center"/>
    </xf>
    <xf numFmtId="0" fontId="31" fillId="2" borderId="1" xfId="49" applyFont="1" applyFill="1" applyBorder="1" applyAlignment="1">
      <alignment horizontal="center" vertical="center"/>
    </xf>
    <xf numFmtId="0" fontId="37" fillId="2" borderId="7" xfId="49" applyFont="1" applyFill="1" applyBorder="1" applyAlignment="1">
      <alignment horizontal="center" vertical="center"/>
    </xf>
    <xf numFmtId="0" fontId="33" fillId="26" borderId="47" xfId="49" applyFont="1" applyFill="1" applyBorder="1" applyAlignment="1">
      <alignment horizontal="center" vertical="center" wrapText="1"/>
    </xf>
    <xf numFmtId="0" fontId="33" fillId="14" borderId="48" xfId="49" applyFont="1" applyFill="1" applyBorder="1" applyAlignment="1">
      <alignment horizontal="center" vertical="center" wrapText="1"/>
    </xf>
    <xf numFmtId="0" fontId="33" fillId="14" borderId="49" xfId="49" applyFont="1" applyFill="1" applyBorder="1" applyAlignment="1">
      <alignment horizontal="center" vertical="center" wrapText="1"/>
    </xf>
    <xf numFmtId="0" fontId="39" fillId="13" borderId="1" xfId="49" applyFont="1" applyFill="1" applyBorder="1" applyAlignment="1">
      <alignment horizontal="center" vertical="center"/>
    </xf>
    <xf numFmtId="0" fontId="40" fillId="40" borderId="1" xfId="49" applyFont="1" applyFill="1" applyBorder="1" applyAlignment="1">
      <alignment horizontal="center" vertical="center" wrapText="1"/>
    </xf>
    <xf numFmtId="0" fontId="40" fillId="40" borderId="1" xfId="49" applyFont="1" applyFill="1" applyBorder="1" applyAlignment="1">
      <alignment horizontal="center" vertical="center"/>
    </xf>
    <xf numFmtId="0" fontId="40" fillId="40" borderId="50" xfId="49" applyFont="1" applyFill="1" applyBorder="1" applyAlignment="1">
      <alignment horizontal="center" vertical="center"/>
    </xf>
    <xf numFmtId="0" fontId="40" fillId="40" borderId="51" xfId="49" applyFont="1" applyFill="1" applyBorder="1" applyAlignment="1">
      <alignment horizontal="center" vertical="center" wrapText="1"/>
    </xf>
    <xf numFmtId="0" fontId="40" fillId="40" borderId="52" xfId="49" applyFont="1" applyFill="1" applyBorder="1" applyAlignment="1">
      <alignment horizontal="center" vertical="center" wrapText="1"/>
    </xf>
    <xf numFmtId="0" fontId="37" fillId="2" borderId="9" xfId="49" applyFont="1" applyFill="1" applyBorder="1" applyAlignment="1">
      <alignment horizontal="center" vertical="center"/>
    </xf>
    <xf numFmtId="179" fontId="1" fillId="2" borderId="1" xfId="50" applyNumberFormat="1" applyFont="1" applyFill="1" applyBorder="1" applyAlignment="1">
      <alignment horizontal="center" vertical="center"/>
    </xf>
    <xf numFmtId="0" fontId="36" fillId="39" borderId="7" xfId="0" applyFont="1" applyFill="1" applyBorder="1" applyAlignment="1">
      <alignment vertical="center" wrapText="1"/>
    </xf>
    <xf numFmtId="0" fontId="3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9" fontId="1" fillId="0" borderId="1" xfId="1" applyNumberFormat="1" applyFont="1" applyBorder="1" applyAlignment="1">
      <alignment vertical="center"/>
    </xf>
    <xf numFmtId="0" fontId="31" fillId="0" borderId="1" xfId="0" applyFont="1" applyBorder="1" applyAlignment="1">
      <alignment horizontal="left" vertical="center"/>
    </xf>
    <xf numFmtId="0" fontId="0" fillId="0" borderId="0" xfId="49" applyAlignment="1">
      <alignment horizontal="center" vertical="center"/>
    </xf>
    <xf numFmtId="181" fontId="0" fillId="0" borderId="0" xfId="50" applyNumberFormat="1" applyFont="1" applyAlignment="1"/>
    <xf numFmtId="0" fontId="31" fillId="0" borderId="1" xfId="0" applyFont="1" applyBorder="1" applyAlignment="1">
      <alignment horizontal="left" vertical="center" wrapText="1"/>
    </xf>
    <xf numFmtId="184" fontId="0" fillId="0" borderId="0" xfId="0" applyNumberFormat="1"/>
    <xf numFmtId="0" fontId="0" fillId="0" borderId="0" xfId="0" applyAlignment="1">
      <alignment horizontal="left" wrapText="1"/>
    </xf>
    <xf numFmtId="0" fontId="41" fillId="41" borderId="53" xfId="0" applyFont="1" applyFill="1" applyBorder="1" applyAlignment="1">
      <alignment horizontal="center" vertical="center"/>
    </xf>
    <xf numFmtId="184" fontId="41" fillId="41" borderId="48" xfId="0" applyNumberFormat="1" applyFont="1" applyFill="1" applyBorder="1" applyAlignment="1">
      <alignment horizontal="center" vertical="center"/>
    </xf>
    <xf numFmtId="0" fontId="41" fillId="41" borderId="48" xfId="0" applyFont="1" applyFill="1" applyBorder="1" applyAlignment="1">
      <alignment horizontal="center" vertical="center"/>
    </xf>
    <xf numFmtId="184" fontId="41" fillId="41" borderId="49" xfId="0" applyNumberFormat="1" applyFont="1" applyFill="1" applyBorder="1" applyAlignment="1">
      <alignment horizontal="center" vertical="center"/>
    </xf>
    <xf numFmtId="184" fontId="0" fillId="0" borderId="54" xfId="0" applyNumberFormat="1" applyBorder="1" applyAlignment="1">
      <alignment horizontal="center" vertical="center"/>
    </xf>
    <xf numFmtId="184" fontId="0" fillId="0" borderId="54" xfId="0" applyNumberFormat="1" applyBorder="1" applyAlignment="1">
      <alignment horizontal="center" vertical="center" wrapText="1"/>
    </xf>
    <xf numFmtId="184" fontId="0" fillId="0" borderId="54" xfId="0" applyNumberFormat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千位分隔 2" xfId="50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7" tint="0.399792474135563"/>
        </patternFill>
      </fill>
    </dxf>
    <dxf>
      <fill>
        <patternFill patternType="solid">
          <bgColor theme="7" tint="0.799829096346934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00B0F0"/>
      <color rgb="00D9D9D9"/>
      <color rgb="00C00000"/>
      <color rgb="009BC2E6"/>
      <color rgb="00E2EFDA"/>
      <color rgb="00D9E1F2"/>
      <color rgb="00FFFFFF"/>
      <color rgb="00DDEBF7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eetMetadata" Target="metadata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7620</xdr:colOff>
      <xdr:row>16</xdr:row>
      <xdr:rowOff>9525</xdr:rowOff>
    </xdr:from>
    <xdr:to>
      <xdr:col>15</xdr:col>
      <xdr:colOff>497205</xdr:colOff>
      <xdr:row>50</xdr:row>
      <xdr:rowOff>10160</xdr:rowOff>
    </xdr:to>
    <xdr:pic>
      <xdr:nvPicPr>
        <xdr:cNvPr id="7226" name="图片 1" descr="c691691ed808f881a1f33f4a09195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20020" y="3457575"/>
          <a:ext cx="5010785" cy="7125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9525</xdr:colOff>
      <xdr:row>16</xdr:row>
      <xdr:rowOff>11430</xdr:rowOff>
    </xdr:from>
    <xdr:to>
      <xdr:col>26</xdr:col>
      <xdr:colOff>0</xdr:colOff>
      <xdr:row>37</xdr:row>
      <xdr:rowOff>20320</xdr:rowOff>
    </xdr:to>
    <xdr:pic>
      <xdr:nvPicPr>
        <xdr:cNvPr id="7227" name="图片 2" descr="1387f01f96cac3a0ac978515b28165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163925" y="3459480"/>
          <a:ext cx="5934075" cy="4409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638175</xdr:colOff>
      <xdr:row>15</xdr:row>
      <xdr:rowOff>286385</xdr:rowOff>
    </xdr:from>
    <xdr:to>
      <xdr:col>34</xdr:col>
      <xdr:colOff>492760</xdr:colOff>
      <xdr:row>33</xdr:row>
      <xdr:rowOff>21590</xdr:rowOff>
    </xdr:to>
    <xdr:pic>
      <xdr:nvPicPr>
        <xdr:cNvPr id="7228" name="图片 3" descr="16613282712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736175" y="3448050"/>
          <a:ext cx="5137785" cy="3583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26095\AppData\Roaming\Microsoft\Excel\&#21103;&#26412;&#23433;&#23621;&#20048;&#23507;&#21508;&#26449;&#22522;&#20934;&#20215;_1015(&#24050;&#33258;&#21160;&#36824;&#21407;)%20(version%201).xlsb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2">
          <cell r="E2" t="str">
            <v>村</v>
          </cell>
          <cell r="F2" t="str">
            <v>梯度值</v>
          </cell>
          <cell r="G2" t="str">
            <v>开间</v>
          </cell>
          <cell r="H2" t="str">
            <v>一居室</v>
          </cell>
        </row>
        <row r="3">
          <cell r="E3" t="str">
            <v>上沙村/下沙五六七八坊</v>
          </cell>
          <cell r="F3">
            <v>1.37934948733762</v>
          </cell>
          <cell r="G3">
            <v>3181.00551573335</v>
          </cell>
          <cell r="H3">
            <v>3976.25689466669</v>
          </cell>
        </row>
        <row r="4">
          <cell r="E4" t="str">
            <v>上沙龙秋村</v>
          </cell>
          <cell r="F4">
            <v>1.33349809807544</v>
          </cell>
          <cell r="G4">
            <v>3075.26471292307</v>
          </cell>
          <cell r="H4">
            <v>3844.08089115384</v>
          </cell>
        </row>
        <row r="5">
          <cell r="E5" t="str">
            <v>新狮村</v>
          </cell>
          <cell r="F5">
            <v>1.33235370776605</v>
          </cell>
          <cell r="G5">
            <v>3072.62556170018</v>
          </cell>
          <cell r="H5">
            <v>3840.78195212522</v>
          </cell>
        </row>
        <row r="6">
          <cell r="E6" t="str">
            <v>新洲南村</v>
          </cell>
          <cell r="F6">
            <v>1.30729071436195</v>
          </cell>
          <cell r="G6">
            <v>3014.82619976101</v>
          </cell>
          <cell r="H6">
            <v>3768.53274970127</v>
          </cell>
        </row>
        <row r="7">
          <cell r="E7" t="str">
            <v>新洲中心村</v>
          </cell>
          <cell r="F7">
            <v>1.30547800938345</v>
          </cell>
          <cell r="G7">
            <v>3010.64580560568</v>
          </cell>
          <cell r="H7">
            <v>3763.3072570071</v>
          </cell>
        </row>
        <row r="8">
          <cell r="E8" t="str">
            <v>石厦东村</v>
          </cell>
          <cell r="F8">
            <v>1.30231500589656</v>
          </cell>
          <cell r="G8">
            <v>3003.35140224348</v>
          </cell>
          <cell r="H8">
            <v>3754.18925280435</v>
          </cell>
        </row>
        <row r="9">
          <cell r="E9" t="str">
            <v>上沙塘晏村</v>
          </cell>
          <cell r="F9">
            <v>1.30063866398447</v>
          </cell>
          <cell r="G9">
            <v>2999.48548362201</v>
          </cell>
          <cell r="H9">
            <v>3749.35685452751</v>
          </cell>
        </row>
        <row r="10">
          <cell r="E10" t="str">
            <v>沙埔头村&amp;上步祠堂村</v>
          </cell>
          <cell r="F10">
            <v>1.27827013616012</v>
          </cell>
          <cell r="G10">
            <v>2947.9</v>
          </cell>
          <cell r="H10">
            <v>3684.9</v>
          </cell>
        </row>
        <row r="11">
          <cell r="E11" t="str">
            <v>巴登村</v>
          </cell>
          <cell r="F11">
            <v>1.27555905470701</v>
          </cell>
          <cell r="G11">
            <v>2941.64780276129</v>
          </cell>
          <cell r="H11">
            <v>3677.05975345162</v>
          </cell>
        </row>
        <row r="12">
          <cell r="E12" t="str">
            <v>上沙椰树村</v>
          </cell>
          <cell r="F12">
            <v>1.27441348342839</v>
          </cell>
          <cell r="G12">
            <v>2939.00592803019</v>
          </cell>
          <cell r="H12">
            <v>3673.75741003774</v>
          </cell>
        </row>
        <row r="13">
          <cell r="E13" t="str">
            <v>埔尾村</v>
          </cell>
          <cell r="F13">
            <v>1.26903401760107</v>
          </cell>
          <cell r="G13">
            <v>2926.6</v>
          </cell>
          <cell r="H13">
            <v>3658.3</v>
          </cell>
        </row>
        <row r="14">
          <cell r="E14" t="str">
            <v>沙嘴村</v>
          </cell>
          <cell r="F14">
            <v>1.2658685872968</v>
          </cell>
          <cell r="G14">
            <v>2919.3</v>
          </cell>
          <cell r="H14">
            <v>3649.1</v>
          </cell>
        </row>
        <row r="15">
          <cell r="E15" t="str">
            <v>上沙东村</v>
          </cell>
          <cell r="F15">
            <v>1.26078206198809</v>
          </cell>
          <cell r="G15">
            <v>2907.56964071726</v>
          </cell>
          <cell r="H15">
            <v>3634.46205089657</v>
          </cell>
        </row>
        <row r="16">
          <cell r="E16" t="str">
            <v>布尾村</v>
          </cell>
          <cell r="F16">
            <v>1.25888729580381</v>
          </cell>
          <cell r="G16">
            <v>2903.2</v>
          </cell>
          <cell r="H16">
            <v>3629.1</v>
          </cell>
        </row>
        <row r="17">
          <cell r="E17" t="str">
            <v>石厦西村</v>
          </cell>
          <cell r="F17">
            <v>1.24885018172238</v>
          </cell>
          <cell r="G17">
            <v>2880.05277331946</v>
          </cell>
          <cell r="H17">
            <v>3600.06596664933</v>
          </cell>
        </row>
        <row r="18">
          <cell r="E18" t="str">
            <v>上梅林新村</v>
          </cell>
          <cell r="F18">
            <v>1.2267455947378</v>
          </cell>
          <cell r="G18">
            <v>2829.07598044249</v>
          </cell>
          <cell r="H18">
            <v>3536.34497555311</v>
          </cell>
        </row>
        <row r="19">
          <cell r="E19" t="str">
            <v>新兴村</v>
          </cell>
          <cell r="F19">
            <v>1.20697165522613</v>
          </cell>
          <cell r="G19">
            <v>2783.47404182446</v>
          </cell>
          <cell r="H19">
            <v>3479.34255228057</v>
          </cell>
        </row>
        <row r="20">
          <cell r="E20" t="str">
            <v>轻铁花园</v>
          </cell>
          <cell r="F20">
            <v>1.20664968342118</v>
          </cell>
          <cell r="G20">
            <v>2782.73152218251</v>
          </cell>
          <cell r="H20">
            <v>3478.41440272814</v>
          </cell>
        </row>
        <row r="21">
          <cell r="E21" t="str">
            <v>荔园村</v>
          </cell>
          <cell r="F21">
            <v>1.20550399493875</v>
          </cell>
          <cell r="G21">
            <v>2780.08937716026</v>
          </cell>
          <cell r="H21">
            <v>3475.11172145032</v>
          </cell>
        </row>
        <row r="22">
          <cell r="E22" t="str">
            <v>31区水口花园</v>
          </cell>
          <cell r="F22">
            <v>1.1949282588339</v>
          </cell>
          <cell r="G22">
            <v>2755.7</v>
          </cell>
          <cell r="H22">
            <v>3302.1</v>
          </cell>
        </row>
        <row r="23">
          <cell r="E23" t="str">
            <v>笋岗村</v>
          </cell>
          <cell r="F23">
            <v>1.19104492827083</v>
          </cell>
          <cell r="G23">
            <v>2746.74440458787</v>
          </cell>
          <cell r="H23">
            <v>3433.43050573484</v>
          </cell>
        </row>
        <row r="24">
          <cell r="E24" t="str">
            <v>劳动二队东区</v>
          </cell>
          <cell r="F24">
            <v>1.18255522034156</v>
          </cell>
          <cell r="G24">
            <v>2727.16574957848</v>
          </cell>
          <cell r="H24">
            <v>3408.9571869731</v>
          </cell>
        </row>
        <row r="25">
          <cell r="E25" t="str">
            <v>麻布新村</v>
          </cell>
          <cell r="F25">
            <v>1.17895088765876</v>
          </cell>
          <cell r="G25">
            <v>2718.85356890942</v>
          </cell>
          <cell r="H25">
            <v>3398.56696113678</v>
          </cell>
        </row>
        <row r="26">
          <cell r="E26" t="str">
            <v>径贝新村</v>
          </cell>
          <cell r="F26">
            <v>1.16109476102067</v>
          </cell>
          <cell r="G26">
            <v>2677.67442044355</v>
          </cell>
          <cell r="H26">
            <v>3347.09302555444</v>
          </cell>
        </row>
        <row r="27">
          <cell r="E27" t="str">
            <v>安乐42区</v>
          </cell>
          <cell r="F27">
            <v>1.11585105132932</v>
          </cell>
          <cell r="G27">
            <v>2573.33502611194</v>
          </cell>
          <cell r="H27">
            <v>3220.18121591023</v>
          </cell>
        </row>
        <row r="28">
          <cell r="E28" t="str">
            <v>永丰八区</v>
          </cell>
          <cell r="F28">
            <v>1.09389466145091</v>
          </cell>
          <cell r="G28">
            <v>2522.7</v>
          </cell>
          <cell r="H28">
            <v>3173.7</v>
          </cell>
        </row>
        <row r="29">
          <cell r="E29" t="str">
            <v>海乐社区39区</v>
          </cell>
          <cell r="F29">
            <v>1.08311394251689</v>
          </cell>
          <cell r="G29">
            <v>2497.83789890995</v>
          </cell>
          <cell r="H29">
            <v>3122.29737363743</v>
          </cell>
        </row>
        <row r="30">
          <cell r="E30" t="str">
            <v>27区裕安新苑/32区上川五片</v>
          </cell>
          <cell r="F30">
            <v>1.0798099938106</v>
          </cell>
          <cell r="G30">
            <v>2490.21845281969</v>
          </cell>
          <cell r="H30">
            <v>3165.40399333884</v>
          </cell>
        </row>
        <row r="31">
          <cell r="E31" t="str">
            <v>湖贝新村</v>
          </cell>
          <cell r="F31">
            <v>1.05962681204924</v>
          </cell>
          <cell r="G31">
            <v>2443.6727346407</v>
          </cell>
          <cell r="H31">
            <v>3133.29292052129</v>
          </cell>
        </row>
        <row r="32">
          <cell r="E32" t="str">
            <v>黄贝岭</v>
          </cell>
          <cell r="F32">
            <v>1.04057468346481</v>
          </cell>
          <cell r="G32">
            <v>2399.73541007585</v>
          </cell>
          <cell r="H32">
            <v>3102.03569943093</v>
          </cell>
        </row>
        <row r="33">
          <cell r="E33" t="str">
            <v>74区布心二村</v>
          </cell>
          <cell r="F33">
            <v>1</v>
          </cell>
          <cell r="G33">
            <v>2306.1635538599</v>
          </cell>
          <cell r="H33">
            <v>3032.4076916371</v>
          </cell>
        </row>
        <row r="34">
          <cell r="E34" t="str">
            <v>白石龙一区</v>
          </cell>
          <cell r="F34">
            <v>0.991777012593855</v>
          </cell>
          <cell r="G34">
            <v>2287.2</v>
          </cell>
          <cell r="H34">
            <v>3014.3</v>
          </cell>
        </row>
        <row r="35">
          <cell r="E35" t="str">
            <v>岭下花园</v>
          </cell>
          <cell r="F35">
            <v>0.974936794555677</v>
          </cell>
          <cell r="G35">
            <v>2248.3637029213</v>
          </cell>
          <cell r="H35">
            <v>2987.31698594607</v>
          </cell>
        </row>
        <row r="36">
          <cell r="E36" t="str">
            <v>坳下村</v>
          </cell>
          <cell r="F36">
            <v>0.973064819090319</v>
          </cell>
          <cell r="G36">
            <v>2244.04662132937</v>
          </cell>
          <cell r="H36">
            <v>2983.88536724303</v>
          </cell>
        </row>
        <row r="37">
          <cell r="E37" t="str">
            <v>白石龙二区</v>
          </cell>
          <cell r="F37">
            <v>0.964025294857756</v>
          </cell>
          <cell r="G37">
            <v>2223.2</v>
          </cell>
          <cell r="H37">
            <v>2963.8</v>
          </cell>
        </row>
        <row r="38">
          <cell r="E38" t="str">
            <v>白石龙老村</v>
          </cell>
          <cell r="F38">
            <v>0.954268831591158</v>
          </cell>
          <cell r="G38">
            <v>2200.7</v>
          </cell>
          <cell r="H38">
            <v>2945.6</v>
          </cell>
        </row>
        <row r="39">
          <cell r="E39" t="str">
            <v>高树围新村</v>
          </cell>
          <cell r="F39">
            <v>0.951450297758586</v>
          </cell>
          <cell r="G39">
            <v>2194.2</v>
          </cell>
          <cell r="H39">
            <v>2943.6</v>
          </cell>
        </row>
        <row r="40">
          <cell r="E40" t="str">
            <v>流塘旧村</v>
          </cell>
          <cell r="F40">
            <v>0.94817595442209</v>
          </cell>
          <cell r="G40">
            <v>2186.64882873455</v>
          </cell>
          <cell r="H40">
            <v>2937.4176816903</v>
          </cell>
        </row>
        <row r="41">
          <cell r="E41" t="str">
            <v>东泉新村</v>
          </cell>
          <cell r="F41">
            <v>0.932197543579167</v>
          </cell>
          <cell r="G41">
            <v>2149.8</v>
          </cell>
          <cell r="H41">
            <v>2903.4</v>
          </cell>
        </row>
        <row r="42">
          <cell r="E42" t="str">
            <v>逸秀新村</v>
          </cell>
          <cell r="F42">
            <v>0.925086165909291</v>
          </cell>
          <cell r="G42">
            <v>2133.4</v>
          </cell>
          <cell r="H42">
            <v>2889.6</v>
          </cell>
        </row>
        <row r="43">
          <cell r="E43" t="str">
            <v>创业花园</v>
          </cell>
          <cell r="F43">
            <v>0.914735191409839</v>
          </cell>
          <cell r="G43">
            <v>2109.52895986243</v>
          </cell>
          <cell r="H43">
            <v>2869.29868756391</v>
          </cell>
        </row>
        <row r="44">
          <cell r="E44" t="str">
            <v>禾坪岗村</v>
          </cell>
          <cell r="F44">
            <v>0.902234360835972</v>
          </cell>
          <cell r="G44">
            <v>2080.7</v>
          </cell>
          <cell r="H44">
            <v>2851.9</v>
          </cell>
        </row>
        <row r="45">
          <cell r="E45" t="str">
            <v>中心围村</v>
          </cell>
          <cell r="F45">
            <v>0.899849447593026</v>
          </cell>
          <cell r="G45">
            <v>2075.2</v>
          </cell>
          <cell r="H45">
            <v>2847.3</v>
          </cell>
        </row>
        <row r="46">
          <cell r="E46" t="str">
            <v>马蹄山村</v>
          </cell>
          <cell r="F46">
            <v>0.899806085534063</v>
          </cell>
          <cell r="G46">
            <v>2075.1</v>
          </cell>
          <cell r="H46">
            <v>2847.2</v>
          </cell>
        </row>
        <row r="47">
          <cell r="E47" t="str">
            <v>横岭村三区</v>
          </cell>
          <cell r="F47">
            <v>0.874504791787976</v>
          </cell>
          <cell r="G47">
            <v>2016.75107849727</v>
          </cell>
          <cell r="H47">
            <v>2790.68765226871</v>
          </cell>
        </row>
        <row r="48">
          <cell r="E48" t="str">
            <v>塘水围二区</v>
          </cell>
          <cell r="F48">
            <v>0.842654891821283</v>
          </cell>
          <cell r="G48">
            <v>1943.3</v>
          </cell>
          <cell r="H48">
            <v>2720.1</v>
          </cell>
        </row>
        <row r="49">
          <cell r="E49" t="str">
            <v>东边新村</v>
          </cell>
          <cell r="F49">
            <v>0.819499552335225</v>
          </cell>
          <cell r="G49">
            <v>1889.9</v>
          </cell>
          <cell r="H49">
            <v>2669.3</v>
          </cell>
        </row>
        <row r="50">
          <cell r="E50" t="str">
            <v>龙胜村</v>
          </cell>
          <cell r="F50">
            <v>0.809309468479001</v>
          </cell>
          <cell r="G50">
            <v>1866.4</v>
          </cell>
          <cell r="H50">
            <v>2646.53944981253</v>
          </cell>
        </row>
        <row r="51">
          <cell r="E51" t="str">
            <v>后瑞村</v>
          </cell>
          <cell r="F51">
            <v>0.775920683077757</v>
          </cell>
          <cell r="G51">
            <v>1789.4</v>
          </cell>
          <cell r="H51">
            <v>2576.7</v>
          </cell>
        </row>
        <row r="52">
          <cell r="E52" t="str">
            <v>弓村</v>
          </cell>
          <cell r="F52">
            <v>0.768288960700329</v>
          </cell>
          <cell r="G52">
            <v>1771.8</v>
          </cell>
          <cell r="H52">
            <v>2552.2</v>
          </cell>
        </row>
        <row r="53">
          <cell r="E53" t="str">
            <v>红湾新村</v>
          </cell>
          <cell r="F53">
            <v>0.761351031266304</v>
          </cell>
          <cell r="G53">
            <v>1755.8</v>
          </cell>
          <cell r="H53">
            <v>2538.5</v>
          </cell>
        </row>
        <row r="54">
          <cell r="E54" t="str">
            <v>赤岭头村</v>
          </cell>
          <cell r="F54">
            <v>0.75801215272618</v>
          </cell>
          <cell r="G54">
            <v>1748.1</v>
          </cell>
          <cell r="H54">
            <v>2528</v>
          </cell>
        </row>
        <row r="55">
          <cell r="E55" t="str">
            <v>大芬村</v>
          </cell>
          <cell r="F55">
            <v>0.748617000662535</v>
          </cell>
          <cell r="G55">
            <v>1726.43324272785</v>
          </cell>
          <cell r="H55">
            <v>2508.17812600685</v>
          </cell>
        </row>
        <row r="56">
          <cell r="E56" t="str">
            <v>桔子村芬桔&amp;芬龙</v>
          </cell>
          <cell r="F56">
            <v>0.746561703272548</v>
          </cell>
          <cell r="G56">
            <v>1721.69339079472</v>
          </cell>
          <cell r="H56">
            <v>2503.23310118557</v>
          </cell>
        </row>
        <row r="57">
          <cell r="E57" t="str">
            <v>元芬新村</v>
          </cell>
          <cell r="F57">
            <v>0.740580605023192</v>
          </cell>
          <cell r="G57">
            <v>1707.9</v>
          </cell>
          <cell r="H57">
            <v>2486.2</v>
          </cell>
        </row>
        <row r="58">
          <cell r="E58" t="str">
            <v>鹊山新村</v>
          </cell>
          <cell r="F58">
            <v>0.737631985013732</v>
          </cell>
          <cell r="G58">
            <v>1701.1</v>
          </cell>
          <cell r="H58">
            <v>2479.02980766755</v>
          </cell>
        </row>
        <row r="59">
          <cell r="E59" t="str">
            <v>兴围村</v>
          </cell>
          <cell r="F59">
            <v>0.708882939921491</v>
          </cell>
          <cell r="G59">
            <v>1634.8</v>
          </cell>
          <cell r="H59">
            <v>2426.1</v>
          </cell>
        </row>
        <row r="60">
          <cell r="E60" t="str">
            <v>下早新村</v>
          </cell>
          <cell r="F60">
            <v>0.7044600099073</v>
          </cell>
          <cell r="G60">
            <v>1624.6</v>
          </cell>
          <cell r="H60">
            <v>2397.1</v>
          </cell>
        </row>
        <row r="61">
          <cell r="E61" t="str">
            <v>桔子村山顶</v>
          </cell>
          <cell r="F61">
            <v>0.703290114154697</v>
          </cell>
          <cell r="G61">
            <v>1621.90202905353</v>
          </cell>
          <cell r="H61">
            <v>2396.64089889533</v>
          </cell>
        </row>
        <row r="62">
          <cell r="E62" t="str">
            <v>福围村</v>
          </cell>
          <cell r="F62">
            <v>0.699039752536968</v>
          </cell>
          <cell r="G62">
            <v>1612.1</v>
          </cell>
          <cell r="H62">
            <v>2402.5</v>
          </cell>
        </row>
        <row r="63">
          <cell r="E63" t="str">
            <v>富联新村</v>
          </cell>
          <cell r="F63">
            <v>0.696068941409365</v>
          </cell>
          <cell r="G63">
            <v>1605.24882365212</v>
          </cell>
          <cell r="H63">
            <v>2378.39151491126</v>
          </cell>
        </row>
        <row r="64">
          <cell r="E64" t="str">
            <v>新和一区/二区</v>
          </cell>
          <cell r="F64">
            <v>0.69123458192369</v>
          </cell>
          <cell r="G64">
            <v>1594.1</v>
          </cell>
          <cell r="H64">
            <v>2402.5</v>
          </cell>
        </row>
        <row r="65">
          <cell r="E65" t="str">
            <v>陶吓新村</v>
          </cell>
          <cell r="F65">
            <v>0.687418720734977</v>
          </cell>
          <cell r="G65">
            <v>1585.3</v>
          </cell>
          <cell r="H65">
            <v>2353.9</v>
          </cell>
        </row>
        <row r="66">
          <cell r="E66" t="str">
            <v>清湖新村</v>
          </cell>
          <cell r="F66">
            <v>0.672089860226861</v>
          </cell>
          <cell r="G66">
            <v>1549.94914057398</v>
          </cell>
          <cell r="H66">
            <v>2316.84502135192</v>
          </cell>
        </row>
        <row r="67">
          <cell r="E67" t="str">
            <v>谭罗华侨新村</v>
          </cell>
          <cell r="F67">
            <v>0.663743036541367</v>
          </cell>
          <cell r="G67">
            <v>1530.7</v>
          </cell>
          <cell r="H67">
            <v>2292.8</v>
          </cell>
        </row>
        <row r="68">
          <cell r="E68" t="str">
            <v>三合新二村</v>
          </cell>
          <cell r="F68">
            <v>0.663675543670222</v>
          </cell>
          <cell r="G68">
            <v>1530.54435040042</v>
          </cell>
          <cell r="H68">
            <v>2292.5691359225</v>
          </cell>
        </row>
        <row r="69">
          <cell r="E69" t="str">
            <v>三合华侨新村</v>
          </cell>
          <cell r="F69">
            <v>0.663526226246554</v>
          </cell>
          <cell r="G69">
            <v>1530.2</v>
          </cell>
          <cell r="H69">
            <v>2292.2</v>
          </cell>
        </row>
        <row r="70">
          <cell r="E70" t="str">
            <v>下横朗新村</v>
          </cell>
          <cell r="F70">
            <v>0.659797089175761</v>
          </cell>
          <cell r="G70">
            <v>1521.59999999999</v>
          </cell>
          <cell r="H70">
            <v>2282.40879518824</v>
          </cell>
        </row>
        <row r="71">
          <cell r="E71" t="str">
            <v>鹤州旧村</v>
          </cell>
          <cell r="F71">
            <v>0.656904210223792</v>
          </cell>
          <cell r="G71">
            <v>1514.92854799523</v>
          </cell>
          <cell r="H71">
            <v>2277.11603383402</v>
          </cell>
        </row>
        <row r="72">
          <cell r="E72" t="str">
            <v>鹤洲东区</v>
          </cell>
          <cell r="F72">
            <v>0.644230110008172</v>
          </cell>
          <cell r="G72">
            <v>1485.7</v>
          </cell>
          <cell r="H72">
            <v>2243.5</v>
          </cell>
        </row>
        <row r="73">
          <cell r="E73" t="str">
            <v>桥南/桥荣/桥头</v>
          </cell>
          <cell r="F73">
            <v>0.641858184346354</v>
          </cell>
          <cell r="G73">
            <v>1480.22995148625</v>
          </cell>
          <cell r="H73">
            <v>2237.17691205664</v>
          </cell>
        </row>
        <row r="74">
          <cell r="E74" t="str">
            <v>应人石</v>
          </cell>
          <cell r="F74">
            <v>0.637252546842759</v>
          </cell>
          <cell r="G74">
            <v>1469.60859813317</v>
          </cell>
          <cell r="H74">
            <v>2224.83692063157</v>
          </cell>
        </row>
        <row r="75">
          <cell r="E75" t="str">
            <v>咸田</v>
          </cell>
          <cell r="F75">
            <v>0.630891733090475</v>
          </cell>
          <cell r="G75">
            <v>1454.93952128476</v>
          </cell>
          <cell r="H75">
            <v>2207.70600163055</v>
          </cell>
        </row>
        <row r="76">
          <cell r="E76" t="str">
            <v>福永新村</v>
          </cell>
          <cell r="F76">
            <v>0.629140113489168</v>
          </cell>
          <cell r="G76">
            <v>1450.9</v>
          </cell>
          <cell r="H76">
            <v>2202.1</v>
          </cell>
        </row>
        <row r="77">
          <cell r="E77" t="str">
            <v>翠岗</v>
          </cell>
          <cell r="F77">
            <v>0.628806523021882</v>
          </cell>
          <cell r="G77">
            <v>1450.13068582243</v>
          </cell>
          <cell r="H77">
            <v>2202.06784249969</v>
          </cell>
        </row>
        <row r="78">
          <cell r="E78" t="str">
            <v>聚福园小区</v>
          </cell>
          <cell r="F78">
            <v>0.616223156087737</v>
          </cell>
          <cell r="G78">
            <v>1421.11138361406</v>
          </cell>
          <cell r="H78">
            <v>2167.8104202485</v>
          </cell>
        </row>
        <row r="79">
          <cell r="E79" t="str">
            <v>鹤州西区</v>
          </cell>
          <cell r="F79">
            <v>0.610725942352835</v>
          </cell>
          <cell r="G79">
            <v>1408.43390965085</v>
          </cell>
          <cell r="H79">
            <v>2152.71886755881</v>
          </cell>
        </row>
        <row r="80">
          <cell r="E80" t="str">
            <v>新和西/新和东</v>
          </cell>
          <cell r="F80">
            <v>0.606227577865305</v>
          </cell>
          <cell r="G80">
            <v>1398.05994541773</v>
          </cell>
          <cell r="H80">
            <v>2140.3125844587</v>
          </cell>
        </row>
        <row r="81">
          <cell r="E81" t="str">
            <v>鹤洲新村</v>
          </cell>
          <cell r="F81">
            <v>0.603535636185349</v>
          </cell>
          <cell r="G81">
            <v>1391.8518876263</v>
          </cell>
          <cell r="H81">
            <v>2132.86384682774</v>
          </cell>
        </row>
        <row r="82">
          <cell r="E82" t="str">
            <v>龙腾阁（望牛亭)</v>
          </cell>
          <cell r="F82">
            <v>0.600075253597057</v>
          </cell>
          <cell r="G82">
            <v>1383.87167941877</v>
          </cell>
          <cell r="H82">
            <v>2123.26186286188</v>
          </cell>
        </row>
        <row r="83">
          <cell r="E83" t="str">
            <v>马山小区</v>
          </cell>
          <cell r="F83">
            <v>0.59700882779784</v>
          </cell>
          <cell r="G83">
            <v>1376.8</v>
          </cell>
          <cell r="H83">
            <v>2133.5</v>
          </cell>
        </row>
        <row r="84">
          <cell r="E84" t="str">
            <v>石龙头村</v>
          </cell>
          <cell r="F84">
            <v>0.59071115254345</v>
          </cell>
          <cell r="G84">
            <v>1362.27653085428</v>
          </cell>
          <cell r="H84">
            <v>2097.12612819244</v>
          </cell>
        </row>
        <row r="85">
          <cell r="E85" t="str">
            <v>新和三区、华达村</v>
          </cell>
          <cell r="F85">
            <v>0.588904269783077</v>
          </cell>
          <cell r="G85">
            <v>1358.10956368621</v>
          </cell>
          <cell r="H85">
            <v>2092.05748213154</v>
          </cell>
        </row>
        <row r="86">
          <cell r="E86" t="str">
            <v>芳华</v>
          </cell>
          <cell r="F86">
            <v>0.583543056663662</v>
          </cell>
          <cell r="G86">
            <v>1345.74572938574</v>
          </cell>
          <cell r="H86">
            <v>2076.96965590494</v>
          </cell>
        </row>
        <row r="87">
          <cell r="E87" t="str">
            <v>裕华园</v>
          </cell>
          <cell r="F87">
            <v>0.583424410706127</v>
          </cell>
          <cell r="G87">
            <v>1345.47211240266</v>
          </cell>
          <cell r="H87">
            <v>2076.63493332796</v>
          </cell>
        </row>
        <row r="88">
          <cell r="E88" t="str">
            <v>罗租村</v>
          </cell>
          <cell r="F88">
            <v>0.581288163740068</v>
          </cell>
          <cell r="G88">
            <v>1340.54557750749</v>
          </cell>
          <cell r="H88">
            <v>2070.60208488804</v>
          </cell>
        </row>
        <row r="89">
          <cell r="E89" t="str">
            <v>福海路小区</v>
          </cell>
          <cell r="F89">
            <v>0.57400000980596</v>
          </cell>
          <cell r="G89">
            <v>1323.73790252973</v>
          </cell>
          <cell r="H89">
            <v>2049.93315061735</v>
          </cell>
        </row>
        <row r="90">
          <cell r="E90" t="str">
            <v>塘尾村</v>
          </cell>
          <cell r="F90">
            <v>0.571772109481575</v>
          </cell>
          <cell r="G90">
            <v>1318.6</v>
          </cell>
          <cell r="H90">
            <v>2043.6</v>
          </cell>
        </row>
        <row r="91">
          <cell r="E91" t="str">
            <v>大万新村</v>
          </cell>
          <cell r="F91">
            <v>0.544947412499594</v>
          </cell>
          <cell r="G91">
            <v>1256.73786147682</v>
          </cell>
          <cell r="H91">
            <v>1966.20544806873</v>
          </cell>
        </row>
        <row r="92">
          <cell r="E92" t="str">
            <v>后亭村</v>
          </cell>
          <cell r="F92">
            <v>0.529580826110911</v>
          </cell>
          <cell r="G92">
            <v>1221.3</v>
          </cell>
          <cell r="H92">
            <v>1941.9</v>
          </cell>
        </row>
        <row r="93">
          <cell r="E93" t="str">
            <v>同益新村西</v>
          </cell>
          <cell r="F93">
            <v>0.5192829722189</v>
          </cell>
          <cell r="G93">
            <v>1197.55146467127</v>
          </cell>
          <cell r="H93">
            <v>1890.46573020537</v>
          </cell>
        </row>
        <row r="94">
          <cell r="E94" t="str">
            <v>瓦窑头</v>
          </cell>
          <cell r="F94">
            <v>0.510241347813567</v>
          </cell>
          <cell r="G94">
            <v>1176.7</v>
          </cell>
          <cell r="H94">
            <v>1750.7</v>
          </cell>
        </row>
        <row r="95">
          <cell r="E95" t="str">
            <v>和顺新村/玻璃围</v>
          </cell>
          <cell r="F95">
            <v>0.501117211734041</v>
          </cell>
          <cell r="G95">
            <v>1155.65824991294</v>
          </cell>
          <cell r="H95">
            <v>1835.84854072861</v>
          </cell>
        </row>
        <row r="96">
          <cell r="E96" t="str">
            <v>东方二街</v>
          </cell>
          <cell r="F96">
            <v>0.422649988709003</v>
          </cell>
          <cell r="G96">
            <v>974.7</v>
          </cell>
          <cell r="H96">
            <v>1610.2</v>
          </cell>
        </row>
        <row r="97">
          <cell r="E97" t="str">
            <v>洪田</v>
          </cell>
          <cell r="F97">
            <v>0.398036530048018</v>
          </cell>
          <cell r="G97">
            <v>917.9373387016</v>
          </cell>
          <cell r="H97">
            <v>1510.1154822756</v>
          </cell>
        </row>
        <row r="98">
          <cell r="E98" t="str">
            <v>塘下涌</v>
          </cell>
          <cell r="F98">
            <v>0.373178751359453</v>
          </cell>
          <cell r="G98">
            <v>860.611235460115</v>
          </cell>
          <cell r="H98">
            <v>1427.5422150838</v>
          </cell>
        </row>
        <row r="99">
          <cell r="E99" t="str">
            <v>清水河新村</v>
          </cell>
          <cell r="F99">
            <v>1.00557870363954</v>
          </cell>
          <cell r="G99">
            <v>2319.0289568712</v>
          </cell>
          <cell r="H99">
            <v>3042.22797689445</v>
          </cell>
        </row>
        <row r="100">
          <cell r="E100" t="str">
            <v>水库新村</v>
          </cell>
          <cell r="F100">
            <v>0.960128896151567</v>
          </cell>
          <cell r="G100">
            <v>2214.21426731248</v>
          </cell>
          <cell r="H100">
            <v>2959.92951051446</v>
          </cell>
        </row>
        <row r="101">
          <cell r="E101" t="str">
            <v>宝罗小区</v>
          </cell>
          <cell r="F101">
            <v>0.59</v>
          </cell>
          <cell r="G101">
            <v>1305.5</v>
          </cell>
          <cell r="H101">
            <v>2027.3</v>
          </cell>
        </row>
        <row r="102">
          <cell r="E102" t="str">
            <v>新洲北村</v>
          </cell>
        </row>
        <row r="102">
          <cell r="G102">
            <v>2994.2</v>
          </cell>
          <cell r="H102">
            <v>3742.7</v>
          </cell>
        </row>
        <row r="103">
          <cell r="E103" t="str">
            <v>灶下村</v>
          </cell>
          <cell r="F103">
            <v>1.03</v>
          </cell>
          <cell r="G103">
            <v>2399.6</v>
          </cell>
          <cell r="H103">
            <v>3102</v>
          </cell>
        </row>
        <row r="104">
          <cell r="E104" t="str">
            <v>罗湖村</v>
          </cell>
          <cell r="F104">
            <v>1.01</v>
          </cell>
          <cell r="G104">
            <v>2333.8</v>
          </cell>
          <cell r="H104">
            <v>3053.4</v>
          </cell>
        </row>
        <row r="105">
          <cell r="E105" t="str">
            <v>雪象花园新村</v>
          </cell>
          <cell r="F105">
            <v>0.77</v>
          </cell>
          <cell r="G105">
            <v>1789.9</v>
          </cell>
          <cell r="H105">
            <v>2571.3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F11"/>
  <sheetViews>
    <sheetView workbookViewId="0">
      <selection activeCell="J8" sqref="J8"/>
    </sheetView>
  </sheetViews>
  <sheetFormatPr defaultColWidth="9" defaultRowHeight="14.25" outlineLevelCol="5"/>
  <cols>
    <col min="2" max="2" width="7.91666666666667" customWidth="1"/>
    <col min="3" max="3" width="16.0833333333333" style="305" customWidth="1"/>
    <col min="4" max="4" width="44" style="306" customWidth="1"/>
    <col min="5" max="5" width="13.9166666666667" customWidth="1"/>
    <col min="6" max="6" width="16.0833333333333" style="305" customWidth="1"/>
  </cols>
  <sheetData>
    <row r="1" ht="15"/>
    <row r="2" ht="16.5" spans="2:6">
      <c r="B2" s="307" t="s">
        <v>0</v>
      </c>
      <c r="C2" s="308" t="s">
        <v>1</v>
      </c>
      <c r="D2" s="309" t="s">
        <v>2</v>
      </c>
      <c r="E2" s="309" t="s">
        <v>3</v>
      </c>
      <c r="F2" s="310" t="s">
        <v>4</v>
      </c>
    </row>
    <row r="3" ht="15" spans="2:6">
      <c r="B3" s="311" t="s">
        <v>5</v>
      </c>
      <c r="C3" s="311">
        <v>44036</v>
      </c>
      <c r="D3" s="312" t="s">
        <v>6</v>
      </c>
      <c r="E3" s="311"/>
      <c r="F3" s="311">
        <v>44039</v>
      </c>
    </row>
    <row r="4" ht="43.5" spans="2:6">
      <c r="B4" s="311" t="s">
        <v>7</v>
      </c>
      <c r="C4" s="311">
        <v>44056</v>
      </c>
      <c r="D4" s="312" t="s">
        <v>8</v>
      </c>
      <c r="E4" s="311" t="s">
        <v>9</v>
      </c>
      <c r="F4" s="311">
        <v>44056</v>
      </c>
    </row>
    <row r="5" ht="72" spans="2:6">
      <c r="B5" s="311" t="s">
        <v>10</v>
      </c>
      <c r="C5" s="311">
        <v>44131</v>
      </c>
      <c r="D5" s="312" t="s">
        <v>11</v>
      </c>
      <c r="E5" s="311" t="s">
        <v>12</v>
      </c>
      <c r="F5" s="311">
        <v>44132</v>
      </c>
    </row>
    <row r="6" ht="165.75" spans="2:6">
      <c r="B6" s="311" t="s">
        <v>13</v>
      </c>
      <c r="C6" s="311">
        <v>44281</v>
      </c>
      <c r="D6" s="312" t="s">
        <v>14</v>
      </c>
      <c r="E6" s="311"/>
      <c r="F6" s="311">
        <v>44287</v>
      </c>
    </row>
    <row r="7" ht="72" spans="2:6">
      <c r="B7" s="311" t="s">
        <v>15</v>
      </c>
      <c r="C7" s="311">
        <v>44670</v>
      </c>
      <c r="D7" s="312" t="s">
        <v>16</v>
      </c>
      <c r="E7" s="311"/>
      <c r="F7" s="311">
        <v>44670</v>
      </c>
    </row>
    <row r="8" ht="72" spans="2:6">
      <c r="B8" s="311" t="s">
        <v>17</v>
      </c>
      <c r="C8" s="311">
        <v>45127</v>
      </c>
      <c r="D8" s="312" t="s">
        <v>18</v>
      </c>
      <c r="E8" s="311"/>
      <c r="F8" s="311">
        <v>45127</v>
      </c>
    </row>
    <row r="9" ht="15" spans="2:6">
      <c r="B9" s="311" t="s">
        <v>19</v>
      </c>
      <c r="C9" s="311">
        <v>45468</v>
      </c>
      <c r="D9" s="313" t="s">
        <v>20</v>
      </c>
      <c r="E9" s="311"/>
      <c r="F9" s="311">
        <v>45468</v>
      </c>
    </row>
    <row r="10" ht="15" spans="2:6">
      <c r="B10" s="311" t="s">
        <v>21</v>
      </c>
      <c r="C10" s="311">
        <v>45482</v>
      </c>
      <c r="D10" s="312" t="s">
        <v>22</v>
      </c>
      <c r="E10" s="311"/>
      <c r="F10" s="311">
        <v>45482</v>
      </c>
    </row>
    <row r="11" ht="15" spans="2:6">
      <c r="B11" s="311" t="s">
        <v>23</v>
      </c>
      <c r="C11" s="311">
        <v>45483</v>
      </c>
      <c r="D11" s="312" t="s">
        <v>24</v>
      </c>
      <c r="E11" s="311"/>
      <c r="F11" s="311">
        <v>45483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88"/>
  <sheetViews>
    <sheetView workbookViewId="0">
      <pane xSplit="3" ySplit="1" topLeftCell="I17" activePane="bottomRight" state="frozen"/>
      <selection/>
      <selection pane="topRight"/>
      <selection pane="bottomLeft"/>
      <selection pane="bottomRight" activeCell="L18" sqref="L18"/>
    </sheetView>
  </sheetViews>
  <sheetFormatPr defaultColWidth="9" defaultRowHeight="36.15" customHeight="1"/>
  <cols>
    <col min="1" max="1" width="32.5" customWidth="1"/>
    <col min="2" max="2" width="9" customWidth="1"/>
    <col min="3" max="3" width="20.75" style="241" customWidth="1"/>
    <col min="4" max="4" width="29.25" style="242" customWidth="1"/>
    <col min="5" max="5" width="49.25" style="242" customWidth="1"/>
    <col min="6" max="6" width="18.9166666666667" style="243" customWidth="1"/>
    <col min="7" max="7" width="170.5" style="241" customWidth="1"/>
    <col min="8" max="8" width="38.25" style="244" customWidth="1"/>
    <col min="9" max="9" width="6.08333333333333" style="125" customWidth="1"/>
    <col min="10" max="10" width="5.16666666666667" customWidth="1"/>
    <col min="11" max="11" width="23.25" style="2" customWidth="1"/>
    <col min="12" max="12" width="19.4166666666667" customWidth="1"/>
    <col min="13" max="13" width="30.75" customWidth="1"/>
    <col min="14" max="14" width="37.1666666666667" customWidth="1"/>
    <col min="15" max="15" width="9.83333333333333" customWidth="1"/>
  </cols>
  <sheetData>
    <row r="1" s="238" customFormat="1" customHeight="1" spans="1:15">
      <c r="A1" s="245"/>
      <c r="B1" s="245" t="s">
        <v>25</v>
      </c>
      <c r="C1" s="245" t="s">
        <v>26</v>
      </c>
      <c r="D1" s="246" t="s">
        <v>27</v>
      </c>
      <c r="E1" s="246" t="s">
        <v>28</v>
      </c>
      <c r="F1" s="247" t="s">
        <v>29</v>
      </c>
      <c r="G1" s="248" t="s">
        <v>30</v>
      </c>
      <c r="H1" s="249"/>
      <c r="I1" s="250"/>
      <c r="K1" s="251"/>
      <c r="L1" s="252" t="s">
        <v>31</v>
      </c>
      <c r="M1" s="252">
        <f>VLOOKUP('【2】运营中心填-基本信息&amp;审核标准'!C2,[1]Sheet1!$E:$H,3,FALSE)</f>
        <v>1450.9</v>
      </c>
      <c r="N1" s="2"/>
    </row>
    <row r="2" customHeight="1" spans="1:15">
      <c r="A2" s="253" t="s">
        <v>32</v>
      </c>
      <c r="B2" s="253">
        <v>1</v>
      </c>
      <c r="C2" s="254" t="s">
        <v>33</v>
      </c>
      <c r="D2" s="255" t="s">
        <v>34</v>
      </c>
      <c r="E2" s="255" t="str">
        <f>$C$2&amp;D2</f>
        <v>区位交通很便利</v>
      </c>
      <c r="F2" s="256">
        <v>1.04</v>
      </c>
      <c r="G2" s="257" t="s">
        <v>35</v>
      </c>
      <c r="H2" s="258"/>
      <c r="I2" s="125" t="e">
        <f>J2*#REF!-J2</f>
        <v>#REF!</v>
      </c>
      <c r="J2">
        <v>1350</v>
      </c>
      <c r="L2" s="259" t="s">
        <v>36</v>
      </c>
      <c r="M2" s="259" t="s">
        <v>37</v>
      </c>
    </row>
    <row r="3" customHeight="1" spans="1:15">
      <c r="A3" s="260"/>
      <c r="B3" s="260"/>
      <c r="C3" s="254"/>
      <c r="D3" s="255" t="s">
        <v>38</v>
      </c>
      <c r="E3" s="255" t="str">
        <f>$C$2&amp;D3</f>
        <v>区位交通较便利</v>
      </c>
      <c r="F3" s="256">
        <v>1.02</v>
      </c>
      <c r="G3" s="257" t="s">
        <v>39</v>
      </c>
      <c r="H3" s="258"/>
      <c r="I3" s="125" t="e">
        <f>J3*#REF!-J3</f>
        <v>#REF!</v>
      </c>
      <c r="J3">
        <v>1350</v>
      </c>
      <c r="K3" s="2">
        <v>1</v>
      </c>
      <c r="L3" s="261" t="s">
        <v>40</v>
      </c>
      <c r="M3" s="226">
        <f>$M$1*K3</f>
        <v>1450.9</v>
      </c>
    </row>
    <row r="4" customHeight="1" spans="1:15">
      <c r="A4" s="260"/>
      <c r="B4" s="260"/>
      <c r="C4" s="254"/>
      <c r="D4" s="255" t="s">
        <v>41</v>
      </c>
      <c r="E4" s="255" t="str">
        <f>$C$2&amp;D4</f>
        <v>区位中心位置</v>
      </c>
      <c r="F4" s="256">
        <v>1</v>
      </c>
      <c r="G4" s="257" t="s">
        <v>42</v>
      </c>
      <c r="H4" s="258"/>
      <c r="I4" s="125">
        <f>J4*F2-J4</f>
        <v>54</v>
      </c>
      <c r="J4">
        <v>1350</v>
      </c>
      <c r="K4" s="2">
        <v>1.5</v>
      </c>
      <c r="L4" s="261" t="s">
        <v>43</v>
      </c>
      <c r="M4" s="226">
        <f>VLOOKUP('【2】运营中心填-基本信息&amp;审核标准'!C2,[1]Sheet1!$E:$H,4,FALSE)</f>
        <v>2202.1</v>
      </c>
    </row>
    <row r="5" customHeight="1" spans="1:15">
      <c r="A5" s="260"/>
      <c r="B5" s="260"/>
      <c r="C5" s="254"/>
      <c r="D5" s="255" t="s">
        <v>44</v>
      </c>
      <c r="E5" s="255" t="str">
        <f>$C$2&amp;D5</f>
        <v>区位交通较不便</v>
      </c>
      <c r="F5" s="256">
        <v>0.98</v>
      </c>
      <c r="G5" s="257" t="s">
        <v>45</v>
      </c>
      <c r="H5" s="258"/>
      <c r="I5" s="125">
        <f>J5*F3-J5</f>
        <v>27</v>
      </c>
      <c r="J5">
        <v>1350</v>
      </c>
      <c r="K5" s="2">
        <v>2</v>
      </c>
      <c r="L5" s="262" t="s">
        <v>46</v>
      </c>
      <c r="M5" s="226">
        <f t="shared" ref="M5:M11" si="0">$M$1*K5</f>
        <v>2901.8</v>
      </c>
    </row>
    <row r="6" customHeight="1" spans="1:15">
      <c r="A6" s="260"/>
      <c r="B6" s="263"/>
      <c r="C6" s="254"/>
      <c r="D6" s="255" t="s">
        <v>47</v>
      </c>
      <c r="E6" s="255" t="str">
        <f>$C$2&amp;D6</f>
        <v>区位交通很不便</v>
      </c>
      <c r="F6" s="256">
        <v>0.96</v>
      </c>
      <c r="G6" s="257" t="s">
        <v>48</v>
      </c>
      <c r="H6" s="258"/>
      <c r="I6" s="125">
        <v>100</v>
      </c>
      <c r="J6">
        <v>1350</v>
      </c>
      <c r="K6" s="2">
        <v>1</v>
      </c>
      <c r="L6" s="262" t="s">
        <v>49</v>
      </c>
      <c r="M6" s="226">
        <f t="shared" si="0"/>
        <v>1450.9</v>
      </c>
    </row>
    <row r="7" customHeight="1" spans="1:15">
      <c r="A7" s="260"/>
      <c r="B7" s="253">
        <v>2</v>
      </c>
      <c r="C7" s="264" t="s">
        <v>50</v>
      </c>
      <c r="D7" s="1" t="s">
        <v>51</v>
      </c>
      <c r="E7" s="1" t="str">
        <f>$C$7&amp;D7</f>
        <v>有无电梯有</v>
      </c>
      <c r="F7" s="256">
        <v>1.05</v>
      </c>
      <c r="G7" s="265" t="s">
        <v>52</v>
      </c>
      <c r="H7" s="266"/>
      <c r="I7" s="125">
        <v>80</v>
      </c>
      <c r="J7">
        <v>1350</v>
      </c>
      <c r="K7" s="2">
        <v>1</v>
      </c>
      <c r="L7" s="262" t="s">
        <v>53</v>
      </c>
      <c r="M7" s="226">
        <f t="shared" si="0"/>
        <v>1450.9</v>
      </c>
    </row>
    <row r="8" customHeight="1" spans="1:15">
      <c r="A8" s="263"/>
      <c r="B8" s="263"/>
      <c r="C8" s="264"/>
      <c r="D8" s="1" t="s">
        <v>54</v>
      </c>
      <c r="E8" s="1" t="str">
        <f>$C$7&amp;D8</f>
        <v>有无电梯无</v>
      </c>
      <c r="F8" s="256">
        <v>1</v>
      </c>
      <c r="G8" s="265"/>
      <c r="H8" s="266"/>
      <c r="I8" s="125">
        <f>J8*F6-J8</f>
        <v>-54</v>
      </c>
      <c r="J8">
        <v>1350</v>
      </c>
      <c r="K8" s="2">
        <v>1.5</v>
      </c>
      <c r="L8" s="262" t="s">
        <v>55</v>
      </c>
      <c r="M8" s="226">
        <f>M4</f>
        <v>2202.1</v>
      </c>
    </row>
    <row r="9" customHeight="1" spans="1:15">
      <c r="A9" s="267" t="s">
        <v>56</v>
      </c>
      <c r="B9" s="268">
        <v>1</v>
      </c>
      <c r="C9" s="269" t="s">
        <v>57</v>
      </c>
      <c r="D9" s="1" t="s">
        <v>58</v>
      </c>
      <c r="E9" s="1" t="str">
        <f>$C$9&amp;D9</f>
        <v>套内空间很宽敞</v>
      </c>
      <c r="F9" s="256">
        <v>1.1</v>
      </c>
      <c r="G9" s="265" t="s">
        <v>59</v>
      </c>
      <c r="H9" s="266"/>
      <c r="I9" s="125">
        <f>J9*F7-J9</f>
        <v>0</v>
      </c>
      <c r="K9" s="2">
        <v>2</v>
      </c>
      <c r="L9" s="262" t="s">
        <v>60</v>
      </c>
      <c r="M9" s="226">
        <f t="shared" si="0"/>
        <v>2901.8</v>
      </c>
    </row>
    <row r="10" customHeight="1" spans="1:15">
      <c r="A10" s="270"/>
      <c r="B10" s="268"/>
      <c r="C10" s="269"/>
      <c r="D10" s="1" t="s">
        <v>61</v>
      </c>
      <c r="E10" s="1" t="str">
        <f>$C$9&amp;D10</f>
        <v>套内空间较宽敞</v>
      </c>
      <c r="F10" s="256">
        <v>1.06</v>
      </c>
      <c r="G10" s="265"/>
      <c r="H10" s="266"/>
      <c r="I10" s="125">
        <f>J10*F8-J10</f>
        <v>0</v>
      </c>
      <c r="K10" s="2">
        <v>2</v>
      </c>
      <c r="L10" s="262" t="s">
        <v>62</v>
      </c>
      <c r="M10" s="226">
        <f t="shared" si="0"/>
        <v>2901.8</v>
      </c>
    </row>
    <row r="11" customHeight="1" spans="1:15">
      <c r="A11" s="270"/>
      <c r="B11" s="268"/>
      <c r="C11" s="269"/>
      <c r="D11" s="1" t="s">
        <v>63</v>
      </c>
      <c r="E11" s="1" t="str">
        <f>$C$9&amp;D11</f>
        <v>套内空间适中</v>
      </c>
      <c r="F11" s="256">
        <v>1</v>
      </c>
      <c r="G11" s="265"/>
      <c r="H11" s="266"/>
      <c r="I11" s="125" t="e">
        <f>J11*#REF!-J11</f>
        <v>#REF!</v>
      </c>
      <c r="K11" s="2">
        <v>2</v>
      </c>
      <c r="L11" s="262" t="s">
        <v>64</v>
      </c>
      <c r="M11" s="226">
        <f t="shared" si="0"/>
        <v>2901.8</v>
      </c>
    </row>
    <row r="12" customHeight="1" spans="1:15">
      <c r="A12" s="270"/>
      <c r="B12" s="268"/>
      <c r="C12" s="269"/>
      <c r="D12" s="1" t="s">
        <v>65</v>
      </c>
      <c r="E12" s="1" t="str">
        <f>$C$9&amp;D12</f>
        <v>套内空间较狭小</v>
      </c>
      <c r="F12" s="256">
        <v>0.95</v>
      </c>
      <c r="G12" s="265"/>
      <c r="H12" s="266"/>
      <c r="I12" s="125" t="e">
        <f>J12*#REF!-J12</f>
        <v>#REF!</v>
      </c>
    </row>
    <row r="13" customHeight="1" spans="1:15">
      <c r="A13" s="270"/>
      <c r="B13" s="268"/>
      <c r="C13" s="269"/>
      <c r="D13" s="1" t="s">
        <v>66</v>
      </c>
      <c r="E13" s="1" t="str">
        <f>$C$9&amp;D13</f>
        <v>套内空间很狭小</v>
      </c>
      <c r="F13" s="256">
        <v>0.9</v>
      </c>
      <c r="G13" s="265"/>
      <c r="H13" s="266"/>
      <c r="I13" s="125" t="e">
        <f>J13*#REF!-J13</f>
        <v>#REF!</v>
      </c>
    </row>
    <row r="14" s="239" customFormat="1" customHeight="1" spans="1:15">
      <c r="A14" s="270"/>
      <c r="B14" s="267">
        <v>3</v>
      </c>
      <c r="C14" s="269" t="s">
        <v>67</v>
      </c>
      <c r="D14" s="1" t="s">
        <v>51</v>
      </c>
      <c r="E14" s="1" t="str">
        <f>$C$14&amp;D14</f>
        <v>阳台有</v>
      </c>
      <c r="F14" s="256">
        <v>1.07</v>
      </c>
      <c r="G14" s="265"/>
      <c r="H14" s="266"/>
      <c r="I14" s="125" t="e">
        <f>J14*#REF!-J14</f>
        <v>#REF!</v>
      </c>
      <c r="K14" s="271"/>
    </row>
    <row r="15" s="239" customFormat="1" customHeight="1" spans="1:15">
      <c r="A15" s="270"/>
      <c r="B15" s="270"/>
      <c r="C15" s="269"/>
      <c r="D15" s="1" t="s">
        <v>54</v>
      </c>
      <c r="E15" s="1" t="str">
        <f>$C$14&amp;D15</f>
        <v>阳台无</v>
      </c>
      <c r="F15" s="256">
        <v>1</v>
      </c>
      <c r="G15" s="257"/>
      <c r="H15" s="258"/>
      <c r="I15" s="125"/>
      <c r="K15" s="271"/>
    </row>
    <row r="16" customHeight="1" spans="1:15">
      <c r="A16" s="270"/>
      <c r="B16" s="267">
        <v>4</v>
      </c>
      <c r="C16" s="269" t="s">
        <v>68</v>
      </c>
      <c r="D16" s="1" t="s">
        <v>54</v>
      </c>
      <c r="E16" s="1" t="str">
        <f>$C$16&amp;D16</f>
        <v>楼梯房楼层无</v>
      </c>
      <c r="F16" s="256">
        <v>1</v>
      </c>
      <c r="G16" s="265" t="s">
        <v>69</v>
      </c>
      <c r="H16" s="266"/>
      <c r="I16" s="125">
        <f>J16*F11-J16</f>
        <v>0</v>
      </c>
      <c r="J16">
        <v>1350</v>
      </c>
      <c r="K16" s="272" t="s">
        <v>70</v>
      </c>
      <c r="L16" s="273" t="s">
        <v>71</v>
      </c>
      <c r="M16" s="273" t="s">
        <v>72</v>
      </c>
      <c r="N16" s="273" t="s">
        <v>73</v>
      </c>
      <c r="O16" s="273" t="s">
        <v>74</v>
      </c>
    </row>
    <row r="17" customHeight="1" spans="1:15">
      <c r="A17" s="270"/>
      <c r="B17" s="270"/>
      <c r="C17" s="269"/>
      <c r="D17" s="1" t="s">
        <v>75</v>
      </c>
      <c r="E17" s="1" t="str">
        <f>$C$16&amp;D17</f>
        <v>楼梯房楼层1F</v>
      </c>
      <c r="F17" s="256">
        <v>0.91</v>
      </c>
      <c r="G17" s="265"/>
      <c r="H17" s="266"/>
      <c r="I17" s="125">
        <f>J17*F12-J17</f>
        <v>-67.5</v>
      </c>
      <c r="J17">
        <v>1350</v>
      </c>
      <c r="K17" s="274" t="s">
        <v>58</v>
      </c>
      <c r="L17" s="275" t="s">
        <v>76</v>
      </c>
      <c r="M17" s="275" t="s">
        <v>77</v>
      </c>
      <c r="N17" s="275" t="s">
        <v>78</v>
      </c>
      <c r="O17" s="275" t="s">
        <v>79</v>
      </c>
    </row>
    <row r="18" customHeight="1" spans="1:15">
      <c r="A18" s="270"/>
      <c r="B18" s="270"/>
      <c r="C18" s="269"/>
      <c r="D18" s="1" t="s">
        <v>80</v>
      </c>
      <c r="E18" s="1" t="str">
        <f t="shared" ref="E18:E25" si="1">$C$16&amp;D18</f>
        <v>楼梯房楼层2F</v>
      </c>
      <c r="F18" s="256">
        <v>1.02</v>
      </c>
      <c r="G18" s="265"/>
      <c r="H18" s="266"/>
      <c r="I18" s="125">
        <f>J18*F13-J18</f>
        <v>-135</v>
      </c>
      <c r="J18">
        <v>1350</v>
      </c>
      <c r="K18" s="274" t="s">
        <v>61</v>
      </c>
      <c r="L18" s="275" t="s">
        <v>81</v>
      </c>
      <c r="M18" s="275" t="s">
        <v>82</v>
      </c>
      <c r="N18" s="275" t="s">
        <v>83</v>
      </c>
      <c r="O18" s="275" t="s">
        <v>84</v>
      </c>
    </row>
    <row r="19" customHeight="1" spans="1:15">
      <c r="A19" s="270"/>
      <c r="B19" s="270"/>
      <c r="C19" s="269"/>
      <c r="D19" s="1" t="s">
        <v>85</v>
      </c>
      <c r="E19" s="1" t="str">
        <f t="shared" si="1"/>
        <v>楼梯房楼层3F</v>
      </c>
      <c r="F19" s="256">
        <v>1.01</v>
      </c>
      <c r="G19" s="265"/>
      <c r="H19" s="266"/>
      <c r="I19" s="125" t="e">
        <f>J19*#REF!-J19</f>
        <v>#REF!</v>
      </c>
      <c r="J19">
        <v>1350</v>
      </c>
      <c r="K19" s="274" t="s">
        <v>63</v>
      </c>
      <c r="L19" s="275" t="s">
        <v>86</v>
      </c>
      <c r="M19" s="275" t="s">
        <v>87</v>
      </c>
      <c r="N19" s="275" t="s">
        <v>88</v>
      </c>
      <c r="O19" s="275" t="s">
        <v>89</v>
      </c>
    </row>
    <row r="20" customHeight="1" spans="1:15">
      <c r="A20" s="270"/>
      <c r="B20" s="270"/>
      <c r="C20" s="269"/>
      <c r="D20" s="1" t="s">
        <v>90</v>
      </c>
      <c r="E20" s="1" t="str">
        <f t="shared" si="1"/>
        <v>楼梯房楼层4F</v>
      </c>
      <c r="F20" s="256">
        <v>1</v>
      </c>
      <c r="G20" s="265"/>
      <c r="H20" s="266"/>
      <c r="I20" s="125" t="e">
        <f>J20*#REF!-J20</f>
        <v>#REF!</v>
      </c>
      <c r="J20">
        <v>1350</v>
      </c>
      <c r="K20" s="274" t="s">
        <v>65</v>
      </c>
      <c r="L20" s="275" t="s">
        <v>91</v>
      </c>
      <c r="M20" s="275" t="s">
        <v>92</v>
      </c>
      <c r="N20" s="275" t="s">
        <v>93</v>
      </c>
      <c r="O20" s="275" t="s">
        <v>94</v>
      </c>
    </row>
    <row r="21" customHeight="1" spans="1:15">
      <c r="A21" s="270"/>
      <c r="B21" s="270"/>
      <c r="C21" s="269"/>
      <c r="D21" s="1" t="s">
        <v>95</v>
      </c>
      <c r="E21" s="1" t="str">
        <f t="shared" si="1"/>
        <v>楼梯房楼层5F</v>
      </c>
      <c r="F21" s="256">
        <v>0.99</v>
      </c>
      <c r="G21" s="265"/>
      <c r="H21" s="266"/>
      <c r="I21" s="125" t="e">
        <f>J21*#REF!-J21</f>
        <v>#REF!</v>
      </c>
      <c r="J21">
        <v>1350</v>
      </c>
      <c r="K21" s="274" t="s">
        <v>66</v>
      </c>
      <c r="L21" s="275" t="s">
        <v>96</v>
      </c>
      <c r="M21" s="275" t="s">
        <v>97</v>
      </c>
      <c r="N21" s="275" t="s">
        <v>98</v>
      </c>
      <c r="O21" s="275" t="s">
        <v>99</v>
      </c>
    </row>
    <row r="22" customHeight="1" spans="1:15">
      <c r="A22" s="270"/>
      <c r="B22" s="270"/>
      <c r="C22" s="269"/>
      <c r="D22" s="1" t="s">
        <v>100</v>
      </c>
      <c r="E22" s="1" t="str">
        <f t="shared" si="1"/>
        <v>楼梯房楼层6F</v>
      </c>
      <c r="F22" s="256">
        <v>0.98</v>
      </c>
      <c r="G22" s="265"/>
      <c r="H22" s="266"/>
      <c r="I22" s="125" t="e">
        <f>J22*#REF!-J22</f>
        <v>#REF!</v>
      </c>
      <c r="J22">
        <v>1350</v>
      </c>
    </row>
    <row r="23" customHeight="1" spans="1:15">
      <c r="A23" s="270"/>
      <c r="B23" s="270"/>
      <c r="C23" s="269"/>
      <c r="D23" s="1" t="s">
        <v>101</v>
      </c>
      <c r="E23" s="1" t="str">
        <f t="shared" si="1"/>
        <v>楼梯房楼层7F</v>
      </c>
      <c r="F23" s="256">
        <v>0.96</v>
      </c>
      <c r="G23" s="265"/>
      <c r="H23" s="266"/>
      <c r="I23" s="125" t="e">
        <f>J23*#REF!-J23</f>
        <v>#REF!</v>
      </c>
      <c r="J23">
        <v>1350</v>
      </c>
    </row>
    <row r="24" customHeight="1" spans="1:15">
      <c r="A24" s="270"/>
      <c r="B24" s="270"/>
      <c r="C24" s="269"/>
      <c r="D24" s="1" t="s">
        <v>102</v>
      </c>
      <c r="E24" s="1" t="str">
        <f t="shared" si="1"/>
        <v>楼梯房楼层8F</v>
      </c>
      <c r="F24" s="256">
        <v>0.93</v>
      </c>
      <c r="G24" s="265"/>
      <c r="H24" s="266"/>
      <c r="I24" s="125">
        <f>J24*F14-J24</f>
        <v>94.5</v>
      </c>
      <c r="J24">
        <v>1350</v>
      </c>
    </row>
    <row r="25" customHeight="1" spans="1:15">
      <c r="A25" s="270"/>
      <c r="B25" s="276"/>
      <c r="C25" s="269"/>
      <c r="D25" s="1" t="s">
        <v>103</v>
      </c>
      <c r="E25" s="1" t="str">
        <f t="shared" si="1"/>
        <v>楼梯房楼层9F</v>
      </c>
      <c r="F25" s="256">
        <v>0.9</v>
      </c>
      <c r="G25" s="265"/>
      <c r="H25" s="266"/>
      <c r="I25" s="125">
        <f>J25*F15-J25</f>
        <v>0</v>
      </c>
      <c r="J25">
        <v>1350</v>
      </c>
    </row>
    <row r="26" customHeight="1" spans="1:15">
      <c r="A26" s="270"/>
      <c r="B26" s="267">
        <v>5</v>
      </c>
      <c r="C26" s="277" t="s">
        <v>104</v>
      </c>
      <c r="D26" s="1" t="s">
        <v>54</v>
      </c>
      <c r="E26" s="1" t="str">
        <f t="shared" ref="E26:E34" si="2">$C$26&amp;D26</f>
        <v>电梯房楼层无</v>
      </c>
      <c r="F26" s="256">
        <v>1</v>
      </c>
      <c r="G26" s="265"/>
      <c r="H26" s="266"/>
      <c r="I26" s="125" t="e">
        <f>J26*#REF!-J26</f>
        <v>#REF!</v>
      </c>
      <c r="J26">
        <v>1350</v>
      </c>
      <c r="K26" s="278"/>
    </row>
    <row r="27" customHeight="1" spans="1:15">
      <c r="A27" s="270"/>
      <c r="B27" s="270"/>
      <c r="C27" s="279"/>
      <c r="D27" s="1" t="s">
        <v>75</v>
      </c>
      <c r="E27" s="1" t="str">
        <f t="shared" si="2"/>
        <v>电梯房楼层1F</v>
      </c>
      <c r="F27" s="256">
        <v>0.87</v>
      </c>
      <c r="G27" s="265" t="s">
        <v>69</v>
      </c>
      <c r="H27" s="266"/>
    </row>
    <row r="28" customHeight="1" spans="1:15">
      <c r="A28" s="270"/>
      <c r="B28" s="270"/>
      <c r="C28" s="279"/>
      <c r="D28" s="1" t="s">
        <v>105</v>
      </c>
      <c r="E28" s="1" t="str">
        <f t="shared" si="2"/>
        <v>电梯房楼层2-3F</v>
      </c>
      <c r="F28" s="256">
        <v>0.99</v>
      </c>
      <c r="G28" s="265"/>
      <c r="H28" s="266"/>
      <c r="I28" s="125" t="e">
        <f>J28*#REF!-J28</f>
        <v>#REF!</v>
      </c>
    </row>
    <row r="29" customHeight="1" spans="1:15">
      <c r="A29" s="270"/>
      <c r="B29" s="270"/>
      <c r="C29" s="279"/>
      <c r="D29" s="1" t="s">
        <v>90</v>
      </c>
      <c r="E29" s="1" t="str">
        <f t="shared" si="2"/>
        <v>电梯房楼层4F</v>
      </c>
      <c r="F29" s="256">
        <v>1</v>
      </c>
      <c r="G29" s="265"/>
      <c r="H29" s="266"/>
      <c r="I29" s="125">
        <f t="shared" ref="I29" si="3">1325*F16-1325</f>
        <v>0</v>
      </c>
    </row>
    <row r="30" customHeight="1" spans="1:15">
      <c r="A30" s="270"/>
      <c r="B30" s="270"/>
      <c r="C30" s="279"/>
      <c r="D30" s="1" t="s">
        <v>106</v>
      </c>
      <c r="E30" s="1" t="str">
        <f t="shared" si="2"/>
        <v>电梯房楼层5-6F</v>
      </c>
      <c r="F30" s="256">
        <v>1.01</v>
      </c>
      <c r="G30" s="265"/>
      <c r="H30" s="266"/>
    </row>
    <row r="31" customHeight="1" spans="1:15">
      <c r="A31" s="270"/>
      <c r="B31" s="270"/>
      <c r="C31" s="279"/>
      <c r="D31" s="1" t="s">
        <v>107</v>
      </c>
      <c r="E31" s="1" t="str">
        <f t="shared" si="2"/>
        <v>电梯房楼层7-8F</v>
      </c>
      <c r="F31" s="256">
        <v>1.02</v>
      </c>
      <c r="G31" s="265"/>
      <c r="H31" s="266"/>
      <c r="I31" s="125">
        <f>1325*F18-1325</f>
        <v>26.5</v>
      </c>
    </row>
    <row r="32" customHeight="1" spans="1:15">
      <c r="A32" s="270"/>
      <c r="B32" s="270"/>
      <c r="C32" s="279"/>
      <c r="D32" s="1" t="s">
        <v>108</v>
      </c>
      <c r="E32" s="1" t="str">
        <f t="shared" si="2"/>
        <v>电梯房楼层9-10F</v>
      </c>
      <c r="F32" s="256">
        <v>1.03</v>
      </c>
      <c r="G32" s="265"/>
      <c r="H32" s="266"/>
      <c r="I32" s="125">
        <f>1325*F19-1325</f>
        <v>13.25</v>
      </c>
    </row>
    <row r="33" customHeight="1" spans="1:14">
      <c r="A33" s="270"/>
      <c r="B33" s="270"/>
      <c r="C33" s="279"/>
      <c r="D33" s="1" t="s">
        <v>109</v>
      </c>
      <c r="E33" s="1" t="str">
        <f t="shared" si="2"/>
        <v>电梯房楼层11-12F</v>
      </c>
      <c r="F33" s="256">
        <v>1.04</v>
      </c>
      <c r="G33" s="265"/>
      <c r="H33" s="266"/>
      <c r="I33" s="125">
        <f>1325*F20-1325</f>
        <v>0</v>
      </c>
    </row>
    <row r="34" customHeight="1" spans="1:14">
      <c r="A34" s="270"/>
      <c r="B34" s="276"/>
      <c r="C34" s="280"/>
      <c r="D34" s="1" t="s">
        <v>110</v>
      </c>
      <c r="E34" s="1" t="str">
        <f t="shared" si="2"/>
        <v>电梯房楼层13以上F</v>
      </c>
      <c r="F34" s="256">
        <v>1.05</v>
      </c>
      <c r="G34" s="265"/>
      <c r="H34" s="266"/>
      <c r="I34" s="125">
        <f>1325*F21-1325</f>
        <v>-13.25</v>
      </c>
    </row>
    <row r="35" customHeight="1" spans="1:14">
      <c r="A35" s="270"/>
      <c r="B35" s="270">
        <v>6</v>
      </c>
      <c r="C35" s="279" t="s">
        <v>111</v>
      </c>
      <c r="D35" s="1" t="s">
        <v>112</v>
      </c>
      <c r="E35" s="1" t="str">
        <f t="shared" ref="E35:E41" si="4">$C$35&amp;D35</f>
        <v>功能配置（开间）缺失</v>
      </c>
      <c r="F35" s="256">
        <v>0.93</v>
      </c>
      <c r="G35" s="265"/>
      <c r="H35" s="266"/>
    </row>
    <row r="36" customHeight="1" spans="1:14">
      <c r="A36" s="270"/>
      <c r="B36" s="270"/>
      <c r="C36" s="279"/>
      <c r="D36" s="1" t="s">
        <v>113</v>
      </c>
      <c r="E36" s="1" t="str">
        <f t="shared" si="4"/>
        <v>功能配置（开间）缺失（书桌）</v>
      </c>
      <c r="F36" s="256">
        <v>0.98</v>
      </c>
      <c r="G36" s="265"/>
      <c r="H36" s="266"/>
      <c r="I36" s="125">
        <f>1325*F22-1325</f>
        <v>-26.5</v>
      </c>
    </row>
    <row r="37" customHeight="1" spans="1:14">
      <c r="A37" s="270"/>
      <c r="B37" s="270"/>
      <c r="C37" s="279"/>
      <c r="D37" s="1" t="s">
        <v>114</v>
      </c>
      <c r="E37" s="1" t="str">
        <f t="shared" si="4"/>
        <v>功能配置（开间）缺失（操作台）</v>
      </c>
      <c r="F37" s="256">
        <v>0.96</v>
      </c>
      <c r="G37" s="265"/>
      <c r="H37" s="266"/>
      <c r="I37" s="125">
        <f>1325*F23-1325</f>
        <v>-53</v>
      </c>
    </row>
    <row r="38" customHeight="1" spans="1:14">
      <c r="A38" s="270"/>
      <c r="B38" s="270"/>
      <c r="C38" s="279"/>
      <c r="D38" s="1" t="s">
        <v>63</v>
      </c>
      <c r="E38" s="1" t="str">
        <f t="shared" si="4"/>
        <v>功能配置（开间）适中</v>
      </c>
      <c r="F38" s="256">
        <v>1</v>
      </c>
      <c r="G38" s="257"/>
      <c r="H38" s="258"/>
      <c r="I38" s="125">
        <f>1325*F24-1325</f>
        <v>-92.75</v>
      </c>
    </row>
    <row r="39" customHeight="1" spans="1:14">
      <c r="A39" s="270"/>
      <c r="B39" s="270"/>
      <c r="C39" s="279"/>
      <c r="D39" s="1" t="s">
        <v>115</v>
      </c>
      <c r="E39" s="1" t="str">
        <f t="shared" si="4"/>
        <v>功能配置（开间）充足（油烟机/双人沙发）</v>
      </c>
      <c r="F39" s="256">
        <v>1.04</v>
      </c>
      <c r="G39" s="257"/>
      <c r="H39" s="258"/>
      <c r="I39" s="125">
        <f>1325*F25-1325</f>
        <v>-132.5</v>
      </c>
    </row>
    <row r="40" customHeight="1" spans="1:14">
      <c r="A40" s="270"/>
      <c r="B40" s="270"/>
      <c r="C40" s="279"/>
      <c r="D40" s="1" t="s">
        <v>116</v>
      </c>
      <c r="E40" s="1" t="str">
        <f t="shared" si="4"/>
        <v>功能配置（开间）充足（单人沙发/餐桌）</v>
      </c>
      <c r="F40" s="256">
        <v>1.03</v>
      </c>
      <c r="G40" s="257"/>
      <c r="H40" s="258"/>
    </row>
    <row r="41" customHeight="1" spans="1:14">
      <c r="A41" s="270"/>
      <c r="B41" s="276"/>
      <c r="C41" s="280"/>
      <c r="D41" s="1" t="s">
        <v>117</v>
      </c>
      <c r="E41" s="1" t="str">
        <f t="shared" si="4"/>
        <v>功能配置（开间）非常充足</v>
      </c>
      <c r="F41" s="256">
        <v>1.06</v>
      </c>
      <c r="G41" s="257"/>
      <c r="H41" s="258"/>
      <c r="I41" s="125">
        <f>1325*F27-1325</f>
        <v>-172.25</v>
      </c>
    </row>
    <row r="42" customHeight="1" spans="1:14">
      <c r="A42" s="270"/>
      <c r="B42" s="270"/>
      <c r="C42" s="277" t="s">
        <v>118</v>
      </c>
      <c r="D42" s="1">
        <v>5</v>
      </c>
      <c r="E42" s="1" t="str">
        <f>$C$42&amp;D42</f>
        <v>采光5</v>
      </c>
      <c r="F42" s="256">
        <v>1.06</v>
      </c>
      <c r="G42" s="257" t="s">
        <v>119</v>
      </c>
      <c r="H42" s="281"/>
    </row>
    <row r="43" customHeight="1" spans="1:14">
      <c r="A43" s="270"/>
      <c r="B43" s="270"/>
      <c r="C43" s="279"/>
      <c r="D43" s="1">
        <v>4</v>
      </c>
      <c r="E43" s="1" t="str">
        <f>$C$42&amp;D43</f>
        <v>采光4</v>
      </c>
      <c r="F43" s="256">
        <v>1.03</v>
      </c>
      <c r="G43" s="257"/>
      <c r="H43" s="282"/>
    </row>
    <row r="44" customHeight="1" spans="1:14">
      <c r="A44" s="270"/>
      <c r="B44" s="270"/>
      <c r="C44" s="279"/>
      <c r="D44" s="1">
        <v>3</v>
      </c>
      <c r="E44" s="1" t="str">
        <f>$C$42&amp;D44</f>
        <v>采光3</v>
      </c>
      <c r="F44" s="256">
        <v>1</v>
      </c>
      <c r="G44" s="265"/>
      <c r="H44" s="281"/>
      <c r="I44" s="125">
        <f>1325*F31-1325</f>
        <v>26.5</v>
      </c>
    </row>
    <row r="45" customHeight="1" spans="1:14">
      <c r="A45" s="270"/>
      <c r="B45" s="270"/>
      <c r="C45" s="279"/>
      <c r="D45" s="1">
        <v>2</v>
      </c>
      <c r="E45" s="1" t="str">
        <f>$C$42&amp;D45</f>
        <v>采光2</v>
      </c>
      <c r="F45" s="256">
        <v>0.96</v>
      </c>
      <c r="G45" s="257"/>
      <c r="H45" s="282"/>
      <c r="I45" s="125">
        <f t="shared" ref="I45:I46" si="5">1325*F32-1325</f>
        <v>39.75</v>
      </c>
    </row>
    <row r="46" customHeight="1" spans="1:14">
      <c r="A46" s="270"/>
      <c r="B46" s="270"/>
      <c r="C46" s="280"/>
      <c r="D46" s="1">
        <v>1</v>
      </c>
      <c r="E46" s="1" t="str">
        <f>$C$42&amp;D46</f>
        <v>采光1</v>
      </c>
      <c r="F46" s="256">
        <v>0.91</v>
      </c>
      <c r="G46" s="265"/>
      <c r="H46" s="282"/>
      <c r="I46" s="125">
        <f t="shared" si="5"/>
        <v>53</v>
      </c>
      <c r="L46" s="240"/>
      <c r="M46" s="240"/>
      <c r="N46" s="240"/>
    </row>
    <row r="47" customHeight="1" spans="1:14">
      <c r="A47" s="270"/>
      <c r="B47" s="270">
        <v>8</v>
      </c>
      <c r="C47" s="283" t="s">
        <v>120</v>
      </c>
      <c r="D47" s="1" t="s">
        <v>112</v>
      </c>
      <c r="E47" s="284" t="str">
        <f t="shared" ref="E47:E53" si="6">$C$47&amp;D47</f>
        <v>功能配置（一居）缺失</v>
      </c>
      <c r="F47" s="256">
        <v>0.93</v>
      </c>
      <c r="G47" s="265"/>
      <c r="H47" s="282"/>
      <c r="L47" s="240"/>
      <c r="M47" s="240"/>
      <c r="N47" s="240"/>
    </row>
    <row r="48" customHeight="1" spans="1:14">
      <c r="A48" s="270"/>
      <c r="B48" s="270"/>
      <c r="C48" s="285"/>
      <c r="D48" s="284" t="s">
        <v>121</v>
      </c>
      <c r="E48" s="284" t="str">
        <f t="shared" si="6"/>
        <v>功能配置（一居）缺失（操作台/双人沙发）</v>
      </c>
      <c r="F48" s="256">
        <v>0.96</v>
      </c>
      <c r="G48" s="257"/>
      <c r="H48" s="284"/>
      <c r="K48" s="286" t="s">
        <v>122</v>
      </c>
      <c r="L48" s="287" t="s">
        <v>123</v>
      </c>
      <c r="M48" s="287" t="s">
        <v>73</v>
      </c>
      <c r="N48" s="288" t="s">
        <v>74</v>
      </c>
    </row>
    <row r="49" customHeight="1" spans="1:14">
      <c r="A49" s="270"/>
      <c r="B49" s="270"/>
      <c r="C49" s="285"/>
      <c r="D49" s="284" t="s">
        <v>124</v>
      </c>
      <c r="E49" s="284" t="str">
        <f t="shared" si="6"/>
        <v>功能配置（一居）缺失（餐桌）</v>
      </c>
      <c r="F49" s="256">
        <v>0.98</v>
      </c>
      <c r="G49" s="257"/>
      <c r="H49" s="284"/>
      <c r="I49" s="125">
        <f>J49*F36-J49</f>
        <v>-27</v>
      </c>
      <c r="J49">
        <v>1350</v>
      </c>
      <c r="K49" s="289" t="s">
        <v>112</v>
      </c>
      <c r="L49" s="290" t="s">
        <v>125</v>
      </c>
      <c r="M49" s="291" t="s">
        <v>126</v>
      </c>
      <c r="N49" s="292" t="s">
        <v>127</v>
      </c>
    </row>
    <row r="50" customHeight="1" spans="1:14">
      <c r="A50" s="270"/>
      <c r="B50" s="270"/>
      <c r="C50" s="285"/>
      <c r="D50" s="284" t="s">
        <v>63</v>
      </c>
      <c r="E50" s="284" t="str">
        <f t="shared" si="6"/>
        <v>功能配置（一居）适中</v>
      </c>
      <c r="F50" s="256">
        <v>1</v>
      </c>
      <c r="G50" s="257"/>
      <c r="H50" s="284"/>
      <c r="K50" s="289" t="s">
        <v>63</v>
      </c>
      <c r="L50" s="291" t="s">
        <v>128</v>
      </c>
      <c r="M50" s="291" t="s">
        <v>129</v>
      </c>
      <c r="N50" s="292" t="s">
        <v>130</v>
      </c>
    </row>
    <row r="51" customHeight="1" spans="1:14">
      <c r="A51" s="270"/>
      <c r="B51" s="270"/>
      <c r="C51" s="285"/>
      <c r="D51" s="284" t="s">
        <v>131</v>
      </c>
      <c r="E51" s="284" t="str">
        <f t="shared" si="6"/>
        <v>功能配置（一居）充配（书桌）</v>
      </c>
      <c r="F51" s="256">
        <v>1.02</v>
      </c>
      <c r="G51" s="257"/>
      <c r="H51" s="284"/>
      <c r="I51" s="125">
        <f>J51*F38-J51</f>
        <v>0</v>
      </c>
      <c r="J51">
        <v>1350</v>
      </c>
      <c r="K51" s="289" t="s">
        <v>132</v>
      </c>
      <c r="L51" s="293" t="s">
        <v>133</v>
      </c>
      <c r="M51" s="293" t="s">
        <v>134</v>
      </c>
      <c r="N51" s="294" t="s">
        <v>135</v>
      </c>
    </row>
    <row r="52" customHeight="1" spans="1:14">
      <c r="A52" s="270"/>
      <c r="B52" s="270"/>
      <c r="C52" s="285"/>
      <c r="D52" s="284" t="s">
        <v>136</v>
      </c>
      <c r="E52" s="284" t="str">
        <f t="shared" si="6"/>
        <v>功能配置（一居）充配（油烟机）</v>
      </c>
      <c r="F52" s="256">
        <v>1.04</v>
      </c>
      <c r="G52" s="257"/>
      <c r="H52" s="284"/>
      <c r="I52" s="125">
        <f>J52*F39-J52</f>
        <v>54</v>
      </c>
      <c r="J52">
        <v>1350</v>
      </c>
      <c r="K52" s="289" t="s">
        <v>117</v>
      </c>
      <c r="L52" s="293" t="s">
        <v>137</v>
      </c>
      <c r="M52" s="293" t="s">
        <v>138</v>
      </c>
      <c r="N52" s="294" t="s">
        <v>139</v>
      </c>
    </row>
    <row r="53" customHeight="1" spans="1:14">
      <c r="A53" s="270"/>
      <c r="B53" s="276"/>
      <c r="C53" s="295"/>
      <c r="D53" s="284" t="s">
        <v>140</v>
      </c>
      <c r="E53" s="284" t="str">
        <f t="shared" si="6"/>
        <v>功能配置（一居）非常充配</v>
      </c>
      <c r="F53" s="256">
        <v>1.06</v>
      </c>
      <c r="G53" s="257"/>
      <c r="H53" s="284"/>
    </row>
    <row r="54" customHeight="1" spans="1:14">
      <c r="A54" s="270"/>
      <c r="B54" s="268">
        <v>9</v>
      </c>
      <c r="C54" s="283" t="s">
        <v>141</v>
      </c>
      <c r="D54" s="1" t="s">
        <v>112</v>
      </c>
      <c r="E54" s="284" t="str">
        <f t="shared" ref="E54:E59" si="7">$C$54&amp;D54</f>
        <v>功能配置（二居）缺失</v>
      </c>
      <c r="F54" s="296">
        <v>0.93</v>
      </c>
      <c r="G54" s="257"/>
      <c r="H54" s="284"/>
    </row>
    <row r="55" customHeight="1" spans="1:14">
      <c r="A55" s="270"/>
      <c r="B55" s="268"/>
      <c r="C55" s="285"/>
      <c r="D55" s="284" t="s">
        <v>142</v>
      </c>
      <c r="E55" s="284" t="str">
        <f t="shared" si="7"/>
        <v>功能配置（二居）缺失（沙发/餐桌）</v>
      </c>
      <c r="F55" s="296">
        <v>0.96</v>
      </c>
      <c r="G55" s="257"/>
      <c r="H55" s="284"/>
    </row>
    <row r="56" customHeight="1" spans="1:14">
      <c r="A56" s="270"/>
      <c r="B56" s="268"/>
      <c r="C56" s="285"/>
      <c r="D56" s="284" t="s">
        <v>143</v>
      </c>
      <c r="E56" s="284" t="str">
        <f t="shared" si="7"/>
        <v>功能配置（二居）缺失（电视柜/操作台）</v>
      </c>
      <c r="F56" s="296">
        <v>0.98</v>
      </c>
      <c r="G56" s="257"/>
      <c r="H56" s="284"/>
    </row>
    <row r="57" customHeight="1" spans="1:14">
      <c r="A57" s="270"/>
      <c r="B57" s="268"/>
      <c r="C57" s="285"/>
      <c r="D57" s="284" t="s">
        <v>63</v>
      </c>
      <c r="E57" s="284" t="str">
        <f t="shared" si="7"/>
        <v>功能配置（二居）适中</v>
      </c>
      <c r="F57" s="296">
        <v>1</v>
      </c>
      <c r="G57" s="257"/>
      <c r="H57" s="284"/>
    </row>
    <row r="58" customHeight="1" spans="1:14">
      <c r="A58" s="270"/>
      <c r="B58" s="268"/>
      <c r="C58" s="285"/>
      <c r="D58" s="284" t="s">
        <v>144</v>
      </c>
      <c r="E58" s="284" t="str">
        <f t="shared" si="7"/>
        <v>功能配置（二居）充配（油烟机/冰箱）</v>
      </c>
      <c r="F58" s="296">
        <v>1.04</v>
      </c>
      <c r="G58" s="257"/>
      <c r="H58" s="284"/>
    </row>
    <row r="59" customHeight="1" spans="1:14">
      <c r="A59" s="270"/>
      <c r="B59" s="268"/>
      <c r="C59" s="295"/>
      <c r="D59" s="284" t="s">
        <v>140</v>
      </c>
      <c r="E59" s="284" t="str">
        <f t="shared" si="7"/>
        <v>功能配置（二居）非常充配</v>
      </c>
      <c r="F59" s="296">
        <v>1.06</v>
      </c>
      <c r="G59" s="257"/>
      <c r="H59" s="284"/>
    </row>
    <row r="60" customHeight="1" spans="1:14">
      <c r="A60" s="297"/>
      <c r="B60" s="64"/>
      <c r="C60" s="298" t="s">
        <v>145</v>
      </c>
      <c r="D60" s="299" t="s">
        <v>146</v>
      </c>
      <c r="E60" s="299"/>
      <c r="F60" s="300">
        <v>1</v>
      </c>
      <c r="G60" s="301"/>
      <c r="H60" s="301" t="s">
        <v>147</v>
      </c>
    </row>
    <row r="61" customHeight="1" spans="1:14">
      <c r="A61" s="297"/>
      <c r="B61" s="64"/>
      <c r="C61" s="298"/>
      <c r="D61" s="299" t="s">
        <v>148</v>
      </c>
      <c r="E61" s="299"/>
      <c r="F61" s="300">
        <v>0.975</v>
      </c>
      <c r="G61" s="301"/>
      <c r="H61" s="301" t="s">
        <v>147</v>
      </c>
      <c r="I61" s="125" t="e">
        <f>J61*#REF!-J61</f>
        <v>#REF!</v>
      </c>
      <c r="J61">
        <v>1350</v>
      </c>
    </row>
    <row r="62" customHeight="1" spans="1:14">
      <c r="A62" s="297"/>
      <c r="B62" s="64"/>
      <c r="C62" s="298"/>
      <c r="D62" s="299" t="s">
        <v>149</v>
      </c>
      <c r="E62" s="299"/>
      <c r="F62" s="300">
        <v>0.95</v>
      </c>
      <c r="G62" s="301"/>
      <c r="H62" s="301" t="s">
        <v>147</v>
      </c>
      <c r="I62" s="125">
        <f>J62*F42-J62</f>
        <v>81</v>
      </c>
      <c r="J62">
        <v>1350</v>
      </c>
    </row>
    <row r="63" customHeight="1" spans="1:14">
      <c r="A63" s="297"/>
      <c r="B63" s="64"/>
      <c r="C63" s="298"/>
      <c r="D63" s="299" t="s">
        <v>150</v>
      </c>
      <c r="E63" s="299"/>
      <c r="F63" s="300">
        <v>0.91</v>
      </c>
      <c r="G63" s="301"/>
      <c r="H63" s="301" t="s">
        <v>147</v>
      </c>
      <c r="I63" s="125">
        <f t="shared" ref="I63:I65" si="8">J63*F43-J63</f>
        <v>40.5</v>
      </c>
      <c r="J63">
        <v>1350</v>
      </c>
    </row>
    <row r="64" customHeight="1" spans="1:14">
      <c r="A64" s="297"/>
      <c r="B64" s="64"/>
      <c r="C64" s="298" t="s">
        <v>151</v>
      </c>
      <c r="D64" s="299" t="s">
        <v>152</v>
      </c>
      <c r="E64" s="299"/>
      <c r="F64" s="300">
        <v>1.045</v>
      </c>
      <c r="G64" s="301" t="s">
        <v>153</v>
      </c>
      <c r="H64" s="301" t="s">
        <v>147</v>
      </c>
      <c r="I64" s="125">
        <f t="shared" si="8"/>
        <v>0</v>
      </c>
      <c r="J64">
        <v>1350</v>
      </c>
    </row>
    <row r="65" customHeight="1" spans="1:14">
      <c r="A65" s="297"/>
      <c r="B65" s="64"/>
      <c r="C65" s="298"/>
      <c r="D65" s="299" t="s">
        <v>154</v>
      </c>
      <c r="E65" s="299"/>
      <c r="F65" s="300">
        <v>1.02</v>
      </c>
      <c r="G65" s="301" t="s">
        <v>155</v>
      </c>
      <c r="H65" s="301" t="s">
        <v>147</v>
      </c>
      <c r="I65" s="125">
        <f t="shared" si="8"/>
        <v>-54</v>
      </c>
      <c r="J65">
        <v>1350</v>
      </c>
      <c r="K65" s="302"/>
      <c r="L65" s="240"/>
      <c r="M65" s="240"/>
      <c r="N65" s="240"/>
    </row>
    <row r="66" customHeight="1" spans="1:14">
      <c r="A66" s="297"/>
      <c r="B66" s="64"/>
      <c r="C66" s="298"/>
      <c r="D66" s="299" t="s">
        <v>63</v>
      </c>
      <c r="E66" s="299"/>
      <c r="F66" s="300">
        <v>1</v>
      </c>
      <c r="G66" s="301" t="s">
        <v>156</v>
      </c>
      <c r="H66" s="301" t="s">
        <v>147</v>
      </c>
      <c r="K66" s="302"/>
      <c r="L66" s="240"/>
      <c r="M66" s="240"/>
      <c r="N66" s="240"/>
    </row>
    <row r="67" s="240" customFormat="1" customHeight="1" spans="1:14">
      <c r="A67" s="297"/>
      <c r="B67" s="64"/>
      <c r="C67" s="298"/>
      <c r="D67" s="299" t="s">
        <v>157</v>
      </c>
      <c r="E67" s="299"/>
      <c r="F67" s="300">
        <v>0.95</v>
      </c>
      <c r="G67" s="301" t="s">
        <v>158</v>
      </c>
      <c r="H67" s="301" t="s">
        <v>147</v>
      </c>
      <c r="I67" s="303">
        <f>J67*F48-J67</f>
        <v>-58</v>
      </c>
      <c r="J67" s="240">
        <v>1450</v>
      </c>
      <c r="K67" s="302"/>
    </row>
    <row r="68" s="240" customFormat="1" customHeight="1" spans="1:14">
      <c r="A68" s="297"/>
      <c r="B68" s="64"/>
      <c r="C68" s="298" t="s">
        <v>159</v>
      </c>
      <c r="D68" s="299" t="s">
        <v>54</v>
      </c>
      <c r="E68" s="299"/>
      <c r="F68" s="300">
        <v>1</v>
      </c>
      <c r="G68" s="304" t="s">
        <v>160</v>
      </c>
      <c r="H68" s="301" t="s">
        <v>147</v>
      </c>
      <c r="I68" s="303">
        <f>J68*F49-J68</f>
        <v>-29</v>
      </c>
      <c r="J68" s="240">
        <v>1450</v>
      </c>
      <c r="K68" s="302"/>
    </row>
    <row r="69" s="240" customFormat="1" customHeight="1" spans="1:14">
      <c r="A69" s="297"/>
      <c r="B69" s="64"/>
      <c r="C69" s="298"/>
      <c r="D69" s="299" t="s">
        <v>161</v>
      </c>
      <c r="E69" s="299"/>
      <c r="F69" s="300">
        <v>0.975</v>
      </c>
      <c r="G69" s="304"/>
      <c r="H69" s="301" t="s">
        <v>147</v>
      </c>
      <c r="I69" s="303">
        <f>J69*F50-J69</f>
        <v>0</v>
      </c>
      <c r="J69" s="240">
        <v>1450</v>
      </c>
      <c r="K69" s="302"/>
    </row>
    <row r="70" s="240" customFormat="1" customHeight="1" spans="1:14">
      <c r="A70" s="297"/>
      <c r="B70" s="64"/>
      <c r="C70" s="298"/>
      <c r="D70" s="299" t="s">
        <v>162</v>
      </c>
      <c r="E70" s="299"/>
      <c r="F70" s="300">
        <v>0.95</v>
      </c>
      <c r="G70" s="304"/>
      <c r="H70" s="301" t="s">
        <v>147</v>
      </c>
      <c r="I70" s="303"/>
      <c r="K70" s="302"/>
    </row>
    <row r="71" s="240" customFormat="1" customHeight="1" spans="1:14">
      <c r="A71" s="297"/>
      <c r="B71" s="64"/>
      <c r="C71" s="298"/>
      <c r="D71" s="299" t="s">
        <v>163</v>
      </c>
      <c r="E71" s="299"/>
      <c r="F71" s="300">
        <v>0.91</v>
      </c>
      <c r="G71" s="304"/>
      <c r="H71" s="301" t="s">
        <v>147</v>
      </c>
      <c r="I71" s="303"/>
      <c r="K71" s="2"/>
      <c r="L71"/>
      <c r="M71"/>
      <c r="N71"/>
    </row>
    <row r="72" s="240" customFormat="1" customHeight="1" spans="1:14">
      <c r="A72" s="297"/>
      <c r="B72" s="64"/>
      <c r="C72" s="298" t="s">
        <v>164</v>
      </c>
      <c r="D72" s="299" t="s">
        <v>54</v>
      </c>
      <c r="E72" s="299"/>
      <c r="F72" s="300">
        <v>1</v>
      </c>
      <c r="G72" s="304" t="s">
        <v>165</v>
      </c>
      <c r="H72" s="301" t="s">
        <v>147</v>
      </c>
      <c r="I72" s="303">
        <f>J72*F53-J72</f>
        <v>180</v>
      </c>
      <c r="J72" s="240">
        <v>3000</v>
      </c>
      <c r="K72" s="2"/>
      <c r="L72"/>
      <c r="M72"/>
      <c r="N72"/>
    </row>
    <row r="73" customHeight="1" spans="1:14">
      <c r="A73" s="297"/>
      <c r="B73" s="64"/>
      <c r="C73" s="298"/>
      <c r="D73" s="299" t="s">
        <v>161</v>
      </c>
      <c r="E73" s="299"/>
      <c r="F73" s="300">
        <v>0.975</v>
      </c>
      <c r="G73" s="304"/>
      <c r="H73" s="301" t="s">
        <v>147</v>
      </c>
    </row>
    <row r="74" customHeight="1" spans="1:14">
      <c r="A74" s="297"/>
      <c r="B74" s="64"/>
      <c r="C74" s="298"/>
      <c r="D74" s="299" t="s">
        <v>162</v>
      </c>
      <c r="E74" s="299"/>
      <c r="F74" s="300">
        <v>0.945</v>
      </c>
      <c r="G74" s="304"/>
      <c r="H74" s="301" t="s">
        <v>147</v>
      </c>
    </row>
    <row r="75" customHeight="1" spans="1:14">
      <c r="A75" s="297"/>
      <c r="B75" s="64"/>
      <c r="C75" s="298"/>
      <c r="D75" s="299" t="s">
        <v>163</v>
      </c>
      <c r="E75" s="299"/>
      <c r="F75" s="300">
        <v>0.9</v>
      </c>
      <c r="G75" s="304"/>
      <c r="H75" s="301" t="s">
        <v>147</v>
      </c>
    </row>
    <row r="81" customHeight="1" spans="9:9">
      <c r="I81" s="125">
        <f t="shared" ref="I81:I88" si="9">J81*F68-J81</f>
        <v>0</v>
      </c>
    </row>
    <row r="82" customHeight="1" spans="9:9">
      <c r="I82" s="125">
        <f t="shared" si="9"/>
        <v>0</v>
      </c>
    </row>
    <row r="83" customHeight="1" spans="9:9">
      <c r="I83" s="125">
        <f t="shared" si="9"/>
        <v>0</v>
      </c>
    </row>
    <row r="84" customHeight="1" spans="9:9">
      <c r="I84" s="125">
        <f t="shared" si="9"/>
        <v>0</v>
      </c>
    </row>
    <row r="85" customHeight="1" spans="9:9">
      <c r="I85" s="125">
        <f t="shared" si="9"/>
        <v>0</v>
      </c>
    </row>
    <row r="86" customHeight="1" spans="9:9">
      <c r="I86" s="125">
        <f t="shared" si="9"/>
        <v>0</v>
      </c>
    </row>
    <row r="87" customHeight="1" spans="9:9">
      <c r="I87" s="125">
        <f t="shared" si="9"/>
        <v>0</v>
      </c>
    </row>
    <row r="88" customHeight="1" spans="9:9">
      <c r="I88" s="125">
        <f t="shared" si="9"/>
        <v>0</v>
      </c>
    </row>
  </sheetData>
  <mergeCells count="32">
    <mergeCell ref="A2:A8"/>
    <mergeCell ref="A9:A53"/>
    <mergeCell ref="B2:B6"/>
    <mergeCell ref="B7:B8"/>
    <mergeCell ref="B9:B13"/>
    <mergeCell ref="B14:B15"/>
    <mergeCell ref="B16:B25"/>
    <mergeCell ref="B26:B34"/>
    <mergeCell ref="B35:B41"/>
    <mergeCell ref="B42:B46"/>
    <mergeCell ref="B47:B53"/>
    <mergeCell ref="B54:B59"/>
    <mergeCell ref="C2:C6"/>
    <mergeCell ref="C7:C8"/>
    <mergeCell ref="C9:C13"/>
    <mergeCell ref="C14:C15"/>
    <mergeCell ref="C16:C25"/>
    <mergeCell ref="C26:C34"/>
    <mergeCell ref="C35:C41"/>
    <mergeCell ref="C42:C46"/>
    <mergeCell ref="C47:C53"/>
    <mergeCell ref="C54:C59"/>
    <mergeCell ref="C60:C63"/>
    <mergeCell ref="C64:C67"/>
    <mergeCell ref="C68:C71"/>
    <mergeCell ref="C72:C75"/>
    <mergeCell ref="G7:G8"/>
    <mergeCell ref="G9:G13"/>
    <mergeCell ref="G16:G25"/>
    <mergeCell ref="G27:G34"/>
    <mergeCell ref="G68:G71"/>
    <mergeCell ref="G72:G75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88"/>
  <sheetViews>
    <sheetView workbookViewId="0">
      <selection activeCell="A2" sqref="A2"/>
    </sheetView>
  </sheetViews>
  <sheetFormatPr defaultColWidth="11" defaultRowHeight="14.25" outlineLevelCol="5"/>
  <cols>
    <col min="1" max="1" width="16" customWidth="1"/>
    <col min="2" max="3" width="8.75" customWidth="1"/>
  </cols>
  <sheetData>
    <row r="1" ht="16.5" spans="1:6">
      <c r="A1" s="228" t="s">
        <v>166</v>
      </c>
      <c r="B1" s="229" t="s">
        <v>40</v>
      </c>
      <c r="C1" s="229" t="s">
        <v>43</v>
      </c>
    </row>
    <row r="2" ht="16.5" spans="1:6">
      <c r="A2" s="230" t="s">
        <v>167</v>
      </c>
      <c r="B2" s="231">
        <v>2075.1</v>
      </c>
      <c r="C2" s="231">
        <v>2847.2</v>
      </c>
      <c r="E2" s="232"/>
      <c r="F2" s="232"/>
    </row>
    <row r="3" ht="16.5" spans="1:6">
      <c r="A3" s="230" t="s">
        <v>168</v>
      </c>
      <c r="B3" s="231">
        <v>2080.7</v>
      </c>
      <c r="C3" s="231">
        <v>2851.9</v>
      </c>
      <c r="E3" s="232"/>
      <c r="F3" s="232"/>
    </row>
    <row r="4" ht="16.5" spans="1:6">
      <c r="A4" s="230" t="s">
        <v>169</v>
      </c>
      <c r="B4" s="231">
        <v>2075.2</v>
      </c>
      <c r="C4" s="231">
        <v>2847.3</v>
      </c>
      <c r="E4" s="232"/>
      <c r="F4" s="232"/>
    </row>
    <row r="5" ht="16.5" spans="1:6">
      <c r="A5" s="233" t="s">
        <v>170</v>
      </c>
      <c r="B5" s="231">
        <v>2200.7</v>
      </c>
      <c r="C5" s="231">
        <v>2945.6</v>
      </c>
      <c r="E5" s="232"/>
      <c r="F5" s="232"/>
    </row>
    <row r="6" ht="16.5" spans="1:6">
      <c r="A6" s="230" t="s">
        <v>171</v>
      </c>
      <c r="B6" s="231">
        <v>1889.9</v>
      </c>
      <c r="C6" s="231">
        <v>2669.3</v>
      </c>
      <c r="E6" s="232"/>
      <c r="F6" s="232"/>
    </row>
    <row r="7" ht="16.5" spans="1:6">
      <c r="A7" s="230" t="s">
        <v>172</v>
      </c>
      <c r="B7" s="231">
        <v>1585.3</v>
      </c>
      <c r="C7" s="231">
        <v>2353.9</v>
      </c>
      <c r="E7" s="232"/>
      <c r="F7" s="232"/>
    </row>
    <row r="8" ht="16.5" spans="1:6">
      <c r="A8" s="230" t="s">
        <v>173</v>
      </c>
      <c r="B8" s="231">
        <v>1707.9</v>
      </c>
      <c r="C8" s="231">
        <v>2486.2</v>
      </c>
      <c r="E8" s="232"/>
      <c r="F8" s="232"/>
    </row>
    <row r="9" ht="16.5" spans="1:6">
      <c r="A9" s="230" t="s">
        <v>174</v>
      </c>
      <c r="B9" s="231">
        <v>1943.3</v>
      </c>
      <c r="C9" s="231">
        <v>2720.1</v>
      </c>
      <c r="E9" s="232"/>
      <c r="F9" s="232"/>
    </row>
    <row r="10" ht="16.5" spans="1:6">
      <c r="A10" s="230" t="s">
        <v>175</v>
      </c>
      <c r="B10" s="231">
        <v>1530.2</v>
      </c>
      <c r="C10" s="231">
        <v>2292.2</v>
      </c>
      <c r="E10" s="232"/>
      <c r="F10" s="232"/>
    </row>
    <row r="11" ht="16.5" spans="1:6">
      <c r="A11" s="230" t="s">
        <v>176</v>
      </c>
      <c r="B11" s="231">
        <v>1530.7</v>
      </c>
      <c r="C11" s="231">
        <v>2292.8</v>
      </c>
      <c r="E11" s="232"/>
      <c r="F11" s="232"/>
    </row>
    <row r="12" ht="16.5" spans="1:6">
      <c r="A12" s="230" t="s">
        <v>177</v>
      </c>
      <c r="B12" s="231">
        <v>1624.6</v>
      </c>
      <c r="C12" s="231">
        <v>2397.1</v>
      </c>
      <c r="E12" s="232"/>
      <c r="F12" s="232"/>
    </row>
    <row r="13" ht="16.5" spans="1:6">
      <c r="A13" s="230" t="s">
        <v>178</v>
      </c>
      <c r="B13" s="231">
        <v>1748.1</v>
      </c>
      <c r="C13" s="231">
        <v>2528</v>
      </c>
      <c r="E13" s="232"/>
      <c r="F13" s="232"/>
    </row>
    <row r="14" ht="16.5" spans="1:6">
      <c r="A14" s="230" t="s">
        <v>179</v>
      </c>
      <c r="B14" s="231">
        <v>1771.8</v>
      </c>
      <c r="C14" s="231">
        <v>2552.2</v>
      </c>
      <c r="E14" s="232"/>
      <c r="F14" s="232"/>
    </row>
    <row r="15" ht="16.5" spans="1:6">
      <c r="A15" s="230" t="s">
        <v>180</v>
      </c>
      <c r="B15" s="231">
        <v>2149.8</v>
      </c>
      <c r="C15" s="231">
        <v>2903.4</v>
      </c>
      <c r="E15" s="232"/>
      <c r="F15" s="232"/>
    </row>
    <row r="16" ht="16.5" spans="1:6">
      <c r="A16" s="230" t="s">
        <v>181</v>
      </c>
      <c r="B16" s="231">
        <v>2133.4</v>
      </c>
      <c r="C16" s="231">
        <v>2889.6</v>
      </c>
      <c r="E16" s="232"/>
      <c r="F16" s="232"/>
    </row>
    <row r="17" ht="16.5" spans="1:6">
      <c r="A17" s="230" t="s">
        <v>182</v>
      </c>
      <c r="B17" s="231">
        <v>2287.2</v>
      </c>
      <c r="C17" s="231">
        <v>3014.3</v>
      </c>
      <c r="E17" s="232"/>
      <c r="F17" s="232"/>
    </row>
    <row r="18" ht="16.5" spans="1:6">
      <c r="A18" s="230" t="s">
        <v>183</v>
      </c>
      <c r="B18" s="231">
        <v>2223.2</v>
      </c>
      <c r="C18" s="231">
        <v>2963.8</v>
      </c>
      <c r="E18" s="232"/>
      <c r="F18" s="232"/>
    </row>
    <row r="19" ht="16.5" spans="1:6">
      <c r="A19" s="230" t="s">
        <v>184</v>
      </c>
      <c r="B19" s="231">
        <v>1612.1</v>
      </c>
      <c r="C19" s="231">
        <v>2402.5</v>
      </c>
      <c r="E19" s="232"/>
      <c r="F19" s="232"/>
    </row>
    <row r="20" ht="16.5" spans="1:6">
      <c r="A20" s="230" t="s">
        <v>185</v>
      </c>
      <c r="B20" s="231">
        <v>1594.1</v>
      </c>
      <c r="C20" s="231">
        <v>2402.5</v>
      </c>
      <c r="E20" s="232"/>
      <c r="F20" s="232"/>
    </row>
    <row r="21" ht="16.5" spans="1:6">
      <c r="A21" s="230" t="s">
        <v>186</v>
      </c>
      <c r="B21" s="231">
        <v>1594.1</v>
      </c>
      <c r="C21" s="231">
        <v>2402.5</v>
      </c>
      <c r="E21" s="232"/>
      <c r="F21" s="232"/>
    </row>
    <row r="22" ht="16.5" spans="1:6">
      <c r="A22" s="230" t="s">
        <v>187</v>
      </c>
      <c r="B22" s="231">
        <v>2755.7</v>
      </c>
      <c r="C22" s="231">
        <v>3302.1</v>
      </c>
      <c r="E22" s="232"/>
      <c r="F22" s="232"/>
    </row>
    <row r="23" ht="16.5" spans="1:6">
      <c r="A23" s="230" t="s">
        <v>188</v>
      </c>
      <c r="B23" s="231">
        <v>1221.3</v>
      </c>
      <c r="C23" s="231">
        <v>1941.9</v>
      </c>
      <c r="E23" s="232"/>
      <c r="F23" s="232"/>
    </row>
    <row r="24" ht="16.5" spans="1:6">
      <c r="A24" s="230" t="s">
        <v>189</v>
      </c>
      <c r="B24" s="231">
        <v>1634.8</v>
      </c>
      <c r="C24" s="231">
        <v>2426.1</v>
      </c>
      <c r="E24" s="232"/>
      <c r="F24" s="232"/>
    </row>
    <row r="25" ht="16.5" spans="1:6">
      <c r="A25" s="230" t="s">
        <v>190</v>
      </c>
      <c r="B25" s="231">
        <v>1376.8</v>
      </c>
      <c r="C25" s="231">
        <v>2133.5</v>
      </c>
      <c r="E25" s="232"/>
      <c r="F25" s="232"/>
    </row>
    <row r="26" ht="16.5" spans="1:6">
      <c r="A26" s="234" t="s">
        <v>191</v>
      </c>
      <c r="B26" s="235">
        <v>974.7</v>
      </c>
      <c r="C26" s="235">
        <v>1610.2</v>
      </c>
      <c r="E26" s="232"/>
      <c r="F26" s="232"/>
    </row>
    <row r="27" ht="16.5" spans="1:6">
      <c r="A27" s="230" t="s">
        <v>192</v>
      </c>
      <c r="B27" s="231">
        <v>2522.7</v>
      </c>
      <c r="C27" s="231">
        <v>3173.7</v>
      </c>
      <c r="E27" s="232"/>
      <c r="F27" s="232"/>
    </row>
    <row r="28" ht="16.5" spans="1:6">
      <c r="A28" s="230" t="s">
        <v>193</v>
      </c>
      <c r="B28" s="231">
        <v>1176.7</v>
      </c>
      <c r="C28" s="231">
        <v>1750.7</v>
      </c>
      <c r="E28" s="232"/>
      <c r="F28" s="232"/>
    </row>
    <row r="29" ht="16.5" spans="1:6">
      <c r="A29" s="230" t="s">
        <v>194</v>
      </c>
      <c r="B29" s="231">
        <v>1450.9</v>
      </c>
      <c r="C29" s="231">
        <v>2202.1</v>
      </c>
      <c r="E29" s="232"/>
      <c r="F29" s="232"/>
    </row>
    <row r="30" ht="16.5" spans="1:6">
      <c r="A30" s="234" t="s">
        <v>195</v>
      </c>
      <c r="B30" s="236">
        <v>1530.5</v>
      </c>
      <c r="C30" s="236">
        <v>2292.6</v>
      </c>
      <c r="E30" s="232"/>
      <c r="F30" s="232"/>
    </row>
    <row r="31" ht="16.5" spans="1:6">
      <c r="A31" s="230" t="s">
        <v>196</v>
      </c>
      <c r="B31" s="231">
        <v>1789.4</v>
      </c>
      <c r="C31" s="231">
        <v>2576.7</v>
      </c>
      <c r="E31" s="232"/>
      <c r="F31" s="232"/>
    </row>
    <row r="32" ht="16.5" spans="1:6">
      <c r="A32" s="230" t="s">
        <v>197</v>
      </c>
      <c r="B32" s="231">
        <v>1345.7</v>
      </c>
      <c r="C32" s="231">
        <v>2077</v>
      </c>
      <c r="E32" s="232"/>
      <c r="F32" s="232"/>
    </row>
    <row r="33" ht="16.5" spans="1:6">
      <c r="A33" s="230" t="s">
        <v>198</v>
      </c>
      <c r="B33" s="231">
        <v>917.9</v>
      </c>
      <c r="C33" s="231">
        <v>1510.1</v>
      </c>
      <c r="E33" s="232"/>
      <c r="F33" s="232"/>
    </row>
    <row r="34" ht="16.5" spans="1:6">
      <c r="A34" s="230" t="s">
        <v>199</v>
      </c>
      <c r="B34" s="231">
        <v>1383.9</v>
      </c>
      <c r="C34" s="231">
        <v>2123.3</v>
      </c>
      <c r="E34" s="232"/>
      <c r="F34" s="232"/>
    </row>
    <row r="35" ht="16.5" spans="1:6">
      <c r="A35" s="230" t="s">
        <v>200</v>
      </c>
      <c r="B35" s="231">
        <v>1383.9</v>
      </c>
      <c r="C35" s="231">
        <v>2123.3</v>
      </c>
      <c r="E35" s="232"/>
      <c r="F35" s="232"/>
    </row>
    <row r="36" ht="16.5" spans="1:6">
      <c r="A36" s="230" t="s">
        <v>201</v>
      </c>
      <c r="B36" s="231">
        <v>1362.3</v>
      </c>
      <c r="C36" s="231">
        <v>2097.1</v>
      </c>
      <c r="E36" s="232"/>
      <c r="F36" s="232"/>
    </row>
    <row r="37" ht="16.5" spans="1:6">
      <c r="A37" s="230" t="s">
        <v>202</v>
      </c>
      <c r="B37" s="231">
        <v>1454.9</v>
      </c>
      <c r="C37" s="231">
        <v>2207.7</v>
      </c>
      <c r="E37" s="232"/>
      <c r="F37" s="232"/>
    </row>
    <row r="38" ht="16.5" spans="1:6">
      <c r="A38" s="230" t="s">
        <v>203</v>
      </c>
      <c r="B38" s="231">
        <v>1345.5</v>
      </c>
      <c r="C38" s="231">
        <v>2076.6</v>
      </c>
      <c r="E38" s="232"/>
      <c r="F38" s="232"/>
    </row>
    <row r="39" ht="16.5" spans="1:6">
      <c r="A39" s="230" t="s">
        <v>204</v>
      </c>
      <c r="B39" s="231">
        <v>1450.1</v>
      </c>
      <c r="C39" s="231">
        <v>2202.1</v>
      </c>
      <c r="E39" s="232"/>
      <c r="F39" s="232"/>
    </row>
    <row r="40" ht="16.5" spans="1:6">
      <c r="A40" s="230" t="s">
        <v>205</v>
      </c>
      <c r="B40" s="231">
        <v>1421.1</v>
      </c>
      <c r="C40" s="231">
        <v>2167.8</v>
      </c>
      <c r="E40" s="232"/>
      <c r="F40" s="232"/>
    </row>
    <row r="41" ht="16.5" spans="1:6">
      <c r="A41" s="230" t="s">
        <v>206</v>
      </c>
      <c r="B41" s="231">
        <v>2919.3</v>
      </c>
      <c r="C41" s="231">
        <v>3649.1</v>
      </c>
      <c r="E41" s="232"/>
      <c r="F41" s="232"/>
    </row>
    <row r="42" ht="16.5" spans="1:6">
      <c r="A42" s="230" t="s">
        <v>207</v>
      </c>
      <c r="B42" s="231">
        <v>2999.5</v>
      </c>
      <c r="C42" s="231">
        <v>3749.4</v>
      </c>
      <c r="E42" s="232"/>
      <c r="F42" s="232"/>
    </row>
    <row r="43" ht="16.5" spans="1:6">
      <c r="A43" s="230" t="s">
        <v>208</v>
      </c>
      <c r="B43" s="231">
        <v>3072.6</v>
      </c>
      <c r="C43" s="231">
        <v>3840.8</v>
      </c>
      <c r="E43" s="232"/>
      <c r="F43" s="232"/>
    </row>
    <row r="44" ht="16.5" spans="1:6">
      <c r="A44" s="230" t="s">
        <v>209</v>
      </c>
      <c r="B44" s="231">
        <v>2880.1</v>
      </c>
      <c r="C44" s="231">
        <v>3600.1</v>
      </c>
      <c r="E44" s="232"/>
      <c r="F44" s="232"/>
    </row>
    <row r="45" ht="16.5" spans="1:6">
      <c r="A45" s="230" t="s">
        <v>210</v>
      </c>
      <c r="B45" s="231">
        <v>3075.3</v>
      </c>
      <c r="C45" s="231">
        <v>3844.1</v>
      </c>
      <c r="E45" s="232"/>
      <c r="F45" s="232"/>
    </row>
    <row r="46" ht="16.5" spans="1:6">
      <c r="A46" s="230" t="s">
        <v>211</v>
      </c>
      <c r="B46" s="231">
        <v>2186.6</v>
      </c>
      <c r="C46" s="231">
        <v>2937.4</v>
      </c>
      <c r="E46" s="232"/>
      <c r="F46" s="232"/>
    </row>
    <row r="47" ht="16.5" spans="1:6">
      <c r="A47" s="230" t="s">
        <v>212</v>
      </c>
      <c r="B47" s="231">
        <v>1549.9</v>
      </c>
      <c r="C47" s="231">
        <v>2316.8</v>
      </c>
      <c r="E47" s="232"/>
      <c r="F47" s="232"/>
    </row>
    <row r="48" ht="16.5" spans="1:6">
      <c r="A48" s="230" t="s">
        <v>213</v>
      </c>
      <c r="B48" s="231">
        <v>1480.2</v>
      </c>
      <c r="C48" s="231">
        <v>2237.2</v>
      </c>
      <c r="E48" s="232"/>
      <c r="F48" s="232"/>
    </row>
    <row r="49" ht="16.5" spans="1:6">
      <c r="A49" s="230" t="s">
        <v>214</v>
      </c>
      <c r="B49" s="231">
        <v>1155.7</v>
      </c>
      <c r="C49" s="231">
        <v>1835.8</v>
      </c>
      <c r="E49" s="232"/>
      <c r="F49" s="232"/>
    </row>
    <row r="50" ht="16.5" spans="1:6">
      <c r="A50" s="230" t="s">
        <v>215</v>
      </c>
      <c r="B50" s="231">
        <v>1155.7</v>
      </c>
      <c r="C50" s="231">
        <v>1835.8</v>
      </c>
      <c r="E50" s="232"/>
      <c r="F50" s="232"/>
    </row>
    <row r="51" ht="16.5" spans="1:6">
      <c r="A51" s="230" t="s">
        <v>216</v>
      </c>
      <c r="B51" s="231">
        <v>2244</v>
      </c>
      <c r="C51" s="231">
        <v>2983.9</v>
      </c>
      <c r="E51" s="232"/>
      <c r="F51" s="232"/>
    </row>
    <row r="52" ht="16.5" spans="1:6">
      <c r="A52" s="230" t="s">
        <v>217</v>
      </c>
      <c r="B52" s="231">
        <v>2939</v>
      </c>
      <c r="C52" s="231">
        <v>3673.8</v>
      </c>
      <c r="E52" s="232"/>
      <c r="F52" s="232"/>
    </row>
    <row r="53" ht="16.5" spans="1:6">
      <c r="A53" s="230" t="s">
        <v>218</v>
      </c>
      <c r="B53" s="231">
        <v>2907.6</v>
      </c>
      <c r="C53" s="231">
        <v>3634.5</v>
      </c>
      <c r="E53" s="232"/>
      <c r="F53" s="232"/>
    </row>
    <row r="54" ht="16.5" spans="1:6">
      <c r="A54" s="230" t="s">
        <v>219</v>
      </c>
      <c r="B54" s="231">
        <v>3014.8</v>
      </c>
      <c r="C54" s="231">
        <v>3768.5</v>
      </c>
      <c r="E54" s="232"/>
      <c r="F54" s="232"/>
    </row>
    <row r="55" ht="16.5" spans="1:6">
      <c r="A55" s="230" t="s">
        <v>220</v>
      </c>
      <c r="B55" s="231">
        <v>3010.6</v>
      </c>
      <c r="C55" s="231">
        <v>3763.3</v>
      </c>
      <c r="E55" s="232"/>
      <c r="F55" s="232"/>
    </row>
    <row r="56" ht="16.5" spans="1:6">
      <c r="A56" s="234" t="s">
        <v>221</v>
      </c>
      <c r="B56" s="235">
        <v>1408.4</v>
      </c>
      <c r="C56" s="231">
        <v>2152.7</v>
      </c>
      <c r="E56" s="232"/>
      <c r="F56" s="232"/>
    </row>
    <row r="57" ht="16.5" spans="1:6">
      <c r="A57" s="230" t="s">
        <v>222</v>
      </c>
      <c r="B57" s="231">
        <v>1514.9</v>
      </c>
      <c r="C57" s="231">
        <v>2277.1</v>
      </c>
      <c r="E57" s="232"/>
      <c r="F57" s="232"/>
    </row>
    <row r="58" ht="16.5" spans="1:6">
      <c r="A58" s="230" t="s">
        <v>223</v>
      </c>
      <c r="B58" s="237">
        <v>2573.3</v>
      </c>
      <c r="C58" s="231">
        <v>3220.2</v>
      </c>
      <c r="E58" s="232"/>
      <c r="F58" s="232"/>
    </row>
    <row r="59" ht="16.5" spans="1:6">
      <c r="A59" s="230" t="s">
        <v>224</v>
      </c>
      <c r="B59" s="231">
        <v>1391.9</v>
      </c>
      <c r="C59" s="231">
        <v>2132.9</v>
      </c>
      <c r="E59" s="232"/>
      <c r="F59" s="232"/>
    </row>
    <row r="60" ht="16.5" spans="1:6">
      <c r="A60" s="230" t="s">
        <v>225</v>
      </c>
      <c r="B60" s="231">
        <v>2829.1</v>
      </c>
      <c r="C60" s="231">
        <v>3536.3</v>
      </c>
      <c r="E60" s="232"/>
      <c r="F60" s="232"/>
    </row>
    <row r="61" ht="16.5" spans="1:6">
      <c r="A61" s="230" t="s">
        <v>226</v>
      </c>
      <c r="B61" s="231">
        <v>2783.5</v>
      </c>
      <c r="C61" s="231">
        <v>3479.3</v>
      </c>
      <c r="E61" s="232"/>
      <c r="F61" s="232"/>
    </row>
    <row r="62" ht="16.5" spans="1:6">
      <c r="A62" s="230" t="s">
        <v>227</v>
      </c>
      <c r="B62" s="231">
        <v>1318.6</v>
      </c>
      <c r="C62" s="231">
        <v>2043.6</v>
      </c>
      <c r="E62" s="232"/>
      <c r="F62" s="232"/>
    </row>
    <row r="63" ht="16.5" spans="1:6">
      <c r="A63" s="230" t="s">
        <v>228</v>
      </c>
      <c r="B63" s="231">
        <v>1701.1</v>
      </c>
      <c r="C63" s="231">
        <v>2479</v>
      </c>
      <c r="E63" s="232"/>
      <c r="F63" s="232"/>
    </row>
    <row r="64" ht="16.5" spans="1:6">
      <c r="A64" s="230" t="s">
        <v>229</v>
      </c>
      <c r="B64" s="231">
        <v>1521.6</v>
      </c>
      <c r="C64" s="231">
        <v>2282.4</v>
      </c>
      <c r="E64" s="232"/>
      <c r="F64" s="232"/>
    </row>
    <row r="65" ht="16.5" spans="1:6">
      <c r="A65" s="230" t="s">
        <v>230</v>
      </c>
      <c r="B65" s="231">
        <v>2109.5</v>
      </c>
      <c r="C65" s="231">
        <v>2869.3</v>
      </c>
      <c r="E65" s="232"/>
      <c r="F65" s="232"/>
    </row>
    <row r="66" ht="16.5" spans="1:6">
      <c r="A66" s="230" t="s">
        <v>231</v>
      </c>
      <c r="B66" s="231">
        <v>1866.4</v>
      </c>
      <c r="C66" s="231">
        <v>2646.5</v>
      </c>
      <c r="E66" s="232"/>
      <c r="F66" s="232"/>
    </row>
    <row r="67" ht="16.5" spans="1:6">
      <c r="A67" s="230" t="s">
        <v>232</v>
      </c>
      <c r="B67" s="231">
        <v>1485.7</v>
      </c>
      <c r="C67" s="231">
        <v>2243.5</v>
      </c>
      <c r="E67" s="232"/>
      <c r="F67" s="232"/>
    </row>
    <row r="68" ht="16.5" spans="1:6">
      <c r="A68" s="230" t="s">
        <v>233</v>
      </c>
      <c r="B68" s="231">
        <v>3181</v>
      </c>
      <c r="C68" s="231">
        <v>3976.3</v>
      </c>
      <c r="E68" s="232"/>
      <c r="F68" s="232"/>
    </row>
    <row r="69" ht="16.5" spans="1:6">
      <c r="A69" s="230" t="s">
        <v>234</v>
      </c>
      <c r="B69" s="231">
        <v>3181</v>
      </c>
      <c r="C69" s="231">
        <v>3976.3</v>
      </c>
      <c r="E69" s="232"/>
      <c r="F69" s="232"/>
    </row>
    <row r="70" ht="16.5" spans="1:6">
      <c r="A70" s="230" t="s">
        <v>235</v>
      </c>
      <c r="B70" s="231">
        <v>3181</v>
      </c>
      <c r="C70" s="231">
        <v>3976.3</v>
      </c>
      <c r="E70" s="232"/>
      <c r="F70" s="232"/>
    </row>
    <row r="71" ht="16.5" spans="1:6">
      <c r="A71" s="230" t="s">
        <v>236</v>
      </c>
      <c r="B71" s="231">
        <v>3181</v>
      </c>
      <c r="C71" s="231">
        <v>3976.3</v>
      </c>
      <c r="E71" s="232"/>
      <c r="F71" s="232"/>
    </row>
    <row r="72" ht="16.5" spans="1:6">
      <c r="A72" s="230" t="s">
        <v>237</v>
      </c>
      <c r="B72" s="231">
        <v>3181</v>
      </c>
      <c r="C72" s="231">
        <v>3976.3</v>
      </c>
      <c r="E72" s="232"/>
      <c r="F72" s="232"/>
    </row>
    <row r="73" ht="16.5" spans="1:6">
      <c r="A73" s="230" t="s">
        <v>238</v>
      </c>
      <c r="B73" s="231">
        <v>1340.5</v>
      </c>
      <c r="C73" s="231">
        <v>2070.6</v>
      </c>
      <c r="E73" s="232"/>
      <c r="F73" s="232"/>
    </row>
    <row r="74" ht="16.5" spans="1:6">
      <c r="A74" s="230" t="s">
        <v>239</v>
      </c>
      <c r="B74" s="231">
        <v>1469.6</v>
      </c>
      <c r="C74" s="231">
        <v>2224.8</v>
      </c>
      <c r="E74" s="232"/>
      <c r="F74" s="232"/>
    </row>
    <row r="75" ht="16.5" spans="1:6">
      <c r="A75" s="230" t="s">
        <v>240</v>
      </c>
      <c r="B75" s="231">
        <v>1398.1</v>
      </c>
      <c r="C75" s="231">
        <v>2140.3</v>
      </c>
      <c r="E75" s="232"/>
      <c r="F75" s="232"/>
    </row>
    <row r="76" ht="16.5" spans="1:6">
      <c r="A76" s="230" t="s">
        <v>241</v>
      </c>
      <c r="B76" s="231">
        <v>1398.1</v>
      </c>
      <c r="C76" s="231">
        <v>2140.3</v>
      </c>
      <c r="E76" s="232"/>
      <c r="F76" s="232"/>
    </row>
    <row r="77" ht="16.5" spans="1:6">
      <c r="A77" s="230" t="s">
        <v>242</v>
      </c>
      <c r="B77" s="231">
        <v>860.6</v>
      </c>
      <c r="C77" s="231">
        <v>1427.5</v>
      </c>
      <c r="E77" s="232"/>
      <c r="F77" s="232"/>
    </row>
    <row r="78" ht="16.5" spans="1:6">
      <c r="A78" s="230" t="s">
        <v>243</v>
      </c>
      <c r="B78" s="231">
        <v>2941.6</v>
      </c>
      <c r="C78" s="231">
        <v>3677.1</v>
      </c>
      <c r="E78" s="232"/>
      <c r="F78" s="232"/>
    </row>
    <row r="79" ht="16.5" spans="1:6">
      <c r="A79" s="230" t="s">
        <v>244</v>
      </c>
      <c r="B79" s="231">
        <v>2399.7</v>
      </c>
      <c r="C79" s="231">
        <v>3102</v>
      </c>
      <c r="E79" s="232"/>
      <c r="F79" s="232"/>
    </row>
    <row r="80" ht="16.5" spans="1:6">
      <c r="A80" s="4" t="s">
        <v>245</v>
      </c>
      <c r="B80" s="231">
        <v>2780.1</v>
      </c>
      <c r="C80" s="231">
        <v>3475.1</v>
      </c>
    </row>
    <row r="81" ht="16.5" spans="1:3">
      <c r="A81" s="4" t="s">
        <v>246</v>
      </c>
      <c r="B81" s="231">
        <v>3003.4</v>
      </c>
      <c r="C81" s="231">
        <v>3754.2</v>
      </c>
    </row>
    <row r="82" ht="16.5" spans="1:3">
      <c r="A82" s="4" t="s">
        <v>247</v>
      </c>
      <c r="B82" s="231">
        <v>2677.7</v>
      </c>
      <c r="C82" s="231">
        <v>3347.1</v>
      </c>
    </row>
    <row r="83" ht="16.5" spans="1:3">
      <c r="A83" s="4" t="s">
        <v>248</v>
      </c>
      <c r="B83" s="231">
        <v>2727.2</v>
      </c>
      <c r="C83" s="231">
        <v>3409</v>
      </c>
    </row>
    <row r="84" ht="16.5" spans="1:3">
      <c r="A84" s="4" t="s">
        <v>249</v>
      </c>
      <c r="B84" s="231">
        <v>2718.9</v>
      </c>
      <c r="C84" s="231">
        <v>3398.6</v>
      </c>
    </row>
    <row r="85" ht="16.5" spans="1:3">
      <c r="A85" s="4" t="s">
        <v>250</v>
      </c>
      <c r="B85" s="231">
        <v>2782.7</v>
      </c>
      <c r="C85" s="231">
        <v>3478.4</v>
      </c>
    </row>
    <row r="86" ht="16.5" spans="1:3">
      <c r="A86" s="4" t="s">
        <v>251</v>
      </c>
      <c r="B86" s="231">
        <v>2490.2</v>
      </c>
      <c r="C86" s="231">
        <v>3165.4</v>
      </c>
    </row>
    <row r="87" ht="16.5" spans="1:3">
      <c r="A87" s="4" t="s">
        <v>252</v>
      </c>
      <c r="B87" s="231">
        <v>2490.2</v>
      </c>
      <c r="C87" s="231">
        <v>3165.4</v>
      </c>
    </row>
    <row r="88" ht="16.5" spans="1:3">
      <c r="A88" s="4" t="s">
        <v>253</v>
      </c>
      <c r="B88" s="231">
        <v>2306.2</v>
      </c>
      <c r="C88" s="231">
        <v>3032.4</v>
      </c>
    </row>
  </sheetData>
  <autoFilter xmlns:etc="http://www.wps.cn/officeDocument/2017/etCustomData" ref="A1:C88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3:H39"/>
  <sheetViews>
    <sheetView workbookViewId="0">
      <selection activeCell="C5" sqref="C5"/>
    </sheetView>
  </sheetViews>
  <sheetFormatPr defaultColWidth="8.66666666666667" defaultRowHeight="14.25" outlineLevelCol="7"/>
  <cols>
    <col min="2" max="2" width="18.4166666666667" customWidth="1"/>
    <col min="3" max="5" width="19.75" customWidth="1"/>
    <col min="6" max="6" width="13.4166666666667" customWidth="1"/>
    <col min="8" max="8" width="10.5833333333333"/>
    <col min="9" max="9" width="12.6666666666667"/>
  </cols>
  <sheetData>
    <row r="3" ht="16.5" spans="2:8">
      <c r="B3" s="218"/>
      <c r="C3" s="219" t="s">
        <v>254</v>
      </c>
      <c r="D3" s="219"/>
      <c r="E3" s="220" t="s">
        <v>255</v>
      </c>
      <c r="F3" s="220"/>
      <c r="G3" s="64"/>
      <c r="H3" s="64"/>
    </row>
    <row r="4" ht="16.5" spans="2:8">
      <c r="B4" s="221" t="s">
        <v>166</v>
      </c>
      <c r="C4" s="222" t="s">
        <v>256</v>
      </c>
      <c r="D4" s="223" t="s">
        <v>257</v>
      </c>
      <c r="E4" s="224" t="s">
        <v>258</v>
      </c>
      <c r="F4" s="224" t="s">
        <v>259</v>
      </c>
      <c r="G4" s="225" t="s">
        <v>260</v>
      </c>
      <c r="H4" s="64"/>
    </row>
    <row r="5" ht="16.5" spans="2:8">
      <c r="B5" s="13" t="s">
        <v>187</v>
      </c>
      <c r="C5" s="226">
        <v>76.4885649998321</v>
      </c>
      <c r="D5" s="48">
        <v>84.3937277113488</v>
      </c>
      <c r="E5" s="226">
        <v>114.570529827272</v>
      </c>
      <c r="F5" s="220"/>
      <c r="G5" s="226">
        <v>893.31</v>
      </c>
      <c r="H5" s="226">
        <f>C5*G5</f>
        <v>68328</v>
      </c>
    </row>
    <row r="6" ht="16.5" spans="2:8">
      <c r="B6" s="13" t="s">
        <v>216</v>
      </c>
      <c r="C6" s="226">
        <v>62.2623439988709</v>
      </c>
      <c r="D6" s="48">
        <v>104.988888888889</v>
      </c>
      <c r="E6" s="226">
        <v>95.1228855420472</v>
      </c>
      <c r="F6" s="220"/>
      <c r="G6" s="226">
        <v>4959.9</v>
      </c>
      <c r="H6" s="226">
        <f t="shared" ref="H6:H39" si="0">C6*G6</f>
        <v>308815</v>
      </c>
    </row>
    <row r="7" ht="16.5" spans="2:8">
      <c r="B7" s="13" t="s">
        <v>183</v>
      </c>
      <c r="C7" s="226">
        <v>59.7621050102127</v>
      </c>
      <c r="D7" s="48">
        <v>79.9555555555556</v>
      </c>
      <c r="E7" s="226">
        <v>102.006488045176</v>
      </c>
      <c r="F7" s="220"/>
      <c r="G7" s="226">
        <v>832.3</v>
      </c>
      <c r="H7" s="226">
        <f t="shared" si="0"/>
        <v>49740</v>
      </c>
    </row>
    <row r="8" ht="16.5" spans="2:8">
      <c r="B8" s="13" t="s">
        <v>170</v>
      </c>
      <c r="C8" s="226">
        <v>58.7240334322711</v>
      </c>
      <c r="D8" s="48">
        <v>79.2</v>
      </c>
      <c r="E8" s="226">
        <v>91.1367632149686</v>
      </c>
      <c r="F8" s="220"/>
      <c r="G8" s="226">
        <v>10909.22</v>
      </c>
      <c r="H8" s="226">
        <f t="shared" si="0"/>
        <v>640633.4</v>
      </c>
    </row>
    <row r="9" spans="2:8">
      <c r="B9" s="13" t="s">
        <v>182</v>
      </c>
      <c r="C9" s="226">
        <v>60.2008360596147</v>
      </c>
      <c r="D9" s="226"/>
      <c r="E9" s="226">
        <v>109.891857506361</v>
      </c>
      <c r="F9" s="226"/>
      <c r="G9" s="226">
        <v>1100.4</v>
      </c>
      <c r="H9" s="226">
        <f t="shared" si="0"/>
        <v>66245</v>
      </c>
    </row>
    <row r="10" spans="2:8">
      <c r="B10" s="13" t="s">
        <v>261</v>
      </c>
      <c r="C10" s="226">
        <v>86.9969008264463</v>
      </c>
      <c r="D10" s="226"/>
      <c r="E10" s="226">
        <v>118.246900826446</v>
      </c>
      <c r="F10" s="226"/>
      <c r="G10" s="226">
        <v>968</v>
      </c>
      <c r="H10" s="226">
        <f t="shared" si="0"/>
        <v>84213</v>
      </c>
    </row>
    <row r="11" spans="2:8">
      <c r="B11" s="13" t="s">
        <v>262</v>
      </c>
      <c r="C11" s="226">
        <v>47.8292794860028</v>
      </c>
      <c r="D11" s="226"/>
      <c r="E11" s="226">
        <v>82.2900413033502</v>
      </c>
      <c r="F11" s="226"/>
      <c r="G11" s="226">
        <v>1089.5</v>
      </c>
      <c r="H11" s="226">
        <f t="shared" si="0"/>
        <v>52110</v>
      </c>
    </row>
    <row r="12" spans="2:8">
      <c r="B12" s="13" t="s">
        <v>263</v>
      </c>
      <c r="C12" s="226">
        <v>31.947912602419</v>
      </c>
      <c r="D12" s="226"/>
      <c r="E12" s="226">
        <v>60.0936402653141</v>
      </c>
      <c r="F12" s="226"/>
      <c r="G12" s="226">
        <v>1025.2</v>
      </c>
      <c r="H12" s="226">
        <f t="shared" si="0"/>
        <v>32753</v>
      </c>
    </row>
    <row r="13" spans="2:8">
      <c r="B13" s="13" t="s">
        <v>171</v>
      </c>
      <c r="C13" s="226">
        <v>59.7116014856893</v>
      </c>
      <c r="D13" s="226"/>
      <c r="E13" s="226">
        <v>91.0203189862355</v>
      </c>
      <c r="F13" s="226"/>
      <c r="G13" s="226">
        <v>915.4</v>
      </c>
      <c r="H13" s="226">
        <f t="shared" si="0"/>
        <v>54660</v>
      </c>
    </row>
    <row r="14" spans="2:8">
      <c r="B14" s="13" t="s">
        <v>191</v>
      </c>
      <c r="C14" s="226">
        <v>28.0623482692648</v>
      </c>
      <c r="D14" s="226"/>
      <c r="E14" s="226">
        <v>52.0370102413222</v>
      </c>
      <c r="F14" s="226"/>
      <c r="G14" s="226">
        <v>2487.96</v>
      </c>
      <c r="H14" s="226">
        <f t="shared" si="0"/>
        <v>69818</v>
      </c>
    </row>
    <row r="15" spans="2:8">
      <c r="B15" s="227" t="s">
        <v>184</v>
      </c>
      <c r="C15" s="226">
        <v>51.9406451105032</v>
      </c>
      <c r="D15" s="226"/>
      <c r="E15" s="226">
        <v>77.358156377305</v>
      </c>
      <c r="F15" s="226"/>
      <c r="G15" s="226">
        <v>2540.65</v>
      </c>
      <c r="H15" s="226">
        <f t="shared" si="0"/>
        <v>131963</v>
      </c>
    </row>
    <row r="16" spans="2:8">
      <c r="B16" s="13" t="s">
        <v>194</v>
      </c>
      <c r="C16" s="226">
        <v>46.0776229690945</v>
      </c>
      <c r="D16" s="226"/>
      <c r="E16" s="226">
        <v>73.4126998170371</v>
      </c>
      <c r="F16" s="226"/>
      <c r="G16" s="226">
        <v>2825.71</v>
      </c>
      <c r="H16" s="226">
        <f t="shared" si="0"/>
        <v>130202</v>
      </c>
    </row>
    <row r="17" spans="2:8">
      <c r="B17" s="13" t="s">
        <v>179</v>
      </c>
      <c r="C17" s="226">
        <v>44.8384666889856</v>
      </c>
      <c r="D17" s="226"/>
      <c r="E17" s="226">
        <v>79.8766878696574</v>
      </c>
      <c r="F17" s="226"/>
      <c r="G17" s="226">
        <v>3584.4</v>
      </c>
      <c r="H17" s="226">
        <f t="shared" si="0"/>
        <v>160719</v>
      </c>
    </row>
    <row r="18" spans="2:8">
      <c r="B18" s="13" t="s">
        <v>215</v>
      </c>
      <c r="C18" s="226">
        <v>38.9745082815735</v>
      </c>
      <c r="D18" s="226"/>
      <c r="E18" s="226">
        <v>64.7612577639752</v>
      </c>
      <c r="F18" s="226"/>
      <c r="G18" s="226">
        <v>1545.6</v>
      </c>
      <c r="H18" s="226">
        <f t="shared" si="0"/>
        <v>60239</v>
      </c>
    </row>
    <row r="19" spans="2:8">
      <c r="B19" s="13" t="s">
        <v>196</v>
      </c>
      <c r="C19" s="226">
        <v>53.2721044238379</v>
      </c>
      <c r="D19" s="226"/>
      <c r="E19" s="226">
        <v>83.7133069517453</v>
      </c>
      <c r="F19" s="226"/>
      <c r="G19" s="226">
        <v>338.62</v>
      </c>
      <c r="H19" s="226">
        <f t="shared" si="0"/>
        <v>18039</v>
      </c>
    </row>
    <row r="20" spans="2:8">
      <c r="B20" s="13" t="s">
        <v>188</v>
      </c>
      <c r="C20" s="226">
        <v>32.113960867266</v>
      </c>
      <c r="D20" s="226"/>
      <c r="E20" s="226">
        <v>63.0691433104178</v>
      </c>
      <c r="F20" s="226"/>
      <c r="G20" s="226">
        <v>1512.8</v>
      </c>
      <c r="H20" s="226">
        <f t="shared" si="0"/>
        <v>48582</v>
      </c>
    </row>
    <row r="21" spans="2:8">
      <c r="B21" s="13" t="s">
        <v>211</v>
      </c>
      <c r="C21" s="226">
        <v>63.0059948615472</v>
      </c>
      <c r="D21" s="226"/>
      <c r="E21" s="226">
        <v>90.23598820059</v>
      </c>
      <c r="F21" s="226"/>
      <c r="G21" s="226">
        <v>1050.9</v>
      </c>
      <c r="H21" s="226">
        <f t="shared" si="0"/>
        <v>66213</v>
      </c>
    </row>
    <row r="22" spans="2:8">
      <c r="B22" s="13" t="s">
        <v>190</v>
      </c>
      <c r="C22" s="226">
        <v>41.7996678266371</v>
      </c>
      <c r="D22" s="226"/>
      <c r="E22" s="226">
        <v>66.8933881683012</v>
      </c>
      <c r="F22" s="226"/>
      <c r="G22" s="226">
        <v>1264.4</v>
      </c>
      <c r="H22" s="226">
        <f t="shared" si="0"/>
        <v>52851.4999999999</v>
      </c>
    </row>
    <row r="23" spans="2:8">
      <c r="B23" s="13" t="s">
        <v>167</v>
      </c>
      <c r="C23" s="226">
        <v>62.4010444301712</v>
      </c>
      <c r="D23" s="226"/>
      <c r="E23" s="226">
        <v>94.9437292300818</v>
      </c>
      <c r="F23" s="226"/>
      <c r="G23" s="226">
        <v>17904.5</v>
      </c>
      <c r="H23" s="226">
        <f t="shared" si="0"/>
        <v>1117259.5</v>
      </c>
    </row>
    <row r="24" spans="2:8">
      <c r="B24" s="13" t="s">
        <v>264</v>
      </c>
      <c r="C24" s="226">
        <v>43.5750932835821</v>
      </c>
      <c r="D24" s="226"/>
      <c r="E24" s="226">
        <v>71.1753731343284</v>
      </c>
      <c r="F24" s="226"/>
      <c r="G24" s="226">
        <v>428.8</v>
      </c>
      <c r="H24" s="226">
        <f t="shared" si="0"/>
        <v>18685</v>
      </c>
    </row>
    <row r="25" spans="2:8">
      <c r="B25" s="13" t="s">
        <v>213</v>
      </c>
      <c r="C25" s="226">
        <v>43.6043360433604</v>
      </c>
      <c r="D25" s="226"/>
      <c r="E25" s="226">
        <v>71.0414246999613</v>
      </c>
      <c r="F25" s="226"/>
      <c r="G25" s="226">
        <v>516.6</v>
      </c>
      <c r="H25" s="226">
        <f t="shared" si="0"/>
        <v>22526</v>
      </c>
    </row>
    <row r="26" spans="2:8">
      <c r="B26" s="13" t="s">
        <v>212</v>
      </c>
      <c r="C26" s="226">
        <v>42.2454439901055</v>
      </c>
      <c r="D26" s="226"/>
      <c r="E26" s="226">
        <v>70.3526174970973</v>
      </c>
      <c r="F26" s="226"/>
      <c r="G26" s="226">
        <v>3961.8</v>
      </c>
      <c r="H26" s="226">
        <f t="shared" si="0"/>
        <v>167368</v>
      </c>
    </row>
    <row r="27" spans="2:8">
      <c r="B27" s="13" t="s">
        <v>195</v>
      </c>
      <c r="C27" s="226">
        <v>41.6918429003021</v>
      </c>
      <c r="D27" s="226"/>
      <c r="E27" s="226">
        <v>76.348726801899</v>
      </c>
      <c r="F27" s="226"/>
      <c r="G27" s="226">
        <v>463.4</v>
      </c>
      <c r="H27" s="226">
        <f t="shared" si="0"/>
        <v>19320</v>
      </c>
    </row>
    <row r="28" spans="2:8">
      <c r="B28" s="13" t="s">
        <v>206</v>
      </c>
      <c r="C28" s="226">
        <v>88.7350095918095</v>
      </c>
      <c r="D28" s="226"/>
      <c r="E28" s="226">
        <v>118.620420808584</v>
      </c>
      <c r="F28" s="226"/>
      <c r="G28" s="226">
        <v>974.79</v>
      </c>
      <c r="H28" s="226">
        <f t="shared" si="0"/>
        <v>86498</v>
      </c>
    </row>
    <row r="29" spans="2:8">
      <c r="B29" s="13" t="s">
        <v>210</v>
      </c>
      <c r="C29" s="226">
        <v>88.9981617647059</v>
      </c>
      <c r="D29" s="226"/>
      <c r="E29" s="226">
        <v>124.852941176471</v>
      </c>
      <c r="F29" s="226"/>
      <c r="G29" s="226">
        <v>544</v>
      </c>
      <c r="H29" s="226">
        <f t="shared" si="0"/>
        <v>48415</v>
      </c>
    </row>
    <row r="30" spans="2:8">
      <c r="B30" s="13" t="s">
        <v>209</v>
      </c>
      <c r="C30" s="226">
        <v>90.5917089878351</v>
      </c>
      <c r="D30" s="226"/>
      <c r="E30" s="226">
        <v>122.097555214362</v>
      </c>
      <c r="F30" s="226"/>
      <c r="G30" s="226">
        <v>846.7</v>
      </c>
      <c r="H30" s="226">
        <f t="shared" si="0"/>
        <v>76704</v>
      </c>
    </row>
    <row r="31" spans="2:8">
      <c r="B31" s="13" t="s">
        <v>176</v>
      </c>
      <c r="C31" s="226">
        <v>43.0648104077423</v>
      </c>
      <c r="D31" s="226"/>
      <c r="E31" s="226">
        <v>78.5974932571791</v>
      </c>
      <c r="F31" s="226"/>
      <c r="G31" s="226">
        <v>1260.6</v>
      </c>
      <c r="H31" s="226">
        <f t="shared" si="0"/>
        <v>54287.4999999999</v>
      </c>
    </row>
    <row r="32" spans="2:8">
      <c r="B32" s="13" t="s">
        <v>172</v>
      </c>
      <c r="C32" s="226">
        <v>42.8466128466128</v>
      </c>
      <c r="D32" s="226"/>
      <c r="E32" s="226">
        <v>76.4244764244764</v>
      </c>
      <c r="F32" s="226"/>
      <c r="G32" s="226">
        <v>854.7</v>
      </c>
      <c r="H32" s="226">
        <f t="shared" si="0"/>
        <v>36621</v>
      </c>
    </row>
    <row r="33" spans="2:8">
      <c r="B33" s="13" t="s">
        <v>193</v>
      </c>
      <c r="C33" s="226">
        <v>37.345793224153</v>
      </c>
      <c r="D33" s="226"/>
      <c r="E33" s="226">
        <v>62.4328041005126</v>
      </c>
      <c r="F33" s="226"/>
      <c r="G33" s="226">
        <v>3199.6</v>
      </c>
      <c r="H33" s="226">
        <f t="shared" si="0"/>
        <v>119491.6</v>
      </c>
    </row>
    <row r="34" spans="2:8">
      <c r="B34" s="13" t="s">
        <v>177</v>
      </c>
      <c r="C34" s="226">
        <v>44.097985685826</v>
      </c>
      <c r="D34" s="226"/>
      <c r="E34" s="226">
        <v>74.5960303991736</v>
      </c>
      <c r="F34" s="226"/>
      <c r="G34" s="226">
        <v>1355.3</v>
      </c>
      <c r="H34" s="226">
        <f t="shared" si="0"/>
        <v>59766</v>
      </c>
    </row>
    <row r="35" spans="2:8">
      <c r="B35" s="13" t="s">
        <v>185</v>
      </c>
      <c r="C35" s="226">
        <v>50.453727463081</v>
      </c>
      <c r="D35" s="226"/>
      <c r="E35" s="226">
        <v>78.2425418548256</v>
      </c>
      <c r="F35" s="226"/>
      <c r="G35" s="226">
        <v>6523.74</v>
      </c>
      <c r="H35" s="226">
        <f t="shared" ref="H35" si="1">C35*G35</f>
        <v>329147</v>
      </c>
    </row>
    <row r="36" spans="2:8">
      <c r="B36" s="227" t="s">
        <v>186</v>
      </c>
      <c r="C36" s="226">
        <v>50.453727463081</v>
      </c>
      <c r="D36" s="226"/>
      <c r="E36" s="226">
        <v>78.2425418548256</v>
      </c>
      <c r="F36" s="226"/>
      <c r="G36" s="226">
        <v>6523.74</v>
      </c>
      <c r="H36" s="226">
        <f t="shared" si="0"/>
        <v>329147</v>
      </c>
    </row>
    <row r="37" spans="2:8">
      <c r="B37" s="13" t="s">
        <v>208</v>
      </c>
      <c r="C37" s="226">
        <v>92.3106490783611</v>
      </c>
      <c r="D37" s="226"/>
      <c r="E37" s="226">
        <v>146.527474447453</v>
      </c>
      <c r="F37" s="226"/>
      <c r="G37" s="226">
        <v>1144.7</v>
      </c>
      <c r="H37" s="226">
        <f t="shared" si="0"/>
        <v>105668</v>
      </c>
    </row>
    <row r="38" spans="2:8">
      <c r="B38" s="13" t="s">
        <v>189</v>
      </c>
      <c r="C38" s="226">
        <v>50.5743096363407</v>
      </c>
      <c r="D38" s="226"/>
      <c r="E38" s="226">
        <v>81.7244716211099</v>
      </c>
      <c r="F38" s="226"/>
      <c r="G38" s="226">
        <v>1426.06</v>
      </c>
      <c r="H38" s="226">
        <f t="shared" si="0"/>
        <v>72122</v>
      </c>
    </row>
    <row r="39" spans="2:8">
      <c r="B39" s="227" t="s">
        <v>173</v>
      </c>
      <c r="C39" s="226">
        <v>43.5669707153145</v>
      </c>
      <c r="D39" s="226"/>
      <c r="E39" s="226">
        <v>86.4298287726036</v>
      </c>
      <c r="F39" s="226"/>
      <c r="G39" s="226">
        <v>624.9</v>
      </c>
      <c r="H39" s="226">
        <f t="shared" si="0"/>
        <v>27225</v>
      </c>
    </row>
  </sheetData>
  <mergeCells count="2">
    <mergeCell ref="C3:D3"/>
    <mergeCell ref="E3:F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32"/>
  <sheetViews>
    <sheetView showGridLines="0" tabSelected="1" workbookViewId="0">
      <selection activeCell="H9" sqref="H9"/>
    </sheetView>
  </sheetViews>
  <sheetFormatPr defaultColWidth="8.66666666666667" defaultRowHeight="14.25"/>
  <cols>
    <col min="1" max="1" width="6" customWidth="1"/>
    <col min="2" max="2" width="14.25" customWidth="1"/>
    <col min="3" max="3" width="12.0833333333333" style="2" customWidth="1"/>
    <col min="4" max="4" width="16.5833333333333" style="2" customWidth="1"/>
    <col min="5" max="5" width="29.1666666666667" style="2" customWidth="1"/>
    <col min="6" max="6" width="18.75" style="2" customWidth="1"/>
    <col min="7" max="7" width="14.25" style="2" customWidth="1"/>
    <col min="8" max="8" width="14.25" customWidth="1"/>
    <col min="9" max="11" width="9.91666666666667" customWidth="1"/>
    <col min="12" max="12" width="23.3333333333333" customWidth="1"/>
    <col min="13" max="13" width="14.25" customWidth="1"/>
    <col min="14" max="16" width="12.75" customWidth="1"/>
    <col min="17" max="17" width="12.75" hidden="1" customWidth="1"/>
  </cols>
  <sheetData>
    <row r="1" ht="17.25" spans="1:17">
      <c r="A1" s="29"/>
      <c r="B1" s="155"/>
      <c r="C1" s="156"/>
      <c r="D1" s="156"/>
      <c r="E1" s="156"/>
    </row>
    <row r="2" ht="24" customHeight="1" spans="1:17">
      <c r="A2" s="29"/>
      <c r="B2" s="157" t="s">
        <v>265</v>
      </c>
      <c r="C2" s="158" t="s">
        <v>194</v>
      </c>
      <c r="D2" s="159" t="s">
        <v>266</v>
      </c>
      <c r="E2" s="160" t="s">
        <v>267</v>
      </c>
      <c r="F2"/>
      <c r="G2"/>
    </row>
    <row r="3" ht="17.25" spans="1:17">
      <c r="A3" s="29"/>
      <c r="B3" s="161" t="s">
        <v>268</v>
      </c>
      <c r="C3" s="162" t="s">
        <v>269</v>
      </c>
      <c r="D3" s="163" t="s">
        <v>270</v>
      </c>
      <c r="E3" s="62" t="s">
        <v>271</v>
      </c>
      <c r="F3" s="158" t="s">
        <v>272</v>
      </c>
      <c r="G3" s="158" t="s">
        <v>273</v>
      </c>
      <c r="H3" s="160" t="s">
        <v>274</v>
      </c>
      <c r="I3" s="164" t="s">
        <v>275</v>
      </c>
      <c r="J3" s="158" t="s">
        <v>276</v>
      </c>
      <c r="K3" s="165" t="s">
        <v>277</v>
      </c>
      <c r="L3" s="166" t="s">
        <v>278</v>
      </c>
      <c r="M3" s="158" t="s">
        <v>279</v>
      </c>
      <c r="N3" s="160" t="s">
        <v>280</v>
      </c>
      <c r="O3" s="167" t="s">
        <v>281</v>
      </c>
      <c r="P3" s="167" t="s">
        <v>282</v>
      </c>
      <c r="Q3" s="167" t="s">
        <v>283</v>
      </c>
    </row>
    <row r="4" ht="17.25" spans="1:17">
      <c r="A4" s="29"/>
      <c r="B4" s="168"/>
      <c r="C4" s="169" t="s">
        <v>284</v>
      </c>
      <c r="D4" s="169" t="s">
        <v>285</v>
      </c>
      <c r="E4" s="170" t="str">
        <f t="array" ref="E4">_xlfn.TEXTJOIN("&amp;",TRUE,_xlfn._xlws.FILTER('【3-2】大区&amp;运营中心填-房间模型价'!K2:K10,'【3-2】大区&amp;运营中心填-房间模型价'!K2:K10&lt;&gt;""))</f>
        <v>开间</v>
      </c>
      <c r="F4" s="170">
        <f t="array" ref="F4">INT(LOOKUP(2,1/(NOT(ISBLANK('【3-2】大区&amp;运营中心填-房间模型价'!H:H))),'【3-2】大区&amp;运营中心填-房间模型价'!H:H)/100)</f>
        <v>8</v>
      </c>
      <c r="G4" s="171">
        <f>SUMPRODUCT(('【3-2】大区&amp;运营中心填-房间模型价'!J:J="开间")*1+('【3-2】大区&amp;运营中心填-房间模型价'!J:J="二人宿舍")*1+('【3-2】大区&amp;运营中心填-房间模型价'!J:J="一居室")*1.5+('【3-2】大区&amp;运营中心填-房间模型价'!J:J="四人宿舍")*1.5+('【3-2】大区&amp;运营中心填-房间模型价'!J:J="二居室")*2+('【3-2】大区&amp;运营中心填-房间模型价'!J:J="六人宿舍")*2)</f>
        <v>40</v>
      </c>
      <c r="H4" s="172">
        <f>'【3-2】大区&amp;运营中心填-房间模型价'!G2</f>
        <v>5</v>
      </c>
      <c r="I4" s="173">
        <f>AVERAGEIF('【3-2】大区&amp;运营中心填-房间模型价'!J:J,"开间",'【3-2】大区&amp;运营中心填-房间模型价'!AM:AM)</f>
        <v>1278.019093907</v>
      </c>
      <c r="J4" s="171" t="e">
        <f>AVERAGEIF('【3-2】大区&amp;运营中心填-房间模型价'!J:J,"一居室",'【3-2】大区&amp;运营中心填-房间模型价'!AM:AM)</f>
        <v>#DIV/0!</v>
      </c>
      <c r="K4" s="174">
        <f>SUMIF('【3-2】大区&amp;运营中心填-房间模型价'!A:A,E2,'【3-2】大区&amp;运营中心填-房间模型价'!AM:AM)/G4</f>
        <v>1278.019093907</v>
      </c>
      <c r="L4" s="175">
        <f>AVERAGEIF('【3-2】大区&amp;运营中心填-房间模型价'!J:J,"开间",'【3-2】大区&amp;运营中心填-房间模型价'!N:N)</f>
        <v>12.5915</v>
      </c>
      <c r="M4" s="171" t="e">
        <f>AVERAGEIF('【3-2】大区&amp;运营中心填-房间模型价'!J:J,"一居室",'【3-2】大区&amp;运营中心填-房间模型价'!N:N)</f>
        <v>#DIV/0!</v>
      </c>
      <c r="N4" s="176">
        <v>91.18</v>
      </c>
      <c r="O4" s="176">
        <v>724.72</v>
      </c>
      <c r="P4" s="177">
        <v>33424</v>
      </c>
      <c r="Q4" s="178">
        <f>VLOOKUP(C2,piovt_各村均价!B:G,6,0)</f>
        <v>2825.71</v>
      </c>
    </row>
    <row r="5" ht="15" spans="1:17">
      <c r="A5" s="29"/>
    </row>
    <row r="6" ht="15" spans="1:17">
      <c r="A6" s="29"/>
    </row>
    <row r="7" ht="23" customHeight="1" spans="1:17">
      <c r="A7" s="29"/>
      <c r="B7" s="179" t="s">
        <v>286</v>
      </c>
      <c r="C7" s="180"/>
      <c r="D7" s="180"/>
      <c r="E7" s="181"/>
    </row>
    <row r="8" ht="17.25" spans="1:17">
      <c r="A8" s="29"/>
      <c r="B8" s="182" t="s">
        <v>287</v>
      </c>
      <c r="C8" s="166" t="s">
        <v>288</v>
      </c>
      <c r="D8" s="158" t="s">
        <v>289</v>
      </c>
      <c r="E8" s="158" t="s">
        <v>290</v>
      </c>
      <c r="F8" s="158" t="s">
        <v>291</v>
      </c>
      <c r="G8" s="158" t="s">
        <v>292</v>
      </c>
      <c r="H8" s="158" t="s">
        <v>293</v>
      </c>
      <c r="I8" s="183" t="s">
        <v>294</v>
      </c>
    </row>
    <row r="9" ht="18" customHeight="1" spans="1:17">
      <c r="A9" s="29"/>
      <c r="B9" s="184"/>
      <c r="C9" s="185"/>
      <c r="D9" s="140">
        <f>P4/O4</f>
        <v>46.1198807815432</v>
      </c>
      <c r="E9" s="140">
        <f>(D9+18)/0.9</f>
        <v>71.2443119794925</v>
      </c>
      <c r="F9" s="140">
        <f>SUMIF('【3-2】大区&amp;运营中心填-房间模型价'!A:A,E2,'【3-2】大区&amp;运营中心填-房间模型价'!AM:AM)/O4</f>
        <v>70.5386407940722</v>
      </c>
      <c r="G9" s="147">
        <f>F9/D9</f>
        <v>1.52946277394328</v>
      </c>
      <c r="H9" s="147">
        <f>F9/E9</f>
        <v>0.990095052281178</v>
      </c>
      <c r="I9" s="186" t="str">
        <f>IF(H9&lt;1,"不通过","通过")</f>
        <v>不通过</v>
      </c>
    </row>
    <row r="10" ht="6" customHeight="1" spans="1:17">
      <c r="A10" s="29"/>
      <c r="B10" s="184"/>
      <c r="C10" s="185"/>
      <c r="D10" s="4"/>
      <c r="E10" s="4"/>
      <c r="F10" s="4"/>
      <c r="G10" s="4"/>
      <c r="H10" s="4"/>
      <c r="I10" s="187"/>
    </row>
    <row r="11" ht="16.5" spans="1:17">
      <c r="A11" s="29"/>
      <c r="B11" s="184"/>
      <c r="C11" s="185" t="s">
        <v>295</v>
      </c>
      <c r="D11" s="140" t="s">
        <v>296</v>
      </c>
      <c r="E11" s="140" t="s">
        <v>297</v>
      </c>
      <c r="F11" s="140" t="s">
        <v>298</v>
      </c>
      <c r="G11" s="4" t="s">
        <v>292</v>
      </c>
      <c r="H11" s="4" t="s">
        <v>293</v>
      </c>
      <c r="I11" s="186" t="s">
        <v>294</v>
      </c>
    </row>
    <row r="12" ht="21" customHeight="1" spans="1:17">
      <c r="A12" s="29"/>
      <c r="B12" s="188"/>
      <c r="C12" s="189"/>
      <c r="D12" s="171">
        <f>D9</f>
        <v>46.1198807815432</v>
      </c>
      <c r="E12" s="171">
        <f>(D12+18)/0.9</f>
        <v>71.2443119794925</v>
      </c>
      <c r="F12" s="171">
        <f>F9</f>
        <v>70.5386407940722</v>
      </c>
      <c r="G12" s="190">
        <f>F12/D12</f>
        <v>1.52946277394328</v>
      </c>
      <c r="H12" s="190">
        <f>F12/E12</f>
        <v>0.990095052281178</v>
      </c>
      <c r="I12" s="191" t="str">
        <f>IF(H12&lt;1.05,"不通过","通过")</f>
        <v>不通过</v>
      </c>
    </row>
    <row r="13" ht="13" customHeight="1" spans="1:17">
      <c r="A13" s="29"/>
      <c r="B13" s="192"/>
    </row>
    <row r="14" ht="12" customHeight="1" spans="1:17">
      <c r="A14" s="29"/>
      <c r="B14" s="193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</row>
    <row r="15" ht="15" spans="1:17">
      <c r="A15" s="29"/>
      <c r="B15" s="194" t="s">
        <v>299</v>
      </c>
      <c r="C15" s="195" t="s">
        <v>300</v>
      </c>
      <c r="D15" s="158" t="s">
        <v>301</v>
      </c>
      <c r="E15" s="158" t="s">
        <v>302</v>
      </c>
      <c r="F15" s="158"/>
      <c r="G15" s="158"/>
      <c r="H15" s="158"/>
      <c r="I15" s="158"/>
      <c r="J15" s="158" t="s">
        <v>303</v>
      </c>
      <c r="K15" s="158" t="s">
        <v>304</v>
      </c>
      <c r="L15" s="196" t="s">
        <v>305</v>
      </c>
      <c r="M15" s="183" t="s">
        <v>294</v>
      </c>
    </row>
    <row r="16" spans="1:17">
      <c r="A16" s="29"/>
      <c r="B16" s="197"/>
      <c r="C16" s="198"/>
      <c r="D16" s="4"/>
      <c r="E16" s="4"/>
      <c r="F16" s="4"/>
      <c r="G16" s="4"/>
      <c r="H16" s="4"/>
      <c r="I16" s="4"/>
      <c r="J16" s="4"/>
      <c r="K16" s="4"/>
      <c r="L16" s="199"/>
      <c r="M16" s="186"/>
    </row>
    <row r="17" ht="19" customHeight="1" spans="1:15">
      <c r="A17" s="29"/>
      <c r="B17" s="197"/>
      <c r="C17" s="198"/>
      <c r="D17" s="4"/>
      <c r="E17" s="4"/>
      <c r="F17" s="4"/>
      <c r="G17" s="4"/>
      <c r="H17" s="4"/>
      <c r="I17" s="4"/>
      <c r="J17" s="4"/>
      <c r="K17" s="4"/>
      <c r="L17" s="61"/>
      <c r="M17" s="200" t="e">
        <f>L17/J17</f>
        <v>#DIV/0!</v>
      </c>
    </row>
    <row r="18" ht="16.5" spans="1:15">
      <c r="A18" s="29"/>
      <c r="B18" s="197"/>
      <c r="C18" s="198"/>
      <c r="D18" s="4"/>
      <c r="E18" s="4"/>
      <c r="F18" s="4"/>
      <c r="G18" s="4"/>
      <c r="H18" s="4"/>
      <c r="I18" s="4"/>
      <c r="J18" s="4"/>
      <c r="K18" s="4"/>
      <c r="L18" s="61"/>
      <c r="M18" s="200" t="e">
        <f>L18/J18</f>
        <v>#DIV/0!</v>
      </c>
    </row>
    <row r="19" ht="17.25" spans="1:15">
      <c r="A19" s="29"/>
      <c r="B19" s="201"/>
      <c r="C19" s="202"/>
      <c r="D19" s="170"/>
      <c r="E19" s="170"/>
      <c r="F19" s="170"/>
      <c r="G19" s="170"/>
      <c r="H19" s="170"/>
      <c r="I19" s="170"/>
      <c r="J19" s="170"/>
      <c r="K19" s="170"/>
      <c r="L19" s="203"/>
      <c r="M19" s="204" t="e">
        <f>L19/J19</f>
        <v>#DIV/0!</v>
      </c>
    </row>
    <row r="20" ht="15.75" spans="1:15">
      <c r="B20" s="205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</row>
    <row r="21" ht="15.75" spans="1:15">
      <c r="B21" s="182" t="s">
        <v>306</v>
      </c>
      <c r="C21" s="166" t="s">
        <v>307</v>
      </c>
      <c r="D21" s="206" t="s">
        <v>308</v>
      </c>
      <c r="E21" s="206" t="s">
        <v>309</v>
      </c>
      <c r="F21" s="207" t="s">
        <v>294</v>
      </c>
      <c r="G21" s="183"/>
    </row>
    <row r="22" spans="1:15">
      <c r="B22" s="184"/>
      <c r="C22" s="185"/>
      <c r="D22" s="208">
        <f>MIN('【3-2】大区&amp;运营中心填-房间模型价'!AN:AN)</f>
        <v>-0.239726241598225</v>
      </c>
      <c r="E22" s="208">
        <f>MAX('【3-2】大区&amp;运营中心填-房间模型价'!AN:AN)</f>
        <v>-0.0497038973157244</v>
      </c>
      <c r="F22" s="13" t="str">
        <f>IF(OR(D22&lt;-10%,E22&gt;10%),"不通过","通过")</f>
        <v>不通过</v>
      </c>
      <c r="G22" s="209"/>
      <c r="I22" s="29"/>
    </row>
    <row r="23" ht="15" spans="1:15">
      <c r="B23" s="184"/>
      <c r="C23" s="189"/>
      <c r="D23" s="210"/>
      <c r="E23" s="210"/>
      <c r="F23" s="211"/>
      <c r="G23" s="212"/>
      <c r="I23" s="29"/>
    </row>
    <row r="24" ht="15.75" spans="1:15">
      <c r="B24" s="184"/>
      <c r="C24" s="213"/>
      <c r="D24" s="3"/>
      <c r="E24" s="3"/>
      <c r="F24" s="3"/>
      <c r="G24" s="214"/>
      <c r="H24" s="3"/>
      <c r="I24" s="3"/>
      <c r="J24" s="3"/>
      <c r="K24" s="3"/>
      <c r="L24" s="3"/>
      <c r="M24" s="3"/>
      <c r="N24" s="3"/>
      <c r="O24" s="3"/>
    </row>
    <row r="25" ht="18" customHeight="1" spans="1:15">
      <c r="B25" s="184"/>
      <c r="C25" s="215" t="s">
        <v>310</v>
      </c>
      <c r="D25" s="206" t="s">
        <v>311</v>
      </c>
      <c r="E25" s="206" t="s">
        <v>312</v>
      </c>
      <c r="F25" s="207" t="s">
        <v>294</v>
      </c>
      <c r="G25" s="183"/>
      <c r="I25" s="29"/>
    </row>
    <row r="26" ht="34" customHeight="1" spans="1:15">
      <c r="B26" s="188"/>
      <c r="C26" s="216"/>
      <c r="D26" s="217">
        <f>AVERAGE('【3-2】大区&amp;运营中心填-房间模型价'!AL:AL)</f>
        <v>1377.777019476</v>
      </c>
      <c r="E26" s="217">
        <f>AVERAGE('【3-2】大区&amp;运营中心填-房间模型价'!AM:AM)</f>
        <v>1278.019093907</v>
      </c>
      <c r="F26" s="210">
        <f>E26/D26</f>
        <v>0.927595014172221</v>
      </c>
      <c r="G26" s="204"/>
      <c r="I26" s="29"/>
    </row>
    <row r="27" ht="15"/>
    <row r="32" spans="1:15">
      <c r="H32" t="s">
        <v>313</v>
      </c>
    </row>
  </sheetData>
  <mergeCells count="28">
    <mergeCell ref="B7:E7"/>
    <mergeCell ref="C10:I10"/>
    <mergeCell ref="C14:O14"/>
    <mergeCell ref="B20:O20"/>
    <mergeCell ref="F21:G21"/>
    <mergeCell ref="F25:G25"/>
    <mergeCell ref="F26:G26"/>
    <mergeCell ref="A1:A19"/>
    <mergeCell ref="B3:B4"/>
    <mergeCell ref="B8:B12"/>
    <mergeCell ref="B15:B19"/>
    <mergeCell ref="B21:B26"/>
    <mergeCell ref="C8:C9"/>
    <mergeCell ref="C11:C12"/>
    <mergeCell ref="C15:C19"/>
    <mergeCell ref="C21:C23"/>
    <mergeCell ref="C25:C26"/>
    <mergeCell ref="D15:D16"/>
    <mergeCell ref="D22:D23"/>
    <mergeCell ref="E22:E23"/>
    <mergeCell ref="I22:I23"/>
    <mergeCell ref="I25:I26"/>
    <mergeCell ref="J15:J16"/>
    <mergeCell ref="K15:K16"/>
    <mergeCell ref="L15:L16"/>
    <mergeCell ref="M15:M16"/>
    <mergeCell ref="E15:I16"/>
    <mergeCell ref="F22:G23"/>
  </mergeCells>
  <conditionalFormatting sqref="D22:D23">
    <cfRule type="cellIs" dxfId="0" priority="2" operator="lessThan">
      <formula>-0.01</formula>
    </cfRule>
  </conditionalFormatting>
  <conditionalFormatting sqref="E22:E23">
    <cfRule type="cellIs" dxfId="0" priority="1" operator="greaterThan">
      <formula>0.1</formula>
    </cfRule>
  </conditionalFormatting>
  <dataValidations count="1">
    <dataValidation type="list" allowBlank="1" showInputMessage="1" showErrorMessage="1" sqref="C4:D4">
      <formula1>"是,否"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2:J22"/>
  <sheetViews>
    <sheetView workbookViewId="0">
      <selection activeCell="A70" sqref="A70"/>
    </sheetView>
  </sheetViews>
  <sheetFormatPr defaultColWidth="8.41666666666667" defaultRowHeight="14.25"/>
  <cols>
    <col min="1" max="1" width="1.33333333333333" customWidth="1"/>
    <col min="2" max="2" width="12.4166666666667" customWidth="1"/>
    <col min="3" max="3" width="20.3333333333333" customWidth="1"/>
    <col min="4" max="4" width="16.3333333333333" customWidth="1"/>
    <col min="5" max="5" width="16.6666666666667" customWidth="1"/>
    <col min="6" max="6" width="10.6666666666667" customWidth="1"/>
    <col min="7" max="7" width="11.6666666666667" customWidth="1"/>
    <col min="8" max="8" width="10.3333333333333" customWidth="1"/>
    <col min="9" max="9" width="11.6666666666667" customWidth="1"/>
    <col min="10" max="10" width="10.4166666666667" style="2" hidden="1" customWidth="1"/>
    <col min="11" max="11" width="12.0833333333333" customWidth="1"/>
  </cols>
  <sheetData>
    <row r="2" ht="16.5" spans="2:10">
      <c r="B2" s="4" t="s">
        <v>314</v>
      </c>
      <c r="C2" s="13" t="s">
        <v>315</v>
      </c>
      <c r="D2" s="2"/>
      <c r="E2" s="2"/>
      <c r="F2" s="2"/>
      <c r="G2" s="2"/>
      <c r="H2" s="2"/>
      <c r="I2" s="2"/>
    </row>
    <row r="3" spans="2:10">
      <c r="B3" s="4" t="s">
        <v>316</v>
      </c>
      <c r="C3" s="135" t="s">
        <v>270</v>
      </c>
      <c r="D3" s="136" t="s">
        <v>317</v>
      </c>
      <c r="E3" s="137" t="s">
        <v>271</v>
      </c>
      <c r="F3" s="2"/>
      <c r="G3" s="2"/>
      <c r="H3" s="2"/>
      <c r="I3" s="2"/>
    </row>
    <row r="4" ht="25.25" customHeight="1" spans="2:10">
      <c r="B4" s="4"/>
      <c r="C4" s="13" t="s">
        <v>54</v>
      </c>
      <c r="D4" s="138" t="s">
        <v>54</v>
      </c>
      <c r="E4" s="13" t="s">
        <v>318</v>
      </c>
      <c r="F4" s="2"/>
      <c r="G4" s="2"/>
      <c r="H4" s="2"/>
      <c r="I4" s="2"/>
    </row>
    <row r="5" ht="23" customHeight="1" spans="2:10">
      <c r="B5" s="2"/>
      <c r="C5" s="2"/>
      <c r="D5" s="2"/>
      <c r="E5" s="2"/>
      <c r="F5" s="2"/>
      <c r="G5" s="2"/>
      <c r="H5" s="2"/>
      <c r="I5" s="2"/>
    </row>
    <row r="6" ht="21.75" customHeight="1" spans="2:10">
      <c r="B6" s="6" t="s">
        <v>272</v>
      </c>
      <c r="C6" s="6" t="s">
        <v>273</v>
      </c>
      <c r="D6" s="6" t="s">
        <v>274</v>
      </c>
      <c r="E6" s="6" t="s">
        <v>275</v>
      </c>
      <c r="F6" s="6" t="s">
        <v>276</v>
      </c>
      <c r="G6" s="6" t="s">
        <v>277</v>
      </c>
      <c r="H6" s="6" t="s">
        <v>280</v>
      </c>
      <c r="I6" s="6" t="s">
        <v>281</v>
      </c>
      <c r="J6" s="139" t="s">
        <v>311</v>
      </c>
    </row>
    <row r="7" ht="24" customHeight="1" spans="2:10">
      <c r="B7" s="4">
        <v>5</v>
      </c>
      <c r="C7" s="140">
        <v>34</v>
      </c>
      <c r="D7" s="140">
        <v>7.5</v>
      </c>
      <c r="E7" s="140">
        <f>AVERAGEIF('【3-2】大区&amp;运营中心填-房间模型价'!J:J,"开间",'【3-2】大区&amp;运营中心填-房间模型价'!AM:AM)</f>
        <v>1278.019093907</v>
      </c>
      <c r="F7" s="140" t="e">
        <f>AVERAGEIF('【3-2】大区&amp;运营中心填-房间模型价'!J:J,"一居室",'【3-2】大区&amp;运营中心填-房间模型价'!AM:AM)</f>
        <v>#DIV/0!</v>
      </c>
      <c r="G7" s="140">
        <v>1681.05882352941</v>
      </c>
      <c r="H7" s="141">
        <v>135.73</v>
      </c>
      <c r="I7" s="141">
        <v>662</v>
      </c>
      <c r="J7" s="140">
        <f>SUMIF('【3-2】大区&amp;运营中心填-房间模型价'!A:A,C2,'【3-2】大区&amp;运营中心填-房间模型价'!AL:AL)/C7</f>
        <v>0</v>
      </c>
    </row>
    <row r="8" ht="26" customHeight="1" spans="2:10">
      <c r="B8" s="2"/>
      <c r="C8" s="2"/>
      <c r="D8" s="2"/>
      <c r="E8" s="2"/>
      <c r="F8" s="2"/>
      <c r="G8" s="2"/>
      <c r="H8" s="2"/>
      <c r="I8" s="2"/>
    </row>
    <row r="9" s="2" customFormat="1" ht="24" customHeight="1" spans="2:10">
      <c r="B9" s="4"/>
      <c r="C9" s="142" t="s">
        <v>319</v>
      </c>
      <c r="D9" s="142" t="s">
        <v>320</v>
      </c>
      <c r="E9" s="143" t="s">
        <v>321</v>
      </c>
      <c r="F9" s="144" t="s">
        <v>291</v>
      </c>
      <c r="G9" s="144" t="s">
        <v>292</v>
      </c>
      <c r="H9" s="144" t="s">
        <v>293</v>
      </c>
    </row>
    <row r="10" ht="29" customHeight="1" spans="2:10">
      <c r="B10" s="4" t="s">
        <v>322</v>
      </c>
      <c r="C10" s="145">
        <v>45</v>
      </c>
      <c r="D10" s="145">
        <v>55</v>
      </c>
      <c r="E10" s="146">
        <f>(C10+21)/0.96</f>
        <v>68.75</v>
      </c>
      <c r="F10" s="146">
        <f>SUMIF('【3-2】大区&amp;运营中心填-房间模型价'!A:A,C2,'【3-2】大区&amp;运营中心填-房间模型价'!AM:AM)/I7</f>
        <v>0</v>
      </c>
      <c r="G10" s="147">
        <f>F10/C10</f>
        <v>0</v>
      </c>
      <c r="H10" s="148">
        <f>F10/E10</f>
        <v>0</v>
      </c>
    </row>
    <row r="11" ht="18" customHeight="1" spans="2:10">
      <c r="B11" s="149" t="s">
        <v>30</v>
      </c>
      <c r="C11" s="149" t="s">
        <v>323</v>
      </c>
      <c r="D11" s="149"/>
    </row>
    <row r="12" ht="19.25" customHeight="1" spans="2:10">
      <c r="B12" s="150" t="s">
        <v>301</v>
      </c>
      <c r="C12" s="151" t="s">
        <v>324</v>
      </c>
      <c r="D12" s="152"/>
      <c r="E12" s="152"/>
      <c r="F12" s="153"/>
      <c r="G12" s="150" t="s">
        <v>325</v>
      </c>
      <c r="H12" s="4" t="s">
        <v>326</v>
      </c>
      <c r="I12" s="2"/>
      <c r="J12"/>
    </row>
    <row r="13" ht="21" customHeight="1" spans="2:10">
      <c r="B13" s="4" t="s">
        <v>327</v>
      </c>
      <c r="C13" s="4" t="s">
        <v>328</v>
      </c>
      <c r="D13" s="4" t="s">
        <v>329</v>
      </c>
      <c r="E13" s="4" t="s">
        <v>330</v>
      </c>
      <c r="F13" s="4" t="s">
        <v>331</v>
      </c>
      <c r="G13" s="4">
        <v>1533</v>
      </c>
      <c r="H13" s="147">
        <f>E7/G13</f>
        <v>0.833671946449446</v>
      </c>
      <c r="I13" s="2"/>
      <c r="J13"/>
    </row>
    <row r="14" ht="16.5" spans="2:10">
      <c r="B14" s="4" t="s">
        <v>327</v>
      </c>
      <c r="C14" s="4" t="s">
        <v>332</v>
      </c>
      <c r="D14" s="4" t="s">
        <v>329</v>
      </c>
      <c r="E14" s="4" t="s">
        <v>330</v>
      </c>
      <c r="F14" s="4" t="s">
        <v>331</v>
      </c>
      <c r="G14" s="4">
        <v>1619</v>
      </c>
      <c r="H14" s="147">
        <f>E7/G14</f>
        <v>0.78938795176467</v>
      </c>
      <c r="I14" s="2"/>
      <c r="J14"/>
    </row>
    <row r="15" ht="20" customHeight="1" spans="2:10">
      <c r="B15" s="154" t="s">
        <v>327</v>
      </c>
      <c r="C15" s="154" t="s">
        <v>333</v>
      </c>
      <c r="D15" s="154" t="s">
        <v>329</v>
      </c>
      <c r="E15" s="154" t="s">
        <v>330</v>
      </c>
      <c r="F15" s="154" t="s">
        <v>331</v>
      </c>
      <c r="G15" s="154">
        <v>2202</v>
      </c>
      <c r="H15" s="147" t="e">
        <f>F7/G15</f>
        <v>#DIV/0!</v>
      </c>
      <c r="I15" s="2"/>
      <c r="J15"/>
    </row>
    <row r="21" ht="16.5" spans="3:4">
      <c r="C21" s="59" t="s">
        <v>334</v>
      </c>
      <c r="D21" s="154" t="s">
        <v>335</v>
      </c>
    </row>
    <row r="22" ht="16.5" spans="3:4">
      <c r="C22" s="62"/>
      <c r="D22" s="154" t="s">
        <v>336</v>
      </c>
    </row>
  </sheetData>
  <mergeCells count="4">
    <mergeCell ref="C11:D11"/>
    <mergeCell ref="C12:F12"/>
    <mergeCell ref="B3:B4"/>
    <mergeCell ref="C21:C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U19"/>
  <sheetViews>
    <sheetView workbookViewId="0">
      <selection activeCell="A70" sqref="A70"/>
    </sheetView>
  </sheetViews>
  <sheetFormatPr defaultColWidth="9" defaultRowHeight="14.25"/>
  <cols>
    <col min="1" max="1" width="21.0833333333333" customWidth="1"/>
    <col min="2" max="2" width="9.66666666666667" customWidth="1"/>
    <col min="3" max="3" width="9" style="125" customWidth="1"/>
    <col min="4" max="4" width="8.41666666666667" customWidth="1"/>
    <col min="5" max="5" width="9" customWidth="1"/>
    <col min="6" max="9" width="7.66666666666667" customWidth="1"/>
    <col min="10" max="11" width="4.41666666666667" customWidth="1"/>
    <col min="12" max="12" width="7.33333333333333" customWidth="1"/>
    <col min="13" max="13" width="6.08333333333333" customWidth="1"/>
    <col min="14" max="15" width="7.66666666666667" customWidth="1"/>
    <col min="16" max="17" width="4.41666666666667" customWidth="1"/>
    <col min="18" max="18" width="7.66666666666667" customWidth="1"/>
    <col min="19" max="21" width="4.41666666666667" customWidth="1"/>
  </cols>
  <sheetData>
    <row r="1" s="124" customFormat="1" spans="1:21">
      <c r="A1" s="124" t="s">
        <v>301</v>
      </c>
      <c r="B1" s="124" t="s">
        <v>337</v>
      </c>
      <c r="C1" s="126" t="s">
        <v>338</v>
      </c>
    </row>
    <row r="2" spans="1:21">
      <c r="A2" t="s">
        <v>339</v>
      </c>
      <c r="B2" t="s">
        <v>340</v>
      </c>
      <c r="C2" s="127">
        <v>46.3</v>
      </c>
    </row>
    <row r="3" spans="1:21">
      <c r="A3" t="s">
        <v>341</v>
      </c>
      <c r="B3" t="s">
        <v>342</v>
      </c>
      <c r="C3" s="127">
        <v>18.9</v>
      </c>
    </row>
    <row r="4" spans="1:21">
      <c r="A4" t="s">
        <v>343</v>
      </c>
      <c r="B4" t="s">
        <v>344</v>
      </c>
      <c r="C4" s="125">
        <v>2500</v>
      </c>
    </row>
    <row r="5" spans="1:21">
      <c r="A5" t="s">
        <v>345</v>
      </c>
      <c r="B5" t="s">
        <v>346</v>
      </c>
      <c r="C5" s="125">
        <v>10</v>
      </c>
    </row>
    <row r="6" spans="1:21">
      <c r="A6" t="s">
        <v>347</v>
      </c>
      <c r="B6" t="s">
        <v>348</v>
      </c>
      <c r="C6" s="128">
        <v>0.98</v>
      </c>
    </row>
    <row r="7" spans="1:21">
      <c r="A7" t="s">
        <v>349</v>
      </c>
      <c r="B7" t="s">
        <v>350</v>
      </c>
      <c r="C7" s="125">
        <f>(C2*C3+C4*C3/C5/12)/C6</f>
        <v>1294.71428571429</v>
      </c>
    </row>
    <row r="8" spans="1:21">
      <c r="A8" t="s">
        <v>351</v>
      </c>
      <c r="B8" t="s">
        <v>348</v>
      </c>
      <c r="C8" s="128">
        <v>1</v>
      </c>
    </row>
    <row r="9" spans="1:21">
      <c r="A9" t="s">
        <v>352</v>
      </c>
      <c r="B9" t="s">
        <v>350</v>
      </c>
      <c r="C9" s="129"/>
    </row>
    <row r="10" spans="1:21">
      <c r="A10" t="s">
        <v>353</v>
      </c>
      <c r="B10" t="s">
        <v>348</v>
      </c>
      <c r="C10" s="125">
        <f>1-C8</f>
        <v>0</v>
      </c>
    </row>
    <row r="11" s="124" customFormat="1" spans="1:21">
      <c r="A11" s="124" t="s">
        <v>31</v>
      </c>
      <c r="B11" t="s">
        <v>350</v>
      </c>
      <c r="C11" s="126">
        <f>C7*C8+C9*C10</f>
        <v>1294.71428571429</v>
      </c>
    </row>
    <row r="12" ht="33" spans="1:21">
      <c r="C12" s="125" t="s">
        <v>37</v>
      </c>
      <c r="D12" t="s">
        <v>277</v>
      </c>
      <c r="F12" s="130" t="s">
        <v>354</v>
      </c>
      <c r="G12" s="131" t="s">
        <v>355</v>
      </c>
      <c r="H12" s="131" t="s">
        <v>145</v>
      </c>
      <c r="I12" s="131" t="s">
        <v>356</v>
      </c>
      <c r="J12" s="131" t="s">
        <v>357</v>
      </c>
      <c r="K12" s="131" t="s">
        <v>164</v>
      </c>
      <c r="L12" s="131" t="s">
        <v>358</v>
      </c>
      <c r="M12" s="131" t="s">
        <v>359</v>
      </c>
      <c r="N12" s="131" t="s">
        <v>360</v>
      </c>
      <c r="O12" s="131" t="s">
        <v>57</v>
      </c>
      <c r="P12" s="131" t="s">
        <v>361</v>
      </c>
      <c r="Q12" s="131" t="s">
        <v>67</v>
      </c>
      <c r="R12" s="131" t="s">
        <v>68</v>
      </c>
      <c r="S12" s="131" t="s">
        <v>362</v>
      </c>
      <c r="T12" s="131" t="s">
        <v>118</v>
      </c>
      <c r="U12" s="131" t="s">
        <v>151</v>
      </c>
    </row>
    <row r="13" spans="1:21">
      <c r="A13" s="75" t="s">
        <v>363</v>
      </c>
      <c r="B13" t="s">
        <v>364</v>
      </c>
      <c r="C13" s="125">
        <v>1325</v>
      </c>
      <c r="D13" s="132">
        <f>C13/1</f>
        <v>1325</v>
      </c>
      <c r="E13" s="133"/>
      <c r="F13" s="92" t="s">
        <v>27</v>
      </c>
      <c r="G13" s="90" t="s">
        <v>149</v>
      </c>
      <c r="H13" s="90" t="s">
        <v>146</v>
      </c>
      <c r="I13" s="90" t="s">
        <v>365</v>
      </c>
      <c r="J13" s="90" t="s">
        <v>54</v>
      </c>
      <c r="K13" s="90" t="s">
        <v>54</v>
      </c>
      <c r="L13" s="90" t="s">
        <v>54</v>
      </c>
      <c r="M13" s="90" t="s">
        <v>366</v>
      </c>
      <c r="N13" s="90" t="s">
        <v>63</v>
      </c>
      <c r="O13" s="90" t="s">
        <v>63</v>
      </c>
      <c r="P13" s="91" t="s">
        <v>63</v>
      </c>
      <c r="Q13" s="90" t="s">
        <v>54</v>
      </c>
      <c r="R13" s="90" t="s">
        <v>367</v>
      </c>
      <c r="S13" s="90" t="s">
        <v>63</v>
      </c>
      <c r="T13" s="90" t="s">
        <v>63</v>
      </c>
      <c r="U13" s="90" t="s">
        <v>63</v>
      </c>
    </row>
    <row r="14" spans="1:21">
      <c r="A14" s="75" t="s">
        <v>368</v>
      </c>
      <c r="B14" t="s">
        <v>364</v>
      </c>
      <c r="C14" s="125">
        <v>1200</v>
      </c>
      <c r="D14" s="132">
        <f t="shared" ref="D14" si="0">C14/1</f>
        <v>1200</v>
      </c>
      <c r="F14" s="134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</row>
    <row r="15" spans="1:21">
      <c r="A15" s="75" t="s">
        <v>369</v>
      </c>
      <c r="B15" t="s">
        <v>364</v>
      </c>
      <c r="C15" s="129">
        <v>1850</v>
      </c>
      <c r="D15" s="132">
        <f>C15/1.5</f>
        <v>1233.33333333333</v>
      </c>
    </row>
    <row r="16" spans="1:21">
      <c r="A16" s="75" t="s">
        <v>370</v>
      </c>
      <c r="B16" t="s">
        <v>364</v>
      </c>
      <c r="C16" s="129">
        <v>1650</v>
      </c>
      <c r="D16" s="132">
        <f>C16/1.5</f>
        <v>1100</v>
      </c>
      <c r="E16" s="133"/>
    </row>
    <row r="17" spans="1:4">
      <c r="A17" s="75" t="s">
        <v>371</v>
      </c>
      <c r="B17" t="s">
        <v>364</v>
      </c>
      <c r="D17" s="132">
        <f t="shared" ref="D17" si="1">C17/1.5</f>
        <v>0</v>
      </c>
    </row>
    <row r="18" spans="1:4">
      <c r="A18" s="75" t="s">
        <v>372</v>
      </c>
      <c r="B18" t="s">
        <v>364</v>
      </c>
      <c r="D18" s="132">
        <f>C18/2</f>
        <v>0</v>
      </c>
    </row>
    <row r="19" spans="1:4">
      <c r="A19" s="75" t="s">
        <v>373</v>
      </c>
      <c r="B19" t="s">
        <v>364</v>
      </c>
      <c r="D19" s="132">
        <f>C19/1</f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U63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70" sqref="A70"/>
    </sheetView>
  </sheetViews>
  <sheetFormatPr defaultColWidth="8.41666666666667" defaultRowHeight="12.75"/>
  <cols>
    <col min="1" max="1" width="11.6666666666667" style="77" customWidth="1"/>
    <col min="2" max="2" width="19" style="77" customWidth="1"/>
    <col min="3" max="3" width="19" style="78" customWidth="1"/>
    <col min="4" max="4" width="7.41666666666667" style="77" customWidth="1"/>
    <col min="5" max="5" width="7.41666666666667" style="79" customWidth="1"/>
    <col min="6" max="6" width="9.41666666666667" style="77" customWidth="1"/>
    <col min="7" max="7" width="7.66666666666667" style="77" customWidth="1"/>
    <col min="8" max="8" width="9" style="77" customWidth="1"/>
    <col min="9" max="10" width="6.33333333333333" style="77" customWidth="1"/>
    <col min="11" max="11" width="7.33333333333333" style="77" customWidth="1"/>
    <col min="12" max="12" width="6.33333333333333" style="77" customWidth="1"/>
    <col min="13" max="14" width="7.66666666666667" style="77" customWidth="1"/>
    <col min="15" max="15" width="7" style="77" customWidth="1"/>
    <col min="16" max="16" width="6.33333333333333" style="77" customWidth="1"/>
    <col min="17" max="17" width="7.66666666666667" style="77" customWidth="1"/>
    <col min="18" max="18" width="8.41666666666667" style="77" customWidth="1"/>
    <col min="19" max="19" width="7" style="77" customWidth="1"/>
    <col min="20" max="20" width="6.41666666666667" style="77" customWidth="1"/>
    <col min="21" max="22" width="8.41666666666667" style="77"/>
    <col min="23" max="23" width="13.0833333333333" style="77" customWidth="1"/>
    <col min="24" max="24" width="19.0833333333333" style="77" customWidth="1"/>
    <col min="25" max="25" width="12.0833333333333" style="77" customWidth="1"/>
    <col min="26" max="26" width="15.6666666666667" style="77" customWidth="1"/>
    <col min="27" max="16384" width="8.41666666666667" style="77"/>
  </cols>
  <sheetData>
    <row r="1" ht="16.5" spans="2:21">
      <c r="F1" s="80" t="s">
        <v>374</v>
      </c>
      <c r="G1" s="80"/>
      <c r="H1" s="80"/>
      <c r="I1" s="80"/>
      <c r="J1" s="80"/>
      <c r="K1" s="80"/>
      <c r="L1" s="80"/>
      <c r="M1" s="80"/>
      <c r="N1" s="80" t="s">
        <v>375</v>
      </c>
      <c r="O1" s="80"/>
      <c r="P1" s="80"/>
      <c r="Q1" s="80"/>
      <c r="R1" s="80"/>
      <c r="S1" s="80"/>
      <c r="T1" s="80"/>
    </row>
    <row r="2" ht="24.75" spans="2:21">
      <c r="B2" s="81"/>
      <c r="C2" s="82"/>
      <c r="D2" s="83"/>
      <c r="E2" s="84" t="e">
        <f>MEDIAN(E8:E54)</f>
        <v>#REF!</v>
      </c>
      <c r="F2" s="85" t="s">
        <v>355</v>
      </c>
      <c r="G2" s="85" t="s">
        <v>145</v>
      </c>
      <c r="H2" s="85" t="s">
        <v>356</v>
      </c>
      <c r="I2" s="85" t="s">
        <v>357</v>
      </c>
      <c r="J2" s="85" t="s">
        <v>164</v>
      </c>
      <c r="K2" s="85" t="s">
        <v>376</v>
      </c>
      <c r="L2" s="85" t="s">
        <v>359</v>
      </c>
      <c r="M2" s="85" t="s">
        <v>360</v>
      </c>
      <c r="N2" s="86" t="s">
        <v>57</v>
      </c>
      <c r="O2" s="86" t="s">
        <v>361</v>
      </c>
      <c r="P2" s="86" t="s">
        <v>67</v>
      </c>
      <c r="Q2" s="86" t="s">
        <v>68</v>
      </c>
      <c r="R2" s="86" t="s">
        <v>362</v>
      </c>
      <c r="S2" s="86" t="s">
        <v>118</v>
      </c>
      <c r="T2" s="86" t="s">
        <v>151</v>
      </c>
    </row>
    <row r="3" spans="2:21">
      <c r="B3" s="87" t="s">
        <v>377</v>
      </c>
      <c r="C3" s="88"/>
      <c r="D3" s="87"/>
      <c r="E3" s="89"/>
      <c r="F3" s="90" t="s">
        <v>149</v>
      </c>
      <c r="G3" s="90" t="s">
        <v>146</v>
      </c>
      <c r="H3" s="90" t="s">
        <v>365</v>
      </c>
      <c r="I3" s="90" t="s">
        <v>54</v>
      </c>
      <c r="J3" s="90" t="s">
        <v>54</v>
      </c>
      <c r="K3" s="90" t="s">
        <v>54</v>
      </c>
      <c r="L3" s="90" t="s">
        <v>366</v>
      </c>
      <c r="M3" s="90" t="s">
        <v>63</v>
      </c>
      <c r="N3" s="90" t="s">
        <v>63</v>
      </c>
      <c r="O3" s="91" t="s">
        <v>63</v>
      </c>
      <c r="P3" s="90" t="s">
        <v>54</v>
      </c>
      <c r="Q3" s="90" t="s">
        <v>367</v>
      </c>
      <c r="R3" s="90" t="s">
        <v>63</v>
      </c>
      <c r="S3" s="90" t="s">
        <v>63</v>
      </c>
      <c r="T3" s="90" t="s">
        <v>63</v>
      </c>
    </row>
    <row r="4" spans="2:21">
      <c r="B4" s="92" t="s">
        <v>378</v>
      </c>
      <c r="C4" s="93"/>
      <c r="D4" s="92"/>
      <c r="E4" s="94"/>
      <c r="F4" s="90" t="s">
        <v>148</v>
      </c>
      <c r="G4" s="90" t="s">
        <v>146</v>
      </c>
      <c r="H4" s="90" t="s">
        <v>365</v>
      </c>
      <c r="I4" s="90" t="s">
        <v>54</v>
      </c>
      <c r="J4" s="90" t="s">
        <v>54</v>
      </c>
      <c r="K4" s="90" t="s">
        <v>54</v>
      </c>
      <c r="L4" s="90" t="s">
        <v>366</v>
      </c>
      <c r="M4" s="90" t="s">
        <v>379</v>
      </c>
      <c r="N4" s="90" t="s">
        <v>380</v>
      </c>
      <c r="O4" s="90" t="s">
        <v>63</v>
      </c>
      <c r="P4" s="90" t="s">
        <v>161</v>
      </c>
      <c r="Q4" s="90" t="s">
        <v>367</v>
      </c>
      <c r="R4" s="90" t="s">
        <v>132</v>
      </c>
      <c r="S4" s="91" t="s">
        <v>152</v>
      </c>
      <c r="T4" s="90" t="s">
        <v>379</v>
      </c>
    </row>
    <row r="5" s="75" customFormat="1" spans="2:21">
      <c r="B5" s="92" t="s">
        <v>381</v>
      </c>
      <c r="C5" s="93"/>
      <c r="D5" s="92"/>
      <c r="E5" s="94" t="s">
        <v>382</v>
      </c>
      <c r="F5" s="90" t="s">
        <v>149</v>
      </c>
      <c r="G5" s="90" t="s">
        <v>148</v>
      </c>
      <c r="H5" s="90" t="s">
        <v>383</v>
      </c>
      <c r="I5" s="90" t="s">
        <v>162</v>
      </c>
      <c r="J5" s="90" t="s">
        <v>162</v>
      </c>
      <c r="K5" s="90" t="s">
        <v>51</v>
      </c>
      <c r="L5" s="90" t="s">
        <v>384</v>
      </c>
      <c r="M5" s="90" t="s">
        <v>63</v>
      </c>
      <c r="N5" s="90" t="s">
        <v>63</v>
      </c>
      <c r="O5" s="91" t="s">
        <v>157</v>
      </c>
      <c r="P5" s="90" t="s">
        <v>54</v>
      </c>
      <c r="Q5" s="90" t="s">
        <v>385</v>
      </c>
      <c r="R5" s="90" t="s">
        <v>63</v>
      </c>
      <c r="S5" s="90" t="s">
        <v>63</v>
      </c>
      <c r="T5" s="90" t="s">
        <v>63</v>
      </c>
    </row>
    <row r="6" s="75" customFormat="1" spans="2:21">
      <c r="B6" s="95"/>
      <c r="C6" s="96"/>
      <c r="D6" s="95"/>
      <c r="E6" s="97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</row>
    <row r="7" s="75" customFormat="1" spans="2:21">
      <c r="B7" s="95" t="s">
        <v>386</v>
      </c>
      <c r="C7" s="96" t="s">
        <v>387</v>
      </c>
      <c r="D7" s="99">
        <v>1419</v>
      </c>
      <c r="E7" s="97"/>
      <c r="F7" s="90" t="s">
        <v>149</v>
      </c>
      <c r="G7" s="90" t="s">
        <v>146</v>
      </c>
      <c r="H7" s="90" t="s">
        <v>365</v>
      </c>
      <c r="I7" s="90" t="s">
        <v>54</v>
      </c>
      <c r="J7" s="90" t="s">
        <v>54</v>
      </c>
      <c r="K7" s="90" t="s">
        <v>54</v>
      </c>
      <c r="L7" s="90" t="s">
        <v>366</v>
      </c>
      <c r="M7" s="90" t="s">
        <v>63</v>
      </c>
      <c r="N7" s="90" t="s">
        <v>380</v>
      </c>
      <c r="O7" s="91" t="s">
        <v>63</v>
      </c>
      <c r="P7" s="90" t="s">
        <v>54</v>
      </c>
      <c r="Q7" s="90" t="s">
        <v>367</v>
      </c>
      <c r="R7" s="90" t="s">
        <v>63</v>
      </c>
      <c r="S7" s="91" t="s">
        <v>388</v>
      </c>
      <c r="T7" s="90" t="s">
        <v>63</v>
      </c>
    </row>
    <row r="8" s="76" customFormat="1" spans="2:21">
      <c r="B8" s="100"/>
      <c r="C8" s="96" t="s">
        <v>389</v>
      </c>
      <c r="D8" s="99" t="e">
        <f>项目基准价!C13*PRODUCT(赋权表!F8:T8)</f>
        <v>#REF!</v>
      </c>
      <c r="E8" s="97" t="e">
        <f>D7/D8-1</f>
        <v>#REF!</v>
      </c>
      <c r="F8" s="101" t="e">
        <f>【1】定价因子!#REF!</f>
        <v>#REF!</v>
      </c>
      <c r="G8" s="101">
        <f>【1】定价因子!F60</f>
        <v>1</v>
      </c>
      <c r="H8" s="101">
        <f>【1】定价因子!F6</f>
        <v>0.96</v>
      </c>
      <c r="I8" s="101">
        <f>【1】定价因子!F68</f>
        <v>1</v>
      </c>
      <c r="J8" s="101">
        <f>【1】定价因子!F72</f>
        <v>1</v>
      </c>
      <c r="K8" s="101">
        <f>【1】定价因子!F8</f>
        <v>1</v>
      </c>
      <c r="L8" s="101" t="e">
        <f>【1】定价因子!#REF!</f>
        <v>#REF!</v>
      </c>
      <c r="M8" s="101" t="e">
        <f>【1】定价因子!#REF!</f>
        <v>#REF!</v>
      </c>
      <c r="N8" s="101">
        <f>【1】定价因子!F10</f>
        <v>1.06</v>
      </c>
      <c r="O8" s="101" t="e">
        <f>【1】定价因子!#REF!</f>
        <v>#REF!</v>
      </c>
      <c r="P8" s="101" t="e">
        <f>【1】定价因子!#REF!</f>
        <v>#REF!</v>
      </c>
      <c r="Q8" s="101">
        <f>【1】定价因子!F20</f>
        <v>1</v>
      </c>
      <c r="R8" s="101">
        <f>【1】定价因子!F38</f>
        <v>1</v>
      </c>
      <c r="S8" s="101">
        <f>【1】定价因子!F44</f>
        <v>1</v>
      </c>
      <c r="T8" s="101">
        <f>【1】定价因子!F66</f>
        <v>1</v>
      </c>
    </row>
    <row r="9" s="75" customFormat="1" spans="2:21">
      <c r="B9" s="95" t="s">
        <v>390</v>
      </c>
      <c r="C9" s="96" t="s">
        <v>387</v>
      </c>
      <c r="D9" s="99">
        <v>1469</v>
      </c>
      <c r="E9" s="97"/>
      <c r="F9" s="98" t="s">
        <v>150</v>
      </c>
      <c r="G9" s="90" t="s">
        <v>146</v>
      </c>
      <c r="H9" s="90" t="s">
        <v>383</v>
      </c>
      <c r="I9" s="90" t="s">
        <v>54</v>
      </c>
      <c r="J9" s="90" t="s">
        <v>54</v>
      </c>
      <c r="K9" s="90" t="s">
        <v>54</v>
      </c>
      <c r="L9" s="90" t="s">
        <v>366</v>
      </c>
      <c r="M9" s="90" t="s">
        <v>63</v>
      </c>
      <c r="N9" s="90" t="s">
        <v>380</v>
      </c>
      <c r="O9" s="91" t="s">
        <v>63</v>
      </c>
      <c r="P9" s="90" t="s">
        <v>54</v>
      </c>
      <c r="Q9" s="90" t="s">
        <v>391</v>
      </c>
      <c r="R9" s="90" t="s">
        <v>132</v>
      </c>
      <c r="S9" s="91" t="s">
        <v>392</v>
      </c>
      <c r="T9" s="91" t="s">
        <v>379</v>
      </c>
    </row>
    <row r="10" s="76" customFormat="1" spans="2:21">
      <c r="B10" s="100"/>
      <c r="C10" s="96" t="s">
        <v>389</v>
      </c>
      <c r="D10" s="99" t="e">
        <f>项目基准价!C13*PRODUCT(赋权表!F10:T10)</f>
        <v>#REF!</v>
      </c>
      <c r="E10" s="97" t="e">
        <f>D9/D10-1</f>
        <v>#REF!</v>
      </c>
      <c r="F10" s="101" t="e">
        <f>【1】定价因子!#REF!</f>
        <v>#REF!</v>
      </c>
      <c r="G10" s="101">
        <f>【1】定价因子!F60</f>
        <v>1</v>
      </c>
      <c r="H10" s="101" t="e">
        <f>【1】定价因子!#REF!</f>
        <v>#REF!</v>
      </c>
      <c r="I10" s="101">
        <f>I8</f>
        <v>1</v>
      </c>
      <c r="J10" s="101">
        <f t="shared" ref="J10:P10" si="0">J8</f>
        <v>1</v>
      </c>
      <c r="K10" s="101">
        <f t="shared" si="0"/>
        <v>1</v>
      </c>
      <c r="L10" s="101" t="e">
        <f t="shared" si="0"/>
        <v>#REF!</v>
      </c>
      <c r="M10" s="101" t="e">
        <f t="shared" si="0"/>
        <v>#REF!</v>
      </c>
      <c r="N10" s="101">
        <f t="shared" si="0"/>
        <v>1.06</v>
      </c>
      <c r="O10" s="101" t="e">
        <f t="shared" si="0"/>
        <v>#REF!</v>
      </c>
      <c r="P10" s="101" t="e">
        <f t="shared" si="0"/>
        <v>#REF!</v>
      </c>
      <c r="Q10" s="101">
        <f>【1】定价因子!F19</f>
        <v>1.01</v>
      </c>
      <c r="R10" s="101">
        <f>【1】定价因子!F39</f>
        <v>1.04</v>
      </c>
      <c r="S10" s="101">
        <f>【1】定价因子!F42</f>
        <v>1.06</v>
      </c>
      <c r="T10" s="101">
        <f>【1】定价因子!F64</f>
        <v>1.045</v>
      </c>
    </row>
    <row r="11" s="76" customFormat="1" ht="14.25" spans="2:21">
      <c r="B11" s="100" t="s">
        <v>393</v>
      </c>
      <c r="C11" s="96" t="s">
        <v>387</v>
      </c>
      <c r="D11" s="99">
        <v>1470</v>
      </c>
      <c r="E11" s="97"/>
      <c r="F11" s="90" t="s">
        <v>149</v>
      </c>
      <c r="G11" s="90" t="s">
        <v>146</v>
      </c>
      <c r="H11" s="102" t="s">
        <v>394</v>
      </c>
      <c r="I11" s="90" t="s">
        <v>54</v>
      </c>
      <c r="J11" s="90" t="s">
        <v>54</v>
      </c>
      <c r="K11" s="102" t="s">
        <v>51</v>
      </c>
      <c r="L11" s="90" t="s">
        <v>384</v>
      </c>
      <c r="M11" s="90" t="s">
        <v>63</v>
      </c>
      <c r="N11" s="91" t="s">
        <v>63</v>
      </c>
      <c r="O11" s="91" t="s">
        <v>63</v>
      </c>
      <c r="P11" s="90" t="s">
        <v>161</v>
      </c>
      <c r="Q11" s="103" t="s">
        <v>395</v>
      </c>
      <c r="R11" s="90" t="s">
        <v>63</v>
      </c>
      <c r="S11" s="104" t="s">
        <v>392</v>
      </c>
      <c r="T11" s="105" t="s">
        <v>63</v>
      </c>
    </row>
    <row r="12" s="76" customFormat="1" ht="14.25" spans="2:21">
      <c r="B12" s="100"/>
      <c r="C12" s="96" t="s">
        <v>389</v>
      </c>
      <c r="D12" s="99" t="e">
        <f>项目基准价!$C$13*PRODUCT(赋权表!F12:T12)</f>
        <v>#REF!</v>
      </c>
      <c r="E12" s="97" t="e">
        <f>D11/D12-1</f>
        <v>#REF!</v>
      </c>
      <c r="F12" s="106" t="e">
        <f>F8</f>
        <v>#REF!</v>
      </c>
      <c r="G12" s="106">
        <f>G8</f>
        <v>1</v>
      </c>
      <c r="H12" s="107">
        <f>【1】定价因子!F2</f>
        <v>1.04</v>
      </c>
      <c r="I12" s="106">
        <f>I8</f>
        <v>1</v>
      </c>
      <c r="J12" s="106">
        <f>J8</f>
        <v>1</v>
      </c>
      <c r="K12" s="107">
        <f>【1】定价因子!F7</f>
        <v>1.05</v>
      </c>
      <c r="L12" s="98" t="e">
        <f>【1】定价因子!#REF!</f>
        <v>#REF!</v>
      </c>
      <c r="M12" s="106" t="e">
        <f>M8</f>
        <v>#REF!</v>
      </c>
      <c r="N12" s="106">
        <v>1</v>
      </c>
      <c r="O12" s="108" t="e">
        <f>O8</f>
        <v>#REF!</v>
      </c>
      <c r="P12" s="98" t="e">
        <f>【1】定价因子!#REF!</f>
        <v>#REF!</v>
      </c>
      <c r="Q12" s="101">
        <f>【1】定价因子!F32</f>
        <v>1.03</v>
      </c>
      <c r="R12" s="106">
        <f>R8</f>
        <v>1</v>
      </c>
      <c r="S12" s="107">
        <f>【1】定价因子!F42</f>
        <v>1.06</v>
      </c>
      <c r="T12" s="109">
        <f>T8</f>
        <v>1</v>
      </c>
    </row>
    <row r="13" s="75" customFormat="1" spans="2:21">
      <c r="B13" s="95" t="s">
        <v>396</v>
      </c>
      <c r="C13" s="96" t="s">
        <v>387</v>
      </c>
      <c r="D13" s="99">
        <v>1509</v>
      </c>
      <c r="E13" s="97"/>
      <c r="F13" s="90" t="s">
        <v>149</v>
      </c>
      <c r="G13" s="90" t="s">
        <v>146</v>
      </c>
      <c r="H13" s="90" t="s">
        <v>365</v>
      </c>
      <c r="I13" s="90" t="s">
        <v>54</v>
      </c>
      <c r="J13" s="90" t="s">
        <v>54</v>
      </c>
      <c r="K13" s="90" t="s">
        <v>54</v>
      </c>
      <c r="L13" s="90" t="s">
        <v>384</v>
      </c>
      <c r="M13" s="90" t="s">
        <v>63</v>
      </c>
      <c r="N13" s="98" t="s">
        <v>58</v>
      </c>
      <c r="O13" s="91" t="s">
        <v>63</v>
      </c>
      <c r="P13" s="90" t="s">
        <v>54</v>
      </c>
      <c r="Q13" s="90" t="s">
        <v>367</v>
      </c>
      <c r="R13" s="90" t="s">
        <v>132</v>
      </c>
      <c r="S13" s="91" t="s">
        <v>392</v>
      </c>
      <c r="T13" s="90" t="s">
        <v>63</v>
      </c>
      <c r="U13" s="75">
        <f>70/1300</f>
        <v>0.0538461538461538</v>
      </c>
    </row>
    <row r="14" s="75" customFormat="1" spans="2:21">
      <c r="B14" s="95"/>
      <c r="C14" s="96" t="s">
        <v>389</v>
      </c>
      <c r="D14" s="99" t="e">
        <f>项目基准价!$C$13*PRODUCT(赋权表!F14:T14)</f>
        <v>#REF!</v>
      </c>
      <c r="E14" s="97" t="e">
        <f>D13/D14-1</f>
        <v>#REF!</v>
      </c>
      <c r="F14" s="106" t="e">
        <f t="shared" ref="F14:K14" si="1">F8</f>
        <v>#REF!</v>
      </c>
      <c r="G14" s="106">
        <f t="shared" si="1"/>
        <v>1</v>
      </c>
      <c r="H14" s="106">
        <f t="shared" si="1"/>
        <v>0.96</v>
      </c>
      <c r="I14" s="106">
        <f t="shared" si="1"/>
        <v>1</v>
      </c>
      <c r="J14" s="106">
        <f t="shared" si="1"/>
        <v>1</v>
      </c>
      <c r="K14" s="106">
        <f t="shared" si="1"/>
        <v>1</v>
      </c>
      <c r="L14" s="98" t="e">
        <f>L12</f>
        <v>#REF!</v>
      </c>
      <c r="M14" s="106" t="e">
        <f>M8</f>
        <v>#REF!</v>
      </c>
      <c r="N14" s="98">
        <f>【1】定价因子!F9</f>
        <v>1.1</v>
      </c>
      <c r="O14" s="106" t="e">
        <f>O8</f>
        <v>#REF!</v>
      </c>
      <c r="P14" s="106" t="e">
        <f>P8</f>
        <v>#REF!</v>
      </c>
      <c r="Q14" s="106">
        <f>Q8</f>
        <v>1</v>
      </c>
      <c r="R14" s="106">
        <f>R10</f>
        <v>1.04</v>
      </c>
      <c r="S14" s="106">
        <f>S10</f>
        <v>1.06</v>
      </c>
      <c r="T14" s="106">
        <f>T8</f>
        <v>1</v>
      </c>
    </row>
    <row r="15" s="75" customFormat="1" spans="2:21">
      <c r="B15" s="95" t="s">
        <v>397</v>
      </c>
      <c r="C15" s="96" t="s">
        <v>387</v>
      </c>
      <c r="D15" s="110">
        <v>1519</v>
      </c>
      <c r="E15" s="97"/>
      <c r="F15" s="90" t="s">
        <v>149</v>
      </c>
      <c r="G15" s="90" t="s">
        <v>146</v>
      </c>
      <c r="H15" s="90" t="s">
        <v>383</v>
      </c>
      <c r="I15" s="90" t="s">
        <v>54</v>
      </c>
      <c r="J15" s="90" t="s">
        <v>54</v>
      </c>
      <c r="K15" s="90" t="s">
        <v>54</v>
      </c>
      <c r="L15" s="90" t="s">
        <v>366</v>
      </c>
      <c r="M15" s="90" t="s">
        <v>63</v>
      </c>
      <c r="N15" s="90" t="s">
        <v>380</v>
      </c>
      <c r="O15" s="90" t="s">
        <v>63</v>
      </c>
      <c r="P15" s="90" t="s">
        <v>54</v>
      </c>
      <c r="Q15" s="111" t="s">
        <v>398</v>
      </c>
      <c r="R15" s="90" t="s">
        <v>63</v>
      </c>
      <c r="S15" s="108" t="s">
        <v>399</v>
      </c>
      <c r="T15" s="90" t="s">
        <v>63</v>
      </c>
    </row>
    <row r="16" s="75" customFormat="1" spans="2:21">
      <c r="B16" s="95"/>
      <c r="C16" s="96" t="s">
        <v>389</v>
      </c>
      <c r="D16" s="99" t="e">
        <f>项目基准价!$C$15*PRODUCT(赋权表!F16:T16)</f>
        <v>#REF!</v>
      </c>
      <c r="E16" s="112" t="e">
        <f>D15/D16-1</f>
        <v>#REF!</v>
      </c>
      <c r="F16" s="106" t="e">
        <f>F14</f>
        <v>#REF!</v>
      </c>
      <c r="G16" s="106">
        <f>G14</f>
        <v>1</v>
      </c>
      <c r="H16" s="106" t="e">
        <f t="shared" ref="H16:P16" si="2">H10</f>
        <v>#REF!</v>
      </c>
      <c r="I16" s="106">
        <f t="shared" si="2"/>
        <v>1</v>
      </c>
      <c r="J16" s="106">
        <f t="shared" si="2"/>
        <v>1</v>
      </c>
      <c r="K16" s="106">
        <f t="shared" si="2"/>
        <v>1</v>
      </c>
      <c r="L16" s="106" t="e">
        <f t="shared" si="2"/>
        <v>#REF!</v>
      </c>
      <c r="M16" s="106" t="e">
        <f t="shared" si="2"/>
        <v>#REF!</v>
      </c>
      <c r="N16" s="106">
        <f t="shared" si="2"/>
        <v>1.06</v>
      </c>
      <c r="O16" s="106" t="e">
        <f t="shared" si="2"/>
        <v>#REF!</v>
      </c>
      <c r="P16" s="106" t="e">
        <f t="shared" si="2"/>
        <v>#REF!</v>
      </c>
      <c r="Q16" s="106">
        <f>【1】定价因子!F27</f>
        <v>0.87</v>
      </c>
      <c r="R16" s="106">
        <f>R8</f>
        <v>1</v>
      </c>
      <c r="S16" s="108">
        <f>【1】定价因子!F45</f>
        <v>0.96</v>
      </c>
      <c r="T16" s="106">
        <f>T8</f>
        <v>1</v>
      </c>
    </row>
    <row r="17" s="75" customFormat="1" spans="1:20">
      <c r="B17" s="95" t="s">
        <v>400</v>
      </c>
      <c r="C17" s="96" t="s">
        <v>387</v>
      </c>
      <c r="D17" s="99">
        <v>1099</v>
      </c>
      <c r="E17" s="97"/>
      <c r="F17" s="90" t="s">
        <v>149</v>
      </c>
      <c r="G17" s="90" t="s">
        <v>146</v>
      </c>
      <c r="H17" s="90" t="s">
        <v>383</v>
      </c>
      <c r="I17" s="90" t="s">
        <v>54</v>
      </c>
      <c r="J17" s="90" t="s">
        <v>54</v>
      </c>
      <c r="K17" s="90" t="s">
        <v>54</v>
      </c>
      <c r="L17" s="90" t="s">
        <v>366</v>
      </c>
      <c r="M17" s="90" t="s">
        <v>63</v>
      </c>
      <c r="N17" s="106" t="s">
        <v>65</v>
      </c>
      <c r="O17" s="90" t="s">
        <v>63</v>
      </c>
      <c r="P17" s="90" t="s">
        <v>54</v>
      </c>
      <c r="Q17" s="111" t="s">
        <v>398</v>
      </c>
      <c r="R17" s="90" t="s">
        <v>63</v>
      </c>
      <c r="S17" s="108" t="s">
        <v>399</v>
      </c>
      <c r="T17" s="90" t="s">
        <v>63</v>
      </c>
    </row>
    <row r="18" s="75" customFormat="1" spans="1:20">
      <c r="B18" s="95"/>
      <c r="C18" s="96" t="s">
        <v>389</v>
      </c>
      <c r="D18" s="99" t="e">
        <f>项目基准价!$C$13*PRODUCT(赋权表!F18:T18)</f>
        <v>#REF!</v>
      </c>
      <c r="E18" s="112" t="e">
        <f>D17/D18-1</f>
        <v>#REF!</v>
      </c>
      <c r="F18" s="106" t="e">
        <f>F16</f>
        <v>#REF!</v>
      </c>
      <c r="G18" s="106">
        <f t="shared" ref="G18:M18" si="3">G16</f>
        <v>1</v>
      </c>
      <c r="H18" s="106" t="e">
        <f t="shared" si="3"/>
        <v>#REF!</v>
      </c>
      <c r="I18" s="106">
        <f t="shared" si="3"/>
        <v>1</v>
      </c>
      <c r="J18" s="106">
        <f t="shared" si="3"/>
        <v>1</v>
      </c>
      <c r="K18" s="106">
        <f t="shared" si="3"/>
        <v>1</v>
      </c>
      <c r="L18" s="106" t="e">
        <f t="shared" si="3"/>
        <v>#REF!</v>
      </c>
      <c r="M18" s="106" t="e">
        <f t="shared" si="3"/>
        <v>#REF!</v>
      </c>
      <c r="N18" s="106">
        <f>【1】定价因子!F12</f>
        <v>0.95</v>
      </c>
      <c r="O18" s="106" t="e">
        <f>O16</f>
        <v>#REF!</v>
      </c>
      <c r="P18" s="106" t="e">
        <f t="shared" ref="P18:T18" si="4">P16</f>
        <v>#REF!</v>
      </c>
      <c r="Q18" s="106">
        <f t="shared" si="4"/>
        <v>0.87</v>
      </c>
      <c r="R18" s="106">
        <f t="shared" si="4"/>
        <v>1</v>
      </c>
      <c r="S18" s="106">
        <f t="shared" si="4"/>
        <v>0.96</v>
      </c>
      <c r="T18" s="106">
        <f t="shared" si="4"/>
        <v>1</v>
      </c>
    </row>
    <row r="19" s="75" customFormat="1" spans="1:20">
      <c r="B19" s="95" t="s">
        <v>401</v>
      </c>
      <c r="C19" s="96" t="s">
        <v>387</v>
      </c>
      <c r="D19" s="99">
        <v>2199</v>
      </c>
      <c r="E19" s="97"/>
      <c r="F19" s="90" t="s">
        <v>149</v>
      </c>
      <c r="G19" s="90" t="s">
        <v>146</v>
      </c>
      <c r="H19" s="106" t="s">
        <v>402</v>
      </c>
      <c r="I19" s="90" t="s">
        <v>54</v>
      </c>
      <c r="J19" s="90" t="s">
        <v>54</v>
      </c>
      <c r="K19" s="108" t="s">
        <v>51</v>
      </c>
      <c r="L19" s="90" t="s">
        <v>384</v>
      </c>
      <c r="M19" s="90" t="s">
        <v>63</v>
      </c>
      <c r="N19" s="98" t="s">
        <v>58</v>
      </c>
      <c r="O19" s="91" t="s">
        <v>63</v>
      </c>
      <c r="P19" s="90" t="s">
        <v>54</v>
      </c>
      <c r="Q19" s="111" t="s">
        <v>403</v>
      </c>
      <c r="R19" s="90" t="s">
        <v>63</v>
      </c>
      <c r="S19" s="113" t="s">
        <v>392</v>
      </c>
      <c r="T19" s="91" t="s">
        <v>154</v>
      </c>
    </row>
    <row r="20" s="75" customFormat="1" spans="1:20">
      <c r="B20" s="95"/>
      <c r="C20" s="96" t="s">
        <v>389</v>
      </c>
      <c r="D20" s="99" t="e">
        <f>项目基准价!$C$15*PRODUCT(赋权表!F20:T20)</f>
        <v>#REF!</v>
      </c>
      <c r="E20" s="97" t="e">
        <f>D19/D20-1</f>
        <v>#REF!</v>
      </c>
      <c r="F20" s="106" t="e">
        <f>F18</f>
        <v>#REF!</v>
      </c>
      <c r="G20" s="106">
        <f>G18</f>
        <v>1</v>
      </c>
      <c r="H20" s="106" t="e">
        <f>【1】定价因子!#REF!</f>
        <v>#REF!</v>
      </c>
      <c r="I20" s="106">
        <f>I12</f>
        <v>1</v>
      </c>
      <c r="J20" s="106">
        <f>J12</f>
        <v>1</v>
      </c>
      <c r="K20" s="106">
        <f>K12</f>
        <v>1.05</v>
      </c>
      <c r="L20" s="106" t="e">
        <f>L12</f>
        <v>#REF!</v>
      </c>
      <c r="M20" s="106" t="e">
        <f>M12</f>
        <v>#REF!</v>
      </c>
      <c r="N20" s="106">
        <f>N14</f>
        <v>1.1</v>
      </c>
      <c r="O20" s="106" t="e">
        <f t="shared" ref="O20:P20" si="5">O14</f>
        <v>#REF!</v>
      </c>
      <c r="P20" s="106" t="e">
        <f t="shared" si="5"/>
        <v>#REF!</v>
      </c>
      <c r="Q20" s="106">
        <f>Q12</f>
        <v>1.03</v>
      </c>
      <c r="R20" s="106">
        <f>R12</f>
        <v>1</v>
      </c>
      <c r="S20" s="106">
        <f>S14</f>
        <v>1.06</v>
      </c>
      <c r="T20" s="106">
        <f>【1】定价因子!F65</f>
        <v>1.02</v>
      </c>
    </row>
    <row r="21" s="75" customFormat="1" ht="14.25" spans="1:20">
      <c r="B21" s="114" t="s">
        <v>404</v>
      </c>
      <c r="C21" s="96" t="s">
        <v>387</v>
      </c>
      <c r="D21" s="99">
        <v>839</v>
      </c>
      <c r="E21" s="97"/>
      <c r="F21" s="90" t="s">
        <v>149</v>
      </c>
      <c r="G21" s="90" t="s">
        <v>146</v>
      </c>
      <c r="H21" s="106" t="s">
        <v>402</v>
      </c>
      <c r="I21" s="90" t="s">
        <v>54</v>
      </c>
      <c r="J21" s="90" t="s">
        <v>54</v>
      </c>
      <c r="K21" s="108" t="s">
        <v>51</v>
      </c>
      <c r="L21" s="90" t="s">
        <v>384</v>
      </c>
      <c r="M21" s="90" t="s">
        <v>63</v>
      </c>
      <c r="N21" s="115" t="s">
        <v>405</v>
      </c>
      <c r="O21" s="91" t="s">
        <v>63</v>
      </c>
      <c r="P21" s="90" t="s">
        <v>54</v>
      </c>
      <c r="Q21" s="111" t="s">
        <v>403</v>
      </c>
      <c r="R21" s="115" t="s">
        <v>406</v>
      </c>
      <c r="S21" s="113" t="s">
        <v>392</v>
      </c>
      <c r="T21" s="91" t="s">
        <v>154</v>
      </c>
    </row>
    <row r="22" s="75" customFormat="1" spans="1:20">
      <c r="B22" s="95"/>
      <c r="C22" s="96" t="s">
        <v>389</v>
      </c>
      <c r="D22" s="110" t="e">
        <f>项目基准价!$C$14*PRODUCT(赋权表!F22:T22)</f>
        <v>#REF!</v>
      </c>
      <c r="E22" s="112" t="e">
        <f>D21/D22-1</f>
        <v>#REF!</v>
      </c>
      <c r="F22" s="106" t="e">
        <f>F20</f>
        <v>#REF!</v>
      </c>
      <c r="G22" s="106">
        <f t="shared" ref="G22:M22" si="6">G20</f>
        <v>1</v>
      </c>
      <c r="H22" s="106" t="e">
        <f t="shared" si="6"/>
        <v>#REF!</v>
      </c>
      <c r="I22" s="106">
        <f t="shared" si="6"/>
        <v>1</v>
      </c>
      <c r="J22" s="106">
        <f t="shared" si="6"/>
        <v>1</v>
      </c>
      <c r="K22" s="106">
        <f t="shared" si="6"/>
        <v>1.05</v>
      </c>
      <c r="L22" s="106" t="e">
        <f t="shared" si="6"/>
        <v>#REF!</v>
      </c>
      <c r="M22" s="106" t="e">
        <f t="shared" si="6"/>
        <v>#REF!</v>
      </c>
      <c r="N22" s="116">
        <v>0.86</v>
      </c>
      <c r="O22" s="106" t="e">
        <f>O20</f>
        <v>#REF!</v>
      </c>
      <c r="P22" s="106" t="e">
        <f>P20</f>
        <v>#REF!</v>
      </c>
      <c r="Q22" s="106">
        <f>Q20</f>
        <v>1.03</v>
      </c>
      <c r="R22" s="116">
        <v>0.9</v>
      </c>
      <c r="S22" s="106">
        <f>S20</f>
        <v>1.06</v>
      </c>
      <c r="T22" s="106">
        <f>T20</f>
        <v>1.02</v>
      </c>
    </row>
    <row r="23" s="75" customFormat="1" spans="1:20">
      <c r="B23" s="95" t="s">
        <v>407</v>
      </c>
      <c r="C23" s="96" t="s">
        <v>387</v>
      </c>
      <c r="D23" s="99">
        <v>1379</v>
      </c>
      <c r="E23" s="97"/>
      <c r="F23" s="90" t="s">
        <v>149</v>
      </c>
      <c r="G23" s="90" t="s">
        <v>146</v>
      </c>
      <c r="H23" s="102" t="s">
        <v>394</v>
      </c>
      <c r="I23" s="90" t="s">
        <v>54</v>
      </c>
      <c r="J23" s="90" t="s">
        <v>54</v>
      </c>
      <c r="K23" s="102" t="s">
        <v>51</v>
      </c>
      <c r="L23" s="90" t="s">
        <v>384</v>
      </c>
      <c r="M23" s="90" t="s">
        <v>63</v>
      </c>
      <c r="N23" s="90" t="s">
        <v>63</v>
      </c>
      <c r="O23" s="91" t="s">
        <v>63</v>
      </c>
      <c r="P23" s="90" t="s">
        <v>161</v>
      </c>
      <c r="Q23" s="111" t="s">
        <v>408</v>
      </c>
      <c r="R23" s="90" t="s">
        <v>63</v>
      </c>
      <c r="S23" s="113" t="s">
        <v>392</v>
      </c>
      <c r="T23" s="90" t="s">
        <v>63</v>
      </c>
    </row>
    <row r="24" s="75" customFormat="1" spans="1:20">
      <c r="B24" s="95"/>
      <c r="C24" s="96" t="s">
        <v>389</v>
      </c>
      <c r="D24" s="99" t="e">
        <f>项目基准价!$C$14*PRODUCT(赋权表!F24:T24)</f>
        <v>#REF!</v>
      </c>
      <c r="E24" s="97" t="e">
        <f>D23/D24-1</f>
        <v>#REF!</v>
      </c>
      <c r="F24" s="106" t="e">
        <f>F12</f>
        <v>#REF!</v>
      </c>
      <c r="G24" s="106">
        <f>G12</f>
        <v>1</v>
      </c>
      <c r="H24" s="106">
        <f t="shared" ref="H24:N24" si="7">H12</f>
        <v>1.04</v>
      </c>
      <c r="I24" s="106">
        <f t="shared" si="7"/>
        <v>1</v>
      </c>
      <c r="J24" s="106">
        <f t="shared" si="7"/>
        <v>1</v>
      </c>
      <c r="K24" s="106">
        <f t="shared" si="7"/>
        <v>1.05</v>
      </c>
      <c r="L24" s="106" t="e">
        <f t="shared" si="7"/>
        <v>#REF!</v>
      </c>
      <c r="M24" s="106" t="e">
        <f t="shared" si="7"/>
        <v>#REF!</v>
      </c>
      <c r="N24" s="106">
        <f t="shared" si="7"/>
        <v>1</v>
      </c>
      <c r="O24" s="108" t="e">
        <f>O22</f>
        <v>#REF!</v>
      </c>
      <c r="P24" s="98" t="e">
        <f>P12</f>
        <v>#REF!</v>
      </c>
      <c r="Q24" s="106">
        <f>【1】定价因子!F31</f>
        <v>1.02</v>
      </c>
      <c r="R24" s="106">
        <f>R12</f>
        <v>1</v>
      </c>
      <c r="S24" s="106">
        <f t="shared" ref="S24:T24" si="8">S12</f>
        <v>1.06</v>
      </c>
      <c r="T24" s="106">
        <f t="shared" si="8"/>
        <v>1</v>
      </c>
    </row>
    <row r="25" s="75" customFormat="1" spans="1:20">
      <c r="A25" s="75" t="s">
        <v>409</v>
      </c>
      <c r="B25" s="95" t="s">
        <v>410</v>
      </c>
      <c r="C25" s="96" t="s">
        <v>387</v>
      </c>
      <c r="D25" s="99">
        <v>1439</v>
      </c>
      <c r="E25" s="97"/>
      <c r="F25" s="90" t="s">
        <v>149</v>
      </c>
      <c r="G25" s="90" t="s">
        <v>146</v>
      </c>
      <c r="H25" s="90" t="s">
        <v>365</v>
      </c>
      <c r="I25" s="90" t="s">
        <v>54</v>
      </c>
      <c r="J25" s="90" t="s">
        <v>54</v>
      </c>
      <c r="K25" s="90" t="s">
        <v>54</v>
      </c>
      <c r="L25" s="90" t="s">
        <v>366</v>
      </c>
      <c r="M25" s="90" t="s">
        <v>63</v>
      </c>
      <c r="N25" s="90" t="s">
        <v>380</v>
      </c>
      <c r="O25" s="90" t="s">
        <v>63</v>
      </c>
      <c r="P25" s="117" t="s">
        <v>411</v>
      </c>
      <c r="Q25" s="106" t="s">
        <v>391</v>
      </c>
      <c r="R25" s="90" t="s">
        <v>63</v>
      </c>
      <c r="S25" s="113" t="s">
        <v>392</v>
      </c>
      <c r="T25" s="90" t="s">
        <v>63</v>
      </c>
    </row>
    <row r="26" s="75" customFormat="1" spans="1:20">
      <c r="B26" s="95"/>
      <c r="C26" s="96" t="s">
        <v>389</v>
      </c>
      <c r="D26" s="99" t="e">
        <f>项目基准价!$C$14*PRODUCT(赋权表!F26:T26)</f>
        <v>#REF!</v>
      </c>
      <c r="E26" s="97" t="e">
        <f>D25/D26-1</f>
        <v>#REF!</v>
      </c>
      <c r="F26" s="106" t="e">
        <f>F14</f>
        <v>#REF!</v>
      </c>
      <c r="G26" s="106">
        <f t="shared" ref="G26:M26" si="9">G14</f>
        <v>1</v>
      </c>
      <c r="H26" s="106">
        <f t="shared" si="9"/>
        <v>0.96</v>
      </c>
      <c r="I26" s="106">
        <f t="shared" si="9"/>
        <v>1</v>
      </c>
      <c r="J26" s="106">
        <f t="shared" si="9"/>
        <v>1</v>
      </c>
      <c r="K26" s="106">
        <f t="shared" si="9"/>
        <v>1</v>
      </c>
      <c r="L26" s="106" t="e">
        <f>L18</f>
        <v>#REF!</v>
      </c>
      <c r="M26" s="106" t="e">
        <f t="shared" si="9"/>
        <v>#REF!</v>
      </c>
      <c r="N26" s="106">
        <f>N16</f>
        <v>1.06</v>
      </c>
      <c r="O26" s="106" t="e">
        <f>O16</f>
        <v>#REF!</v>
      </c>
      <c r="P26" s="98">
        <f>【1】定价因子!F14</f>
        <v>1.07</v>
      </c>
      <c r="Q26" s="106">
        <f>【1】定价因子!F19</f>
        <v>1.01</v>
      </c>
      <c r="R26" s="106">
        <f>R24</f>
        <v>1</v>
      </c>
      <c r="S26" s="106">
        <f>S24</f>
        <v>1.06</v>
      </c>
      <c r="T26" s="106">
        <f t="shared" ref="T26" si="10">T24</f>
        <v>1</v>
      </c>
    </row>
    <row r="27" s="75" customFormat="1" spans="1:20">
      <c r="B27" s="95" t="s">
        <v>412</v>
      </c>
      <c r="C27" s="96" t="s">
        <v>387</v>
      </c>
      <c r="D27" s="99">
        <v>1799</v>
      </c>
      <c r="E27" s="97"/>
      <c r="F27" s="90" t="s">
        <v>149</v>
      </c>
      <c r="G27" s="90" t="s">
        <v>146</v>
      </c>
      <c r="H27" s="90" t="s">
        <v>365</v>
      </c>
      <c r="I27" s="90" t="s">
        <v>54</v>
      </c>
      <c r="J27" s="90" t="s">
        <v>54</v>
      </c>
      <c r="K27" s="90" t="s">
        <v>54</v>
      </c>
      <c r="L27" s="90" t="s">
        <v>366</v>
      </c>
      <c r="M27" s="90" t="s">
        <v>379</v>
      </c>
      <c r="N27" s="90" t="s">
        <v>63</v>
      </c>
      <c r="O27" s="91" t="s">
        <v>63</v>
      </c>
      <c r="P27" s="90" t="s">
        <v>54</v>
      </c>
      <c r="Q27" s="90" t="s">
        <v>413</v>
      </c>
      <c r="R27" s="90" t="s">
        <v>63</v>
      </c>
      <c r="S27" s="90" t="s">
        <v>63</v>
      </c>
      <c r="T27" s="90" t="s">
        <v>63</v>
      </c>
    </row>
    <row r="28" s="75" customFormat="1" spans="1:20">
      <c r="B28" s="95"/>
      <c r="C28" s="96" t="s">
        <v>389</v>
      </c>
      <c r="D28" s="99" t="e">
        <f>项目基准价!$C$15*PRODUCT(赋权表!F28:T28)</f>
        <v>#REF!</v>
      </c>
      <c r="E28" s="97" t="e">
        <f>D27/D28-1</f>
        <v>#REF!</v>
      </c>
      <c r="F28" s="106" t="e">
        <f>F26</f>
        <v>#REF!</v>
      </c>
      <c r="G28" s="106">
        <f t="shared" ref="G28:L28" si="11">G26</f>
        <v>1</v>
      </c>
      <c r="H28" s="106">
        <f t="shared" si="11"/>
        <v>0.96</v>
      </c>
      <c r="I28" s="106">
        <f t="shared" si="11"/>
        <v>1</v>
      </c>
      <c r="J28" s="106">
        <f t="shared" si="11"/>
        <v>1</v>
      </c>
      <c r="K28" s="106">
        <f t="shared" si="11"/>
        <v>1</v>
      </c>
      <c r="L28" s="106" t="e">
        <f t="shared" si="11"/>
        <v>#REF!</v>
      </c>
      <c r="M28" s="106" t="e">
        <f>【1】定价因子!#REF!</f>
        <v>#REF!</v>
      </c>
      <c r="N28" s="106">
        <f>N24</f>
        <v>1</v>
      </c>
      <c r="O28" s="106" t="e">
        <f t="shared" ref="O28" si="12">O24</f>
        <v>#REF!</v>
      </c>
      <c r="P28" s="106" t="e">
        <f>P22</f>
        <v>#REF!</v>
      </c>
      <c r="Q28" s="106">
        <f>【1】定价因子!F18</f>
        <v>1.02</v>
      </c>
      <c r="R28" s="106">
        <f>R26</f>
        <v>1</v>
      </c>
      <c r="S28" s="106">
        <f>【1】定价因子!F43</f>
        <v>1.03</v>
      </c>
      <c r="T28" s="106">
        <f>T26</f>
        <v>1</v>
      </c>
    </row>
    <row r="29" s="75" customFormat="1" spans="1:20">
      <c r="B29" s="95" t="s">
        <v>414</v>
      </c>
      <c r="C29" s="96" t="s">
        <v>387</v>
      </c>
      <c r="D29" s="99">
        <v>1999</v>
      </c>
      <c r="E29" s="97"/>
      <c r="F29" s="90" t="s">
        <v>149</v>
      </c>
      <c r="G29" s="90" t="s">
        <v>146</v>
      </c>
      <c r="H29" s="90" t="s">
        <v>365</v>
      </c>
      <c r="I29" s="90" t="s">
        <v>54</v>
      </c>
      <c r="J29" s="90" t="s">
        <v>54</v>
      </c>
      <c r="K29" s="90" t="s">
        <v>54</v>
      </c>
      <c r="L29" s="90" t="s">
        <v>366</v>
      </c>
      <c r="M29" s="90" t="s">
        <v>379</v>
      </c>
      <c r="N29" s="90" t="s">
        <v>63</v>
      </c>
      <c r="O29" s="91" t="s">
        <v>63</v>
      </c>
      <c r="P29" s="91" t="s">
        <v>163</v>
      </c>
      <c r="Q29" s="90" t="s">
        <v>413</v>
      </c>
      <c r="R29" s="90" t="s">
        <v>63</v>
      </c>
      <c r="S29" s="90" t="s">
        <v>63</v>
      </c>
      <c r="T29" s="91" t="s">
        <v>152</v>
      </c>
    </row>
    <row r="30" s="75" customFormat="1" spans="1:20">
      <c r="B30" s="95"/>
      <c r="C30" s="96" t="s">
        <v>389</v>
      </c>
      <c r="D30" s="99" t="e">
        <f>项目基准价!$C$15*PRODUCT(赋权表!F30:T30)</f>
        <v>#REF!</v>
      </c>
      <c r="E30" s="97" t="e">
        <f>D29/D30-1</f>
        <v>#REF!</v>
      </c>
      <c r="F30" s="106" t="e">
        <f>F28</f>
        <v>#REF!</v>
      </c>
      <c r="G30" s="106">
        <f t="shared" ref="G30:O30" si="13">G28</f>
        <v>1</v>
      </c>
      <c r="H30" s="106">
        <f t="shared" si="13"/>
        <v>0.96</v>
      </c>
      <c r="I30" s="106">
        <f t="shared" si="13"/>
        <v>1</v>
      </c>
      <c r="J30" s="106">
        <f t="shared" si="13"/>
        <v>1</v>
      </c>
      <c r="K30" s="106">
        <f t="shared" si="13"/>
        <v>1</v>
      </c>
      <c r="L30" s="106" t="e">
        <f t="shared" si="13"/>
        <v>#REF!</v>
      </c>
      <c r="M30" s="106" t="e">
        <f t="shared" si="13"/>
        <v>#REF!</v>
      </c>
      <c r="N30" s="106">
        <f t="shared" si="13"/>
        <v>1</v>
      </c>
      <c r="O30" s="106" t="e">
        <f t="shared" si="13"/>
        <v>#REF!</v>
      </c>
      <c r="P30" s="106">
        <f>【1】定价因子!F15</f>
        <v>1</v>
      </c>
      <c r="Q30" s="106">
        <f>Q28</f>
        <v>1.02</v>
      </c>
      <c r="R30" s="106">
        <f t="shared" ref="R30:S30" si="14">R28</f>
        <v>1</v>
      </c>
      <c r="S30" s="106">
        <f t="shared" si="14"/>
        <v>1.03</v>
      </c>
      <c r="T30" s="106">
        <f>【1】定价因子!F64</f>
        <v>1.045</v>
      </c>
    </row>
    <row r="31" s="75" customFormat="1" spans="1:20">
      <c r="B31" s="95" t="s">
        <v>415</v>
      </c>
      <c r="C31" s="96" t="s">
        <v>387</v>
      </c>
      <c r="D31" s="110">
        <v>1569</v>
      </c>
      <c r="E31" s="97"/>
      <c r="F31" s="90" t="s">
        <v>149</v>
      </c>
      <c r="G31" s="90" t="s">
        <v>146</v>
      </c>
      <c r="H31" s="90" t="s">
        <v>383</v>
      </c>
      <c r="I31" s="90" t="s">
        <v>54</v>
      </c>
      <c r="J31" s="90" t="s">
        <v>54</v>
      </c>
      <c r="K31" s="90" t="s">
        <v>54</v>
      </c>
      <c r="L31" s="90" t="s">
        <v>366</v>
      </c>
      <c r="M31" s="90" t="s">
        <v>63</v>
      </c>
      <c r="N31" s="90" t="s">
        <v>63</v>
      </c>
      <c r="O31" s="91" t="s">
        <v>63</v>
      </c>
      <c r="P31" s="91" t="s">
        <v>163</v>
      </c>
      <c r="Q31" s="106" t="s">
        <v>391</v>
      </c>
      <c r="R31" s="113" t="s">
        <v>112</v>
      </c>
      <c r="S31" s="91" t="s">
        <v>388</v>
      </c>
      <c r="T31" s="90" t="s">
        <v>63</v>
      </c>
    </row>
    <row r="32" s="75" customFormat="1" spans="1:20">
      <c r="A32" s="75" t="s">
        <v>416</v>
      </c>
      <c r="B32" s="95"/>
      <c r="C32" s="96" t="s">
        <v>389</v>
      </c>
      <c r="D32" s="99" t="e">
        <f>项目基准价!$C$16*PRODUCT(赋权表!F32:T32)</f>
        <v>#REF!</v>
      </c>
      <c r="E32" s="112" t="e">
        <f>D31/D32-1</f>
        <v>#REF!</v>
      </c>
      <c r="F32" s="106" t="e">
        <f>F18</f>
        <v>#REF!</v>
      </c>
      <c r="G32" s="106">
        <f t="shared" ref="G32:M32" si="15">G18</f>
        <v>1</v>
      </c>
      <c r="H32" s="106" t="e">
        <f t="shared" si="15"/>
        <v>#REF!</v>
      </c>
      <c r="I32" s="106">
        <f t="shared" si="15"/>
        <v>1</v>
      </c>
      <c r="J32" s="106">
        <f t="shared" si="15"/>
        <v>1</v>
      </c>
      <c r="K32" s="106">
        <f t="shared" si="15"/>
        <v>1</v>
      </c>
      <c r="L32" s="106" t="e">
        <f t="shared" si="15"/>
        <v>#REF!</v>
      </c>
      <c r="M32" s="106" t="e">
        <f t="shared" si="15"/>
        <v>#REF!</v>
      </c>
      <c r="N32" s="106">
        <f>N30</f>
        <v>1</v>
      </c>
      <c r="O32" s="106" t="e">
        <f>O30</f>
        <v>#REF!</v>
      </c>
      <c r="P32" s="106">
        <f>P30</f>
        <v>1</v>
      </c>
      <c r="Q32" s="106">
        <f>Q30</f>
        <v>1.02</v>
      </c>
      <c r="R32" s="106"/>
      <c r="S32" s="106">
        <f>S8</f>
        <v>1</v>
      </c>
      <c r="T32" s="106">
        <f>T28</f>
        <v>1</v>
      </c>
    </row>
    <row r="33" s="75" customFormat="1" spans="1:20">
      <c r="B33" s="114" t="s">
        <v>417</v>
      </c>
      <c r="C33" s="96" t="s">
        <v>387</v>
      </c>
      <c r="D33" s="99">
        <v>2299</v>
      </c>
      <c r="E33" s="118"/>
      <c r="F33" s="90" t="s">
        <v>149</v>
      </c>
      <c r="G33" s="90" t="s">
        <v>146</v>
      </c>
      <c r="H33" s="102" t="s">
        <v>394</v>
      </c>
      <c r="I33" s="90" t="s">
        <v>54</v>
      </c>
      <c r="J33" s="90" t="s">
        <v>54</v>
      </c>
      <c r="K33" s="102" t="s">
        <v>51</v>
      </c>
      <c r="L33" s="90" t="s">
        <v>384</v>
      </c>
      <c r="M33" s="90" t="s">
        <v>63</v>
      </c>
      <c r="N33" s="90" t="s">
        <v>380</v>
      </c>
      <c r="O33" s="91" t="s">
        <v>63</v>
      </c>
      <c r="P33" s="90" t="s">
        <v>161</v>
      </c>
      <c r="Q33" s="106" t="s">
        <v>395</v>
      </c>
      <c r="R33" s="90" t="s">
        <v>63</v>
      </c>
      <c r="S33" s="113" t="s">
        <v>392</v>
      </c>
      <c r="T33" s="91" t="s">
        <v>154</v>
      </c>
    </row>
    <row r="34" s="75" customFormat="1" spans="1:20">
      <c r="B34" s="95"/>
      <c r="C34" s="96" t="s">
        <v>389</v>
      </c>
      <c r="D34" s="99" t="e">
        <f>项目基准价!$C$15*PRODUCT(赋权表!F34:T34)</f>
        <v>#REF!</v>
      </c>
      <c r="E34" s="97" t="e">
        <f>D33/D34-1</f>
        <v>#REF!</v>
      </c>
      <c r="F34" s="106" t="e">
        <f>F24</f>
        <v>#REF!</v>
      </c>
      <c r="G34" s="106">
        <f t="shared" ref="G34:M34" si="16">G24</f>
        <v>1</v>
      </c>
      <c r="H34" s="106">
        <f t="shared" si="16"/>
        <v>1.04</v>
      </c>
      <c r="I34" s="106">
        <f t="shared" si="16"/>
        <v>1</v>
      </c>
      <c r="J34" s="106">
        <f t="shared" si="16"/>
        <v>1</v>
      </c>
      <c r="K34" s="106">
        <f t="shared" si="16"/>
        <v>1.05</v>
      </c>
      <c r="L34" s="106" t="e">
        <f t="shared" si="16"/>
        <v>#REF!</v>
      </c>
      <c r="M34" s="106" t="e">
        <f t="shared" si="16"/>
        <v>#REF!</v>
      </c>
      <c r="N34" s="106">
        <f>N26</f>
        <v>1.06</v>
      </c>
      <c r="O34" s="106" t="e">
        <f>O26</f>
        <v>#REF!</v>
      </c>
      <c r="P34" s="106" t="e">
        <f>P24</f>
        <v>#REF!</v>
      </c>
      <c r="Q34" s="106">
        <f>【1】定价因子!F32</f>
        <v>1.03</v>
      </c>
      <c r="R34" s="106">
        <f>R30</f>
        <v>1</v>
      </c>
      <c r="S34" s="106">
        <f>S10</f>
        <v>1.06</v>
      </c>
      <c r="T34" s="106">
        <f>T20</f>
        <v>1.02</v>
      </c>
    </row>
    <row r="35" s="75" customFormat="1" spans="1:20">
      <c r="A35" s="75" t="s">
        <v>409</v>
      </c>
      <c r="B35" s="95" t="s">
        <v>418</v>
      </c>
      <c r="C35" s="96" t="s">
        <v>387</v>
      </c>
      <c r="D35" s="99">
        <v>1249</v>
      </c>
      <c r="E35" s="97"/>
      <c r="F35" s="90" t="s">
        <v>149</v>
      </c>
      <c r="G35" s="90" t="s">
        <v>146</v>
      </c>
      <c r="H35" s="90" t="s">
        <v>365</v>
      </c>
      <c r="I35" s="90" t="s">
        <v>54</v>
      </c>
      <c r="J35" s="90" t="s">
        <v>54</v>
      </c>
      <c r="K35" s="90" t="s">
        <v>54</v>
      </c>
      <c r="L35" s="90" t="s">
        <v>366</v>
      </c>
      <c r="M35" s="90" t="s">
        <v>379</v>
      </c>
      <c r="N35" s="90" t="s">
        <v>63</v>
      </c>
      <c r="O35" s="91" t="s">
        <v>63</v>
      </c>
      <c r="P35" s="90" t="s">
        <v>54</v>
      </c>
      <c r="Q35" s="106" t="s">
        <v>419</v>
      </c>
      <c r="R35" s="90" t="s">
        <v>63</v>
      </c>
      <c r="S35" s="113" t="s">
        <v>392</v>
      </c>
      <c r="T35" s="90" t="s">
        <v>63</v>
      </c>
    </row>
    <row r="36" s="75" customFormat="1" spans="1:20">
      <c r="B36" s="95"/>
      <c r="C36" s="96" t="s">
        <v>389</v>
      </c>
      <c r="D36" s="99" t="e">
        <f>项目基准价!$C$14*PRODUCT(赋权表!F36:T36)</f>
        <v>#REF!</v>
      </c>
      <c r="E36" s="97" t="e">
        <f>D35/D36-1</f>
        <v>#REF!</v>
      </c>
      <c r="F36" s="106" t="e">
        <f>F30</f>
        <v>#REF!</v>
      </c>
      <c r="G36" s="106">
        <f t="shared" ref="G36:N36" si="17">G30</f>
        <v>1</v>
      </c>
      <c r="H36" s="106">
        <f t="shared" si="17"/>
        <v>0.96</v>
      </c>
      <c r="I36" s="106">
        <f>I34</f>
        <v>1</v>
      </c>
      <c r="J36" s="106">
        <f t="shared" si="17"/>
        <v>1</v>
      </c>
      <c r="K36" s="106">
        <f t="shared" si="17"/>
        <v>1</v>
      </c>
      <c r="L36" s="106" t="e">
        <f>L32</f>
        <v>#REF!</v>
      </c>
      <c r="M36" s="106" t="e">
        <f t="shared" si="17"/>
        <v>#REF!</v>
      </c>
      <c r="N36" s="106">
        <f t="shared" si="17"/>
        <v>1</v>
      </c>
      <c r="O36" s="106" t="e">
        <f>O34</f>
        <v>#REF!</v>
      </c>
      <c r="P36" s="106" t="e">
        <f>P28</f>
        <v>#REF!</v>
      </c>
      <c r="Q36" s="106">
        <f>【1】定价因子!F22</f>
        <v>0.98</v>
      </c>
      <c r="R36" s="106">
        <f>R34</f>
        <v>1</v>
      </c>
      <c r="S36" s="106">
        <f>S34</f>
        <v>1.06</v>
      </c>
      <c r="T36" s="106">
        <f>T32</f>
        <v>1</v>
      </c>
    </row>
    <row r="37" s="75" customFormat="1" spans="1:20">
      <c r="A37" s="75" t="s">
        <v>409</v>
      </c>
      <c r="B37" s="95" t="s">
        <v>420</v>
      </c>
      <c r="C37" s="96" t="s">
        <v>387</v>
      </c>
      <c r="D37" s="99">
        <v>1299</v>
      </c>
      <c r="E37" s="97"/>
      <c r="F37" s="90" t="s">
        <v>149</v>
      </c>
      <c r="G37" s="90" t="s">
        <v>146</v>
      </c>
      <c r="H37" s="90" t="s">
        <v>365</v>
      </c>
      <c r="I37" s="90" t="s">
        <v>54</v>
      </c>
      <c r="J37" s="90" t="s">
        <v>54</v>
      </c>
      <c r="K37" s="90" t="s">
        <v>54</v>
      </c>
      <c r="L37" s="90" t="s">
        <v>366</v>
      </c>
      <c r="M37" s="90" t="s">
        <v>63</v>
      </c>
      <c r="N37" s="90" t="s">
        <v>63</v>
      </c>
      <c r="O37" s="91" t="s">
        <v>63</v>
      </c>
      <c r="P37" s="90" t="s">
        <v>54</v>
      </c>
      <c r="Q37" s="106" t="s">
        <v>385</v>
      </c>
      <c r="R37" s="90" t="s">
        <v>63</v>
      </c>
      <c r="S37" s="90" t="s">
        <v>63</v>
      </c>
      <c r="T37" s="90" t="s">
        <v>63</v>
      </c>
    </row>
    <row r="38" s="75" customFormat="1" spans="1:20">
      <c r="B38" s="95"/>
      <c r="C38" s="96" t="s">
        <v>389</v>
      </c>
      <c r="D38" s="99" t="e">
        <f>项目基准价!$C$14*PRODUCT(赋权表!F38:T38)</f>
        <v>#REF!</v>
      </c>
      <c r="E38" s="112" t="e">
        <f>D37/D38-1</f>
        <v>#REF!</v>
      </c>
      <c r="F38" s="106" t="e">
        <f>F8</f>
        <v>#REF!</v>
      </c>
      <c r="G38" s="106">
        <f t="shared" ref="G38:M38" si="18">G8</f>
        <v>1</v>
      </c>
      <c r="H38" s="106">
        <f t="shared" si="18"/>
        <v>0.96</v>
      </c>
      <c r="I38" s="106">
        <f>I36</f>
        <v>1</v>
      </c>
      <c r="J38" s="106">
        <f t="shared" si="18"/>
        <v>1</v>
      </c>
      <c r="K38" s="106">
        <f t="shared" si="18"/>
        <v>1</v>
      </c>
      <c r="L38" s="106" t="e">
        <f t="shared" si="18"/>
        <v>#REF!</v>
      </c>
      <c r="M38" s="106" t="e">
        <f t="shared" si="18"/>
        <v>#REF!</v>
      </c>
      <c r="N38" s="119">
        <f>N36</f>
        <v>1</v>
      </c>
      <c r="O38" s="119" t="e">
        <f t="shared" ref="O38:P38" si="19">O36</f>
        <v>#REF!</v>
      </c>
      <c r="P38" s="119" t="e">
        <f t="shared" si="19"/>
        <v>#REF!</v>
      </c>
      <c r="Q38" s="75">
        <f>【1】定价因子!F21</f>
        <v>0.99</v>
      </c>
      <c r="R38" s="119">
        <f>R36</f>
        <v>1</v>
      </c>
      <c r="S38" s="119">
        <f>S28</f>
        <v>1.03</v>
      </c>
      <c r="T38" s="119">
        <f>T28</f>
        <v>1</v>
      </c>
    </row>
    <row r="39" s="75" customFormat="1" spans="1:20">
      <c r="B39" s="95" t="s">
        <v>421</v>
      </c>
      <c r="C39" s="96" t="s">
        <v>387</v>
      </c>
      <c r="D39" s="99">
        <v>1239</v>
      </c>
      <c r="E39" s="97"/>
      <c r="F39" s="90" t="s">
        <v>149</v>
      </c>
      <c r="G39" s="90" t="s">
        <v>146</v>
      </c>
      <c r="H39" s="90" t="s">
        <v>383</v>
      </c>
      <c r="I39" s="90" t="s">
        <v>54</v>
      </c>
      <c r="J39" s="90" t="s">
        <v>54</v>
      </c>
      <c r="K39" s="90" t="s">
        <v>54</v>
      </c>
      <c r="L39" s="90" t="s">
        <v>366</v>
      </c>
      <c r="M39" s="90" t="s">
        <v>63</v>
      </c>
      <c r="N39" s="90" t="s">
        <v>63</v>
      </c>
      <c r="O39" s="91" t="s">
        <v>63</v>
      </c>
      <c r="P39" s="90" t="s">
        <v>54</v>
      </c>
      <c r="Q39" s="106" t="s">
        <v>385</v>
      </c>
      <c r="R39" s="90" t="s">
        <v>132</v>
      </c>
      <c r="S39" s="91" t="s">
        <v>388</v>
      </c>
      <c r="T39" s="90" t="s">
        <v>63</v>
      </c>
    </row>
    <row r="40" s="75" customFormat="1" spans="1:20">
      <c r="B40" s="95"/>
      <c r="C40" s="96" t="s">
        <v>389</v>
      </c>
      <c r="D40" s="99" t="e">
        <f>项目基准价!$C$13*PRODUCT(赋权表!F40:T40)</f>
        <v>#REF!</v>
      </c>
      <c r="E40" s="97" t="e">
        <f>D39/D40-1</f>
        <v>#REF!</v>
      </c>
      <c r="F40" s="106" t="e">
        <f>F32</f>
        <v>#REF!</v>
      </c>
      <c r="G40" s="106">
        <f t="shared" ref="G40:M40" si="20">G32</f>
        <v>1</v>
      </c>
      <c r="H40" s="106" t="e">
        <f t="shared" si="20"/>
        <v>#REF!</v>
      </c>
      <c r="I40" s="106">
        <f>I38</f>
        <v>1</v>
      </c>
      <c r="J40" s="106">
        <f t="shared" si="20"/>
        <v>1</v>
      </c>
      <c r="K40" s="106">
        <f t="shared" si="20"/>
        <v>1</v>
      </c>
      <c r="L40" s="106" t="e">
        <f t="shared" si="20"/>
        <v>#REF!</v>
      </c>
      <c r="M40" s="106" t="e">
        <f t="shared" si="20"/>
        <v>#REF!</v>
      </c>
      <c r="N40" s="106">
        <f>N38</f>
        <v>1</v>
      </c>
      <c r="O40" s="106" t="e">
        <f>O38</f>
        <v>#REF!</v>
      </c>
      <c r="P40" s="106" t="e">
        <f>P38</f>
        <v>#REF!</v>
      </c>
      <c r="Q40" s="106">
        <f>Q38</f>
        <v>0.99</v>
      </c>
      <c r="R40" s="106">
        <f>R14</f>
        <v>1.04</v>
      </c>
      <c r="S40" s="106">
        <f>S32</f>
        <v>1</v>
      </c>
      <c r="T40" s="106">
        <f>T38</f>
        <v>1</v>
      </c>
    </row>
    <row r="41" s="75" customFormat="1" spans="1:20">
      <c r="A41" s="75" t="s">
        <v>416</v>
      </c>
      <c r="B41" s="95" t="s">
        <v>422</v>
      </c>
      <c r="C41" s="96" t="s">
        <v>387</v>
      </c>
      <c r="D41" s="99">
        <v>1699</v>
      </c>
      <c r="E41" s="97"/>
      <c r="F41" s="90" t="s">
        <v>149</v>
      </c>
      <c r="G41" s="90" t="s">
        <v>146</v>
      </c>
      <c r="H41" s="90" t="s">
        <v>365</v>
      </c>
      <c r="I41" s="90" t="s">
        <v>54</v>
      </c>
      <c r="J41" s="90" t="s">
        <v>54</v>
      </c>
      <c r="K41" s="90" t="s">
        <v>54</v>
      </c>
      <c r="L41" s="90" t="s">
        <v>366</v>
      </c>
      <c r="M41" s="90" t="s">
        <v>63</v>
      </c>
      <c r="N41" s="90" t="s">
        <v>63</v>
      </c>
      <c r="O41" s="91" t="s">
        <v>63</v>
      </c>
      <c r="P41" s="90" t="s">
        <v>54</v>
      </c>
      <c r="Q41" s="106" t="s">
        <v>391</v>
      </c>
      <c r="R41" s="113" t="s">
        <v>112</v>
      </c>
      <c r="S41" s="91" t="s">
        <v>63</v>
      </c>
      <c r="T41" s="90" t="s">
        <v>63</v>
      </c>
    </row>
    <row r="42" s="75" customFormat="1" spans="1:20">
      <c r="B42" s="95"/>
      <c r="C42" s="96" t="s">
        <v>389</v>
      </c>
      <c r="D42" s="99" t="e">
        <f>项目基准价!$C$16*PRODUCT(赋权表!F42:T42)</f>
        <v>#REF!</v>
      </c>
      <c r="E42" s="97" t="e">
        <f>D41/D42-1</f>
        <v>#REF!</v>
      </c>
      <c r="F42" s="106" t="e">
        <f>F38</f>
        <v>#REF!</v>
      </c>
      <c r="G42" s="106">
        <f t="shared" ref="G42:N42" si="21">G38</f>
        <v>1</v>
      </c>
      <c r="H42" s="106">
        <f t="shared" si="21"/>
        <v>0.96</v>
      </c>
      <c r="I42" s="106">
        <f t="shared" si="21"/>
        <v>1</v>
      </c>
      <c r="J42" s="106">
        <f t="shared" si="21"/>
        <v>1</v>
      </c>
      <c r="K42" s="106">
        <f t="shared" si="21"/>
        <v>1</v>
      </c>
      <c r="L42" s="106" t="e">
        <f t="shared" si="21"/>
        <v>#REF!</v>
      </c>
      <c r="M42" s="106" t="e">
        <f t="shared" si="21"/>
        <v>#REF!</v>
      </c>
      <c r="N42" s="119">
        <f t="shared" si="21"/>
        <v>1</v>
      </c>
      <c r="O42" s="106" t="e">
        <f>O40</f>
        <v>#REF!</v>
      </c>
      <c r="P42" s="106" t="e">
        <f>P40</f>
        <v>#REF!</v>
      </c>
      <c r="Q42" s="106">
        <f>Q32</f>
        <v>1.02</v>
      </c>
      <c r="R42" s="106"/>
      <c r="S42" s="106">
        <f>S38</f>
        <v>1.03</v>
      </c>
      <c r="T42" s="106">
        <f>T40</f>
        <v>1</v>
      </c>
    </row>
    <row r="43" s="75" customFormat="1" spans="1:20">
      <c r="B43" s="95" t="s">
        <v>423</v>
      </c>
      <c r="C43" s="96" t="s">
        <v>387</v>
      </c>
      <c r="D43" s="110">
        <v>1239</v>
      </c>
      <c r="E43" s="97"/>
      <c r="F43" s="90" t="s">
        <v>149</v>
      </c>
      <c r="G43" s="90" t="s">
        <v>146</v>
      </c>
      <c r="H43" s="90" t="s">
        <v>383</v>
      </c>
      <c r="I43" s="91" t="s">
        <v>161</v>
      </c>
      <c r="J43" s="90" t="s">
        <v>54</v>
      </c>
      <c r="K43" s="90" t="s">
        <v>54</v>
      </c>
      <c r="L43" s="90" t="s">
        <v>366</v>
      </c>
      <c r="M43" s="90" t="s">
        <v>63</v>
      </c>
      <c r="N43" s="90" t="s">
        <v>380</v>
      </c>
      <c r="O43" s="91" t="s">
        <v>63</v>
      </c>
      <c r="P43" s="90" t="s">
        <v>54</v>
      </c>
      <c r="Q43" s="106" t="s">
        <v>385</v>
      </c>
      <c r="R43" s="90" t="s">
        <v>132</v>
      </c>
      <c r="S43" s="91" t="s">
        <v>388</v>
      </c>
      <c r="T43" s="90" t="s">
        <v>63</v>
      </c>
    </row>
    <row r="44" s="75" customFormat="1" spans="1:20">
      <c r="B44" s="95"/>
      <c r="C44" s="96" t="s">
        <v>389</v>
      </c>
      <c r="D44" s="99" t="e">
        <f>项目基准价!$C$13*PRODUCT(赋权表!F44:T44)</f>
        <v>#REF!</v>
      </c>
      <c r="E44" s="112" t="e">
        <f>D43/D44-1</f>
        <v>#REF!</v>
      </c>
      <c r="F44" s="106" t="e">
        <f>F42</f>
        <v>#REF!</v>
      </c>
      <c r="G44" s="106">
        <f>G42</f>
        <v>1</v>
      </c>
      <c r="H44" s="106" t="e">
        <f>H40</f>
        <v>#REF!</v>
      </c>
      <c r="I44" s="106">
        <f>【1】定价因子!F69</f>
        <v>0.975</v>
      </c>
      <c r="J44" s="106">
        <f t="shared" ref="J44:N44" si="22">J34</f>
        <v>1</v>
      </c>
      <c r="K44" s="106">
        <f>K38</f>
        <v>1</v>
      </c>
      <c r="L44" s="106" t="e">
        <f>L36</f>
        <v>#REF!</v>
      </c>
      <c r="M44" s="106" t="e">
        <f t="shared" si="22"/>
        <v>#REF!</v>
      </c>
      <c r="N44" s="106">
        <f t="shared" si="22"/>
        <v>1.06</v>
      </c>
      <c r="O44" s="106" t="e">
        <f>O40</f>
        <v>#REF!</v>
      </c>
      <c r="P44" s="106" t="e">
        <f t="shared" ref="P44:T44" si="23">P40</f>
        <v>#REF!</v>
      </c>
      <c r="Q44" s="106">
        <f t="shared" si="23"/>
        <v>0.99</v>
      </c>
      <c r="R44" s="106">
        <f t="shared" si="23"/>
        <v>1.04</v>
      </c>
      <c r="S44" s="106">
        <f>S32</f>
        <v>1</v>
      </c>
      <c r="T44" s="106">
        <f t="shared" si="23"/>
        <v>1</v>
      </c>
    </row>
    <row r="45" s="75" customFormat="1" spans="1:20">
      <c r="B45" s="95" t="s">
        <v>424</v>
      </c>
      <c r="C45" s="96" t="s">
        <v>387</v>
      </c>
      <c r="D45" s="110">
        <v>1239</v>
      </c>
      <c r="E45" s="97"/>
      <c r="F45" s="98" t="s">
        <v>150</v>
      </c>
      <c r="G45" s="90" t="s">
        <v>146</v>
      </c>
      <c r="H45" s="90" t="s">
        <v>383</v>
      </c>
      <c r="I45" s="90" t="s">
        <v>54</v>
      </c>
      <c r="J45" s="90" t="s">
        <v>54</v>
      </c>
      <c r="K45" s="90" t="s">
        <v>54</v>
      </c>
      <c r="L45" s="90" t="s">
        <v>366</v>
      </c>
      <c r="M45" s="90" t="s">
        <v>63</v>
      </c>
      <c r="N45" s="90" t="s">
        <v>380</v>
      </c>
      <c r="O45" s="91" t="s">
        <v>63</v>
      </c>
      <c r="P45" s="90" t="s">
        <v>54</v>
      </c>
      <c r="Q45" s="106" t="s">
        <v>391</v>
      </c>
      <c r="R45" s="90" t="s">
        <v>132</v>
      </c>
      <c r="S45" s="90" t="s">
        <v>63</v>
      </c>
      <c r="T45" s="90" t="s">
        <v>63</v>
      </c>
    </row>
    <row r="46" s="75" customFormat="1" spans="1:20">
      <c r="B46" s="95"/>
      <c r="C46" s="96" t="s">
        <v>389</v>
      </c>
      <c r="D46" s="99" t="e">
        <f>项目基准价!$C$13*PRODUCT(赋权表!F46:T46)</f>
        <v>#REF!</v>
      </c>
      <c r="E46" s="112" t="e">
        <f>D45/D46-1</f>
        <v>#REF!</v>
      </c>
      <c r="F46" s="106" t="e">
        <f>F10</f>
        <v>#REF!</v>
      </c>
      <c r="G46" s="106">
        <f t="shared" ref="G46:M46" si="24">G10</f>
        <v>1</v>
      </c>
      <c r="H46" s="106" t="e">
        <f t="shared" si="24"/>
        <v>#REF!</v>
      </c>
      <c r="I46" s="106">
        <f t="shared" si="24"/>
        <v>1</v>
      </c>
      <c r="J46" s="106">
        <f t="shared" si="24"/>
        <v>1</v>
      </c>
      <c r="K46" s="106">
        <f t="shared" si="24"/>
        <v>1</v>
      </c>
      <c r="L46" s="106" t="e">
        <f t="shared" si="24"/>
        <v>#REF!</v>
      </c>
      <c r="M46" s="106" t="e">
        <f t="shared" si="24"/>
        <v>#REF!</v>
      </c>
      <c r="N46" s="106">
        <f>N34</f>
        <v>1.06</v>
      </c>
      <c r="O46" s="106" t="e">
        <f>O44</f>
        <v>#REF!</v>
      </c>
      <c r="P46" s="106" t="e">
        <f>P44</f>
        <v>#REF!</v>
      </c>
      <c r="Q46" s="106">
        <f>Q42</f>
        <v>1.02</v>
      </c>
      <c r="R46" s="106">
        <f>R44</f>
        <v>1.04</v>
      </c>
      <c r="S46" s="106">
        <f>S42</f>
        <v>1.03</v>
      </c>
      <c r="T46" s="106">
        <f>T44</f>
        <v>1</v>
      </c>
    </row>
    <row r="47" s="75" customFormat="1" spans="1:20">
      <c r="B47" s="95" t="s">
        <v>425</v>
      </c>
      <c r="C47" s="96" t="s">
        <v>387</v>
      </c>
      <c r="D47" s="110">
        <v>1629</v>
      </c>
      <c r="E47" s="97"/>
      <c r="F47" s="90" t="s">
        <v>149</v>
      </c>
      <c r="G47" s="90" t="s">
        <v>146</v>
      </c>
      <c r="H47" s="90" t="s">
        <v>365</v>
      </c>
      <c r="I47" s="90" t="s">
        <v>54</v>
      </c>
      <c r="J47" s="90" t="s">
        <v>54</v>
      </c>
      <c r="K47" s="102" t="s">
        <v>51</v>
      </c>
      <c r="L47" s="90" t="s">
        <v>366</v>
      </c>
      <c r="M47" s="90" t="s">
        <v>63</v>
      </c>
      <c r="N47" s="90" t="s">
        <v>63</v>
      </c>
      <c r="O47" s="91" t="s">
        <v>63</v>
      </c>
      <c r="P47" s="90" t="s">
        <v>54</v>
      </c>
      <c r="Q47" s="106" t="s">
        <v>426</v>
      </c>
      <c r="R47" s="90" t="s">
        <v>63</v>
      </c>
      <c r="S47" s="90" t="s">
        <v>63</v>
      </c>
      <c r="T47" s="91" t="s">
        <v>154</v>
      </c>
    </row>
    <row r="48" s="75" customFormat="1" spans="1:20">
      <c r="B48" s="95"/>
      <c r="C48" s="96" t="s">
        <v>389</v>
      </c>
      <c r="D48" s="99" t="e">
        <f>项目基准价!$C$13*PRODUCT(赋权表!F48:T48)</f>
        <v>#REF!</v>
      </c>
      <c r="E48" s="112" t="e">
        <f>D47/D48-1</f>
        <v>#REF!</v>
      </c>
      <c r="F48" s="106" t="e">
        <f>F34</f>
        <v>#REF!</v>
      </c>
      <c r="G48" s="106">
        <f>G34</f>
        <v>1</v>
      </c>
      <c r="H48" s="106">
        <f>H42</f>
        <v>0.96</v>
      </c>
      <c r="I48" s="106">
        <f>I34</f>
        <v>1</v>
      </c>
      <c r="J48" s="106">
        <f t="shared" ref="J48:M48" si="25">J34</f>
        <v>1</v>
      </c>
      <c r="K48" s="106">
        <f t="shared" si="25"/>
        <v>1.05</v>
      </c>
      <c r="L48" s="106" t="e">
        <f>L46</f>
        <v>#REF!</v>
      </c>
      <c r="M48" s="106" t="e">
        <f t="shared" si="25"/>
        <v>#REF!</v>
      </c>
      <c r="N48" s="106">
        <f>N40</f>
        <v>1</v>
      </c>
      <c r="O48" s="106" t="e">
        <f t="shared" ref="O48:P48" si="26">O40</f>
        <v>#REF!</v>
      </c>
      <c r="P48" s="106" t="e">
        <f t="shared" si="26"/>
        <v>#REF!</v>
      </c>
      <c r="Q48" s="106">
        <f>【1】定价因子!F32</f>
        <v>1.03</v>
      </c>
      <c r="R48" s="106">
        <f>R38</f>
        <v>1</v>
      </c>
      <c r="S48" s="106">
        <f t="shared" ref="S48" si="27">S38</f>
        <v>1.03</v>
      </c>
      <c r="T48" s="106">
        <f>T20</f>
        <v>1.02</v>
      </c>
    </row>
    <row r="49" s="75" customFormat="1" spans="1:20">
      <c r="A49" s="75" t="s">
        <v>427</v>
      </c>
      <c r="B49" s="95" t="s">
        <v>428</v>
      </c>
      <c r="C49" s="96" t="s">
        <v>387</v>
      </c>
      <c r="D49" s="99">
        <v>1449</v>
      </c>
      <c r="E49" s="97"/>
      <c r="F49" s="90" t="s">
        <v>149</v>
      </c>
      <c r="G49" s="90" t="s">
        <v>146</v>
      </c>
      <c r="H49" s="90" t="s">
        <v>365</v>
      </c>
      <c r="I49" s="90" t="s">
        <v>54</v>
      </c>
      <c r="J49" s="90" t="s">
        <v>54</v>
      </c>
      <c r="K49" s="102" t="s">
        <v>51</v>
      </c>
      <c r="L49" s="90" t="s">
        <v>366</v>
      </c>
      <c r="M49" s="90" t="s">
        <v>63</v>
      </c>
      <c r="N49" s="90" t="s">
        <v>63</v>
      </c>
      <c r="O49" s="91" t="s">
        <v>63</v>
      </c>
      <c r="P49" s="90" t="s">
        <v>54</v>
      </c>
      <c r="Q49" s="106" t="s">
        <v>391</v>
      </c>
      <c r="R49" s="90" t="s">
        <v>132</v>
      </c>
      <c r="S49" s="91" t="s">
        <v>388</v>
      </c>
      <c r="T49" s="90" t="s">
        <v>63</v>
      </c>
    </row>
    <row r="50" s="75" customFormat="1" spans="1:20">
      <c r="B50" s="95"/>
      <c r="C50" s="96" t="s">
        <v>389</v>
      </c>
      <c r="D50" s="99" t="e">
        <f>项目基准价!$C$13*PRODUCT(赋权表!F50:T50)</f>
        <v>#REF!</v>
      </c>
      <c r="E50" s="112" t="e">
        <f>D49/D50-1</f>
        <v>#REF!</v>
      </c>
      <c r="F50" s="106" t="e">
        <f>F26</f>
        <v>#REF!</v>
      </c>
      <c r="G50" s="106">
        <f t="shared" ref="G50:M50" si="28">G26</f>
        <v>1</v>
      </c>
      <c r="H50" s="106">
        <f t="shared" si="28"/>
        <v>0.96</v>
      </c>
      <c r="I50" s="106">
        <f t="shared" si="28"/>
        <v>1</v>
      </c>
      <c r="J50" s="106">
        <f t="shared" si="28"/>
        <v>1</v>
      </c>
      <c r="K50" s="106">
        <f t="shared" si="28"/>
        <v>1</v>
      </c>
      <c r="L50" s="106" t="e">
        <f t="shared" si="28"/>
        <v>#REF!</v>
      </c>
      <c r="M50" s="106" t="e">
        <f t="shared" si="28"/>
        <v>#REF!</v>
      </c>
      <c r="N50" s="106">
        <f>N48</f>
        <v>1</v>
      </c>
      <c r="O50" s="106" t="e">
        <f>O48</f>
        <v>#REF!</v>
      </c>
      <c r="P50" s="106" t="e">
        <f>P48</f>
        <v>#REF!</v>
      </c>
      <c r="Q50" s="106">
        <f>Q46</f>
        <v>1.02</v>
      </c>
      <c r="R50" s="106">
        <f>R46</f>
        <v>1.04</v>
      </c>
      <c r="S50" s="106">
        <f>S44</f>
        <v>1</v>
      </c>
      <c r="T50" s="106">
        <f>T46</f>
        <v>1</v>
      </c>
    </row>
    <row r="51" s="75" customFormat="1" spans="1:20">
      <c r="B51" s="95" t="s">
        <v>429</v>
      </c>
      <c r="C51" s="96" t="s">
        <v>387</v>
      </c>
      <c r="D51" s="99">
        <v>1449</v>
      </c>
      <c r="E51" s="97"/>
      <c r="F51" s="90" t="s">
        <v>149</v>
      </c>
      <c r="G51" s="90" t="s">
        <v>146</v>
      </c>
      <c r="H51" s="90" t="s">
        <v>365</v>
      </c>
      <c r="I51" s="90" t="s">
        <v>54</v>
      </c>
      <c r="J51" s="90" t="s">
        <v>54</v>
      </c>
      <c r="K51" s="90" t="s">
        <v>54</v>
      </c>
      <c r="L51" s="90" t="s">
        <v>384</v>
      </c>
      <c r="M51" s="90" t="s">
        <v>63</v>
      </c>
      <c r="N51" s="90" t="s">
        <v>63</v>
      </c>
      <c r="O51" s="91" t="s">
        <v>63</v>
      </c>
      <c r="P51" s="90" t="s">
        <v>54</v>
      </c>
      <c r="Q51" s="106" t="s">
        <v>367</v>
      </c>
      <c r="R51" s="90" t="s">
        <v>63</v>
      </c>
      <c r="S51" s="90" t="s">
        <v>63</v>
      </c>
      <c r="T51" s="90" t="s">
        <v>63</v>
      </c>
    </row>
    <row r="52" s="75" customFormat="1" spans="1:20">
      <c r="B52" s="95"/>
      <c r="C52" s="96" t="s">
        <v>389</v>
      </c>
      <c r="D52" s="99" t="e">
        <f>项目基准价!$C$13*PRODUCT(赋权表!F52:T52)</f>
        <v>#REF!</v>
      </c>
      <c r="E52" s="112" t="e">
        <f>D51/D52-1</f>
        <v>#REF!</v>
      </c>
      <c r="F52" s="106" t="e">
        <f>F14</f>
        <v>#REF!</v>
      </c>
      <c r="G52" s="106">
        <f t="shared" ref="G52:M52" si="29">G14</f>
        <v>1</v>
      </c>
      <c r="H52" s="106">
        <f t="shared" si="29"/>
        <v>0.96</v>
      </c>
      <c r="I52" s="106">
        <f t="shared" si="29"/>
        <v>1</v>
      </c>
      <c r="J52" s="106">
        <f t="shared" si="29"/>
        <v>1</v>
      </c>
      <c r="K52" s="106">
        <f t="shared" si="29"/>
        <v>1</v>
      </c>
      <c r="L52" s="106" t="e">
        <f t="shared" si="29"/>
        <v>#REF!</v>
      </c>
      <c r="M52" s="106" t="e">
        <f t="shared" si="29"/>
        <v>#REF!</v>
      </c>
      <c r="N52" s="106">
        <f>N50</f>
        <v>1</v>
      </c>
      <c r="O52" s="106" t="e">
        <f t="shared" ref="O52:P52" si="30">O50</f>
        <v>#REF!</v>
      </c>
      <c r="P52" s="106" t="e">
        <f t="shared" si="30"/>
        <v>#REF!</v>
      </c>
      <c r="Q52" s="106">
        <f>Q8</f>
        <v>1</v>
      </c>
      <c r="R52" s="106">
        <f>R48</f>
        <v>1</v>
      </c>
      <c r="S52" s="106">
        <f t="shared" ref="S52" si="31">S48</f>
        <v>1.03</v>
      </c>
      <c r="T52" s="106">
        <f>T46</f>
        <v>1</v>
      </c>
    </row>
    <row r="53" s="75" customFormat="1" spans="1:20">
      <c r="B53" s="95" t="s">
        <v>430</v>
      </c>
      <c r="C53" s="96"/>
      <c r="D53" s="95"/>
      <c r="E53" s="97"/>
      <c r="F53" s="98">
        <f>SUM(F55:F71)</f>
        <v>152</v>
      </c>
      <c r="G53" s="98">
        <f t="shared" ref="G53:T53" si="32">SUM(G55:G71)</f>
        <v>65</v>
      </c>
      <c r="H53" s="98">
        <f t="shared" si="32"/>
        <v>32</v>
      </c>
      <c r="I53" s="98">
        <f t="shared" si="32"/>
        <v>125</v>
      </c>
      <c r="J53" s="98">
        <f t="shared" si="32"/>
        <v>139</v>
      </c>
      <c r="K53" s="98">
        <f t="shared" si="32"/>
        <v>51</v>
      </c>
      <c r="L53" s="98">
        <f t="shared" si="32"/>
        <v>38</v>
      </c>
      <c r="M53" s="98">
        <f t="shared" si="32"/>
        <v>26</v>
      </c>
      <c r="N53" s="98">
        <f t="shared" si="32"/>
        <v>154</v>
      </c>
      <c r="O53" s="98">
        <f t="shared" si="32"/>
        <v>123</v>
      </c>
      <c r="P53" s="98">
        <f t="shared" si="32"/>
        <v>144</v>
      </c>
      <c r="Q53" s="98">
        <f t="shared" si="32"/>
        <v>74</v>
      </c>
      <c r="R53" s="98">
        <f t="shared" si="32"/>
        <v>86</v>
      </c>
      <c r="S53" s="98">
        <f t="shared" si="32"/>
        <v>161</v>
      </c>
      <c r="T53" s="98">
        <f t="shared" si="32"/>
        <v>100</v>
      </c>
    </row>
    <row r="54" s="75" customFormat="1" spans="1:20">
      <c r="A54" s="120">
        <f>6%/150</f>
        <v>0.0004</v>
      </c>
      <c r="B54" s="95" t="s">
        <v>431</v>
      </c>
      <c r="C54" s="96"/>
      <c r="D54" s="95"/>
      <c r="E54" s="97"/>
      <c r="F54" s="121">
        <v>0.06</v>
      </c>
      <c r="G54" s="121">
        <v>0.025</v>
      </c>
      <c r="H54" s="121">
        <v>0.015</v>
      </c>
      <c r="I54" s="121">
        <v>0.05</v>
      </c>
      <c r="J54" s="121">
        <v>0.055</v>
      </c>
      <c r="K54" s="121">
        <v>0.02</v>
      </c>
      <c r="L54" s="121">
        <v>0.015</v>
      </c>
      <c r="M54" s="121">
        <v>0.01</v>
      </c>
      <c r="N54" s="121">
        <v>0.06</v>
      </c>
      <c r="O54" s="121">
        <v>0.05</v>
      </c>
      <c r="P54" s="121">
        <v>0.06</v>
      </c>
      <c r="Q54" s="121">
        <v>0.015</v>
      </c>
      <c r="R54" s="121">
        <v>0.035</v>
      </c>
      <c r="S54" s="121">
        <v>0.065</v>
      </c>
      <c r="T54" s="121">
        <v>0.04</v>
      </c>
    </row>
    <row r="55" spans="1:20">
      <c r="A55" s="77" t="s">
        <v>432</v>
      </c>
      <c r="E55" s="122"/>
      <c r="F55" s="123">
        <v>20</v>
      </c>
      <c r="G55" s="77">
        <v>2</v>
      </c>
      <c r="H55" s="77">
        <v>12</v>
      </c>
      <c r="I55" s="77">
        <v>20</v>
      </c>
      <c r="J55" s="77">
        <v>10</v>
      </c>
      <c r="K55" s="77">
        <v>8</v>
      </c>
      <c r="L55" s="77">
        <v>12</v>
      </c>
      <c r="M55" s="77">
        <v>0</v>
      </c>
      <c r="N55" s="77">
        <v>26</v>
      </c>
      <c r="O55" s="77">
        <v>18</v>
      </c>
      <c r="P55" s="77">
        <v>26</v>
      </c>
      <c r="Q55" s="77">
        <v>10</v>
      </c>
      <c r="R55" s="77">
        <v>4</v>
      </c>
      <c r="S55" s="77">
        <v>26</v>
      </c>
      <c r="T55" s="77">
        <v>16</v>
      </c>
    </row>
    <row r="56" spans="1:20">
      <c r="A56" s="77" t="s">
        <v>433</v>
      </c>
      <c r="E56" s="122"/>
      <c r="F56" s="123">
        <v>13</v>
      </c>
      <c r="G56" s="77">
        <v>7</v>
      </c>
      <c r="H56" s="77">
        <v>1</v>
      </c>
      <c r="I56" s="77">
        <v>10</v>
      </c>
      <c r="J56" s="77">
        <v>14</v>
      </c>
      <c r="K56" s="77">
        <v>2</v>
      </c>
      <c r="L56" s="77">
        <v>3</v>
      </c>
      <c r="M56" s="77">
        <v>0</v>
      </c>
      <c r="N56" s="77">
        <v>9</v>
      </c>
      <c r="O56" s="77">
        <v>8</v>
      </c>
      <c r="P56" s="77">
        <v>11</v>
      </c>
      <c r="Q56" s="77">
        <v>4</v>
      </c>
      <c r="R56" s="77">
        <v>6</v>
      </c>
      <c r="S56" s="77">
        <v>11</v>
      </c>
      <c r="T56" s="77">
        <v>6</v>
      </c>
    </row>
    <row r="57" spans="1:20">
      <c r="A57" s="77" t="s">
        <v>434</v>
      </c>
      <c r="E57" s="122"/>
      <c r="F57" s="123">
        <v>20</v>
      </c>
      <c r="G57" s="77">
        <v>4</v>
      </c>
      <c r="H57" s="77">
        <v>8</v>
      </c>
      <c r="I57" s="77">
        <v>12</v>
      </c>
      <c r="J57" s="77">
        <v>18</v>
      </c>
      <c r="K57" s="77">
        <v>6</v>
      </c>
      <c r="L57" s="77">
        <v>0</v>
      </c>
      <c r="M57" s="77">
        <v>2</v>
      </c>
      <c r="N57" s="77">
        <v>26</v>
      </c>
      <c r="O57" s="77">
        <v>12</v>
      </c>
      <c r="P57" s="77">
        <v>24</v>
      </c>
      <c r="Q57" s="77">
        <v>20</v>
      </c>
      <c r="R57" s="77">
        <v>16</v>
      </c>
      <c r="S57" s="77">
        <v>28</v>
      </c>
      <c r="T57" s="77">
        <v>14</v>
      </c>
    </row>
    <row r="58" spans="1:20">
      <c r="A58" s="77" t="s">
        <v>435</v>
      </c>
      <c r="E58" s="122"/>
      <c r="F58" s="123">
        <v>14</v>
      </c>
      <c r="G58" s="77">
        <v>13</v>
      </c>
      <c r="H58" s="77">
        <v>4</v>
      </c>
      <c r="I58" s="77">
        <v>5</v>
      </c>
      <c r="J58" s="77">
        <v>5</v>
      </c>
      <c r="K58" s="77">
        <v>8</v>
      </c>
      <c r="L58" s="77">
        <v>1</v>
      </c>
      <c r="M58" s="77">
        <v>2</v>
      </c>
      <c r="N58" s="77">
        <v>4</v>
      </c>
      <c r="O58" s="77">
        <v>10</v>
      </c>
      <c r="P58" s="77">
        <v>12</v>
      </c>
      <c r="Q58" s="77">
        <v>0</v>
      </c>
      <c r="R58" s="77">
        <v>7</v>
      </c>
      <c r="S58" s="77">
        <v>11</v>
      </c>
      <c r="T58" s="77">
        <v>9</v>
      </c>
    </row>
    <row r="59" spans="1:20">
      <c r="A59" s="77" t="s">
        <v>436</v>
      </c>
      <c r="E59" s="122"/>
      <c r="F59" s="123">
        <v>13</v>
      </c>
      <c r="G59" s="77">
        <v>5</v>
      </c>
      <c r="H59" s="77">
        <v>3</v>
      </c>
      <c r="I59" s="77">
        <v>12</v>
      </c>
      <c r="J59" s="77">
        <v>14</v>
      </c>
      <c r="K59" s="77">
        <v>2</v>
      </c>
      <c r="L59" s="77">
        <v>0</v>
      </c>
      <c r="M59" s="77">
        <v>1</v>
      </c>
      <c r="N59" s="77">
        <v>7</v>
      </c>
      <c r="O59" s="77">
        <v>6</v>
      </c>
      <c r="P59" s="77">
        <v>9</v>
      </c>
      <c r="Q59" s="77">
        <v>4</v>
      </c>
      <c r="R59" s="77">
        <v>10</v>
      </c>
      <c r="S59" s="77">
        <v>10</v>
      </c>
      <c r="T59" s="77">
        <v>9</v>
      </c>
    </row>
    <row r="60" spans="1:20">
      <c r="A60" s="77" t="s">
        <v>437</v>
      </c>
      <c r="E60" s="122"/>
      <c r="F60" s="123">
        <v>24</v>
      </c>
      <c r="G60" s="77">
        <v>8</v>
      </c>
      <c r="H60" s="77">
        <v>0</v>
      </c>
      <c r="I60" s="77">
        <v>20</v>
      </c>
      <c r="J60" s="77">
        <v>26</v>
      </c>
      <c r="K60" s="77">
        <v>4</v>
      </c>
      <c r="L60" s="77">
        <v>8</v>
      </c>
      <c r="M60" s="77">
        <v>10</v>
      </c>
      <c r="N60" s="77">
        <v>18</v>
      </c>
      <c r="O60" s="77">
        <v>20</v>
      </c>
      <c r="P60" s="77">
        <v>16</v>
      </c>
      <c r="Q60" s="77">
        <v>8</v>
      </c>
      <c r="R60" s="77">
        <v>8</v>
      </c>
      <c r="S60" s="77">
        <v>24</v>
      </c>
      <c r="T60" s="77">
        <v>16</v>
      </c>
    </row>
    <row r="61" spans="1:20">
      <c r="A61" s="77" t="s">
        <v>438</v>
      </c>
      <c r="E61" s="122"/>
      <c r="F61" s="123">
        <v>22</v>
      </c>
      <c r="G61" s="77">
        <v>10</v>
      </c>
      <c r="H61" s="77">
        <v>2</v>
      </c>
      <c r="I61" s="77">
        <v>10</v>
      </c>
      <c r="J61" s="77">
        <v>10</v>
      </c>
      <c r="K61" s="77">
        <v>6</v>
      </c>
      <c r="L61" s="77">
        <v>4</v>
      </c>
      <c r="M61" s="77">
        <v>0</v>
      </c>
      <c r="N61" s="77">
        <v>26</v>
      </c>
      <c r="O61" s="77">
        <v>28</v>
      </c>
      <c r="P61" s="77">
        <v>22</v>
      </c>
      <c r="Q61" s="77">
        <v>14</v>
      </c>
      <c r="R61" s="77">
        <v>18</v>
      </c>
      <c r="S61" s="77">
        <v>22</v>
      </c>
      <c r="T61" s="77">
        <v>16</v>
      </c>
    </row>
    <row r="62" spans="1:20">
      <c r="A62" s="77" t="s">
        <v>439</v>
      </c>
      <c r="E62" s="122"/>
      <c r="F62" s="123">
        <v>8</v>
      </c>
      <c r="G62" s="77">
        <v>2</v>
      </c>
      <c r="H62" s="77">
        <v>0</v>
      </c>
      <c r="I62" s="77">
        <v>10</v>
      </c>
      <c r="J62" s="77">
        <v>14</v>
      </c>
      <c r="K62" s="77">
        <v>1</v>
      </c>
      <c r="L62" s="77">
        <v>4</v>
      </c>
      <c r="M62" s="77">
        <v>9</v>
      </c>
      <c r="N62" s="77">
        <v>6</v>
      </c>
      <c r="O62" s="77">
        <v>11</v>
      </c>
      <c r="P62" s="77">
        <v>6</v>
      </c>
      <c r="Q62" s="77">
        <v>4</v>
      </c>
      <c r="R62" s="77">
        <v>5</v>
      </c>
      <c r="S62" s="77">
        <v>13</v>
      </c>
      <c r="T62" s="77">
        <v>12</v>
      </c>
    </row>
    <row r="63" spans="1:20">
      <c r="A63" s="77" t="s">
        <v>440</v>
      </c>
      <c r="E63" s="122"/>
      <c r="F63" s="123">
        <v>18</v>
      </c>
      <c r="G63" s="77">
        <v>14</v>
      </c>
      <c r="H63" s="77">
        <v>2</v>
      </c>
      <c r="I63" s="77">
        <v>26</v>
      </c>
      <c r="J63" s="77">
        <v>28</v>
      </c>
      <c r="K63" s="77">
        <v>14</v>
      </c>
      <c r="L63" s="77">
        <v>6</v>
      </c>
      <c r="M63" s="77">
        <v>2</v>
      </c>
      <c r="N63" s="77">
        <v>32</v>
      </c>
      <c r="O63" s="77">
        <v>10</v>
      </c>
      <c r="P63" s="77">
        <v>18</v>
      </c>
      <c r="Q63" s="77">
        <v>10</v>
      </c>
      <c r="R63" s="77">
        <v>12</v>
      </c>
      <c r="S63" s="77">
        <v>16</v>
      </c>
      <c r="T63" s="77">
        <v>2</v>
      </c>
    </row>
  </sheetData>
  <mergeCells count="2">
    <mergeCell ref="F1:M1"/>
    <mergeCell ref="N1:T1"/>
  </mergeCells>
  <conditionalFormatting sqref="F53:T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:T5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3:T5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16"/>
  <sheetViews>
    <sheetView workbookViewId="0">
      <selection activeCell="A70" sqref="A70"/>
    </sheetView>
  </sheetViews>
  <sheetFormatPr defaultColWidth="8.41666666666667" defaultRowHeight="14.25"/>
  <cols>
    <col min="1" max="1" width="14.3333333333333" style="3" customWidth="1"/>
  </cols>
  <sheetData>
    <row r="1" spans="1:1">
      <c r="A1" s="71" t="s">
        <v>355</v>
      </c>
    </row>
    <row r="2" spans="1:1">
      <c r="A2" s="71" t="s">
        <v>145</v>
      </c>
    </row>
    <row r="3" spans="1:1">
      <c r="A3" s="71" t="s">
        <v>356</v>
      </c>
    </row>
    <row r="4" spans="1:1">
      <c r="A4" s="71" t="s">
        <v>159</v>
      </c>
    </row>
    <row r="5" spans="1:1">
      <c r="A5" s="71" t="s">
        <v>164</v>
      </c>
    </row>
    <row r="6" spans="1:1">
      <c r="A6" s="71" t="s">
        <v>441</v>
      </c>
    </row>
    <row r="7" spans="1:1">
      <c r="A7" s="71" t="s">
        <v>359</v>
      </c>
    </row>
    <row r="8" spans="1:1">
      <c r="A8" s="72" t="s">
        <v>360</v>
      </c>
    </row>
    <row r="9" spans="1:1">
      <c r="A9" s="73" t="s">
        <v>57</v>
      </c>
    </row>
    <row r="10" spans="1:1">
      <c r="A10" s="73" t="s">
        <v>361</v>
      </c>
    </row>
    <row r="11" spans="1:1">
      <c r="A11" s="73" t="s">
        <v>67</v>
      </c>
    </row>
    <row r="12" spans="1:1">
      <c r="A12" s="74" t="s">
        <v>68</v>
      </c>
    </row>
    <row r="13" spans="1:1">
      <c r="A13" s="74" t="s">
        <v>104</v>
      </c>
    </row>
    <row r="14" spans="1:1">
      <c r="A14" s="73" t="s">
        <v>362</v>
      </c>
    </row>
    <row r="15" spans="1:1">
      <c r="A15" s="73" t="s">
        <v>118</v>
      </c>
    </row>
    <row r="16" spans="1:1">
      <c r="A16" s="74" t="s">
        <v>151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H10"/>
  <sheetViews>
    <sheetView workbookViewId="0">
      <selection activeCell="B9" sqref="B9"/>
    </sheetView>
  </sheetViews>
  <sheetFormatPr defaultColWidth="8.41666666666667" defaultRowHeight="14.25" outlineLevelCol="7"/>
  <cols>
    <col min="1" max="1" width="5.58333333333333" customWidth="1"/>
    <col min="2" max="2" width="9.58333333333333" customWidth="1"/>
    <col min="3" max="3" width="16.0833333333333" customWidth="1"/>
    <col min="4" max="4" width="11.6666666666667" style="29" customWidth="1" outlineLevel="1"/>
    <col min="5" max="5" width="10.5833333333333" hidden="1" customWidth="1" outlineLevel="1"/>
    <col min="6" max="6" width="9.58333333333333" customWidth="1" outlineLevel="1"/>
    <col min="7" max="7" width="10.5833333333333" hidden="1" customWidth="1" outlineLevel="1"/>
    <col min="8" max="8" width="13.9166666666667" style="65" customWidth="1"/>
  </cols>
  <sheetData>
    <row r="1" ht="16.25" customHeight="1" spans="1:8">
      <c r="A1" s="66" t="s">
        <v>442</v>
      </c>
      <c r="B1" s="66" t="s">
        <v>36</v>
      </c>
      <c r="C1" s="67" t="s">
        <v>443</v>
      </c>
      <c r="D1" s="66" t="s">
        <v>33</v>
      </c>
      <c r="E1" s="68" t="s">
        <v>444</v>
      </c>
      <c r="F1" s="66" t="s">
        <v>50</v>
      </c>
      <c r="G1" s="69" t="s">
        <v>445</v>
      </c>
      <c r="H1" s="70" t="s">
        <v>446</v>
      </c>
    </row>
    <row r="2" s="2" customFormat="1" ht="17" customHeight="1" spans="1:8">
      <c r="A2" s="2" t="str">
        <f>'【2】运营中心填-基本信息&amp;审核标准'!$E$2</f>
        <v>福永一队9-16栋</v>
      </c>
      <c r="B2" s="2" t="str">
        <f>'【3-2】大区&amp;运营中心填-房间模型价'!K2</f>
        <v>开间</v>
      </c>
      <c r="C2" s="2">
        <f>VLOOKUP(B2,【1】定价因子!L:M,2,0)</f>
        <v>1450.9</v>
      </c>
      <c r="D2" s="29" t="s">
        <v>34</v>
      </c>
      <c r="E2" s="2">
        <f>VLOOKUP(D2,【1】定价因子!$D:$F,3,0)</f>
        <v>1.04</v>
      </c>
      <c r="F2" s="2" t="str">
        <f>IF('【2】运营中心填-基本信息&amp;审核标准'!$D$4="否","无",IF('【2】运营中心填-基本信息&amp;审核标准'!$D$4="是","有"))</f>
        <v>无</v>
      </c>
      <c r="G2" s="2">
        <f>VLOOKUP(F2,【1】定价因子!D:F,3,0)</f>
        <v>1</v>
      </c>
      <c r="H2" s="31">
        <f>C2*PRODUCT(G2,,E2)</f>
        <v>1508.936</v>
      </c>
    </row>
    <row r="3" s="29" customFormat="1" spans="1:8">
      <c r="A3" s="2" t="str">
        <f>'【2】运营中心填-基本信息&amp;审核标准'!$E$2</f>
        <v>福永一队9-16栋</v>
      </c>
      <c r="B3" s="2" t="str">
        <f>'【3-2】大区&amp;运营中心填-房间模型价'!K3</f>
        <v/>
      </c>
      <c r="C3" s="2" t="e">
        <f>VLOOKUP(B3,【1】定价因子!L:M,2,0)</f>
        <v>#N/A</v>
      </c>
      <c r="D3" s="29" t="s">
        <v>34</v>
      </c>
      <c r="E3" s="2">
        <f>VLOOKUP(D3,【1】定价因子!$D:$F,3,0)</f>
        <v>1.04</v>
      </c>
      <c r="F3" s="2" t="str">
        <f>IF('【2】运营中心填-基本信息&amp;审核标准'!$D$4="否","无",IF('【2】运营中心填-基本信息&amp;审核标准'!$D$4="是","有"))</f>
        <v>无</v>
      </c>
      <c r="G3" s="2">
        <f>VLOOKUP(F3,【1】定价因子!D:F,3,0)</f>
        <v>1</v>
      </c>
      <c r="H3" s="31" t="e">
        <f t="shared" ref="H3:H10" si="0">C3*PRODUCT(G3,,E3)</f>
        <v>#N/A</v>
      </c>
    </row>
    <row r="4" spans="1:8">
      <c r="A4" s="2" t="str">
        <f>'【2】运营中心填-基本信息&amp;审核标准'!$E$2</f>
        <v>福永一队9-16栋</v>
      </c>
      <c r="B4" s="2" t="str">
        <f>'【3-2】大区&amp;运营中心填-房间模型价'!K4</f>
        <v/>
      </c>
      <c r="C4" s="2" t="e">
        <f>VLOOKUP(B4,【1】定价因子!L:M,2,0)</f>
        <v>#N/A</v>
      </c>
      <c r="D4" s="29" t="s">
        <v>34</v>
      </c>
      <c r="E4" s="2">
        <f>VLOOKUP(D4,【1】定价因子!$D:$F,3,0)</f>
        <v>1.04</v>
      </c>
      <c r="F4" s="2" t="str">
        <f>IF('【2】运营中心填-基本信息&amp;审核标准'!$D$4="否","无",IF('【2】运营中心填-基本信息&amp;审核标准'!$D$4="是","有"))</f>
        <v>无</v>
      </c>
      <c r="G4" s="2">
        <f>VLOOKUP(F4,【1】定价因子!D:F,3,0)</f>
        <v>1</v>
      </c>
      <c r="H4" s="31" t="e">
        <f t="shared" si="0"/>
        <v>#N/A</v>
      </c>
    </row>
    <row r="5" spans="1:8">
      <c r="A5" s="2" t="str">
        <f>'【2】运营中心填-基本信息&amp;审核标准'!$E$2</f>
        <v>福永一队9-16栋</v>
      </c>
      <c r="B5" s="2" t="str">
        <f>'【3-2】大区&amp;运营中心填-房间模型价'!K5</f>
        <v/>
      </c>
      <c r="C5" s="2" t="e">
        <f>VLOOKUP(B5,【1】定价因子!L:M,2,0)</f>
        <v>#N/A</v>
      </c>
      <c r="D5" s="29" t="s">
        <v>34</v>
      </c>
      <c r="E5" s="2">
        <f>VLOOKUP(D5,【1】定价因子!$D:$F,3,0)</f>
        <v>1.04</v>
      </c>
      <c r="F5" s="2" t="str">
        <f>IF('【2】运营中心填-基本信息&amp;审核标准'!$D$4="否","无",IF('【2】运营中心填-基本信息&amp;审核标准'!$D$4="是","有"))</f>
        <v>无</v>
      </c>
      <c r="G5" s="2">
        <f>VLOOKUP(F5,【1】定价因子!D:F,3,0)</f>
        <v>1</v>
      </c>
      <c r="H5" s="31" t="e">
        <f t="shared" si="0"/>
        <v>#N/A</v>
      </c>
    </row>
    <row r="6" spans="1:8">
      <c r="A6" s="2" t="str">
        <f>'【2】运营中心填-基本信息&amp;审核标准'!$E$2</f>
        <v>福永一队9-16栋</v>
      </c>
      <c r="B6" s="2" t="str">
        <f>'【3-2】大区&amp;运营中心填-房间模型价'!K6</f>
        <v/>
      </c>
      <c r="C6" s="2" t="e">
        <f>VLOOKUP(B6,【1】定价因子!L:M,2,0)</f>
        <v>#N/A</v>
      </c>
      <c r="D6" s="29" t="s">
        <v>34</v>
      </c>
      <c r="E6" s="2">
        <f>VLOOKUP(D6,【1】定价因子!$D:$F,3,0)</f>
        <v>1.04</v>
      </c>
      <c r="F6" s="2" t="str">
        <f>IF('【2】运营中心填-基本信息&amp;审核标准'!$D$4="否","无",IF('【2】运营中心填-基本信息&amp;审核标准'!$D$4="是","有"))</f>
        <v>无</v>
      </c>
      <c r="G6" s="2">
        <f>VLOOKUP(F6,【1】定价因子!D:F,3,0)</f>
        <v>1</v>
      </c>
      <c r="H6" s="31" t="e">
        <f t="shared" si="0"/>
        <v>#N/A</v>
      </c>
    </row>
    <row r="7" spans="1:8">
      <c r="A7" s="2" t="str">
        <f>'【2】运营中心填-基本信息&amp;审核标准'!$E$2</f>
        <v>福永一队9-16栋</v>
      </c>
      <c r="B7" s="2" t="str">
        <f>'【3-2】大区&amp;运营中心填-房间模型价'!K7</f>
        <v/>
      </c>
      <c r="C7" s="2" t="e">
        <f>VLOOKUP(B7,【1】定价因子!L:M,2,0)</f>
        <v>#N/A</v>
      </c>
      <c r="D7" s="29" t="s">
        <v>34</v>
      </c>
      <c r="E7" s="2">
        <f>VLOOKUP(D7,【1】定价因子!$D:$F,3,0)</f>
        <v>1.04</v>
      </c>
      <c r="F7" s="2" t="str">
        <f>IF('【2】运营中心填-基本信息&amp;审核标准'!$D$4="否","无",IF('【2】运营中心填-基本信息&amp;审核标准'!$D$4="是","有"))</f>
        <v>无</v>
      </c>
      <c r="G7" s="2">
        <f>VLOOKUP(F7,【1】定价因子!D:F,3,0)</f>
        <v>1</v>
      </c>
      <c r="H7" s="31" t="e">
        <f t="shared" si="0"/>
        <v>#N/A</v>
      </c>
    </row>
    <row r="8" spans="1:8">
      <c r="A8" s="2" t="str">
        <f>'【2】运营中心填-基本信息&amp;审核标准'!$E$2</f>
        <v>福永一队9-16栋</v>
      </c>
      <c r="B8" s="2" t="str">
        <f>'【3-2】大区&amp;运营中心填-房间模型价'!K8</f>
        <v/>
      </c>
      <c r="C8" s="2" t="e">
        <f>VLOOKUP(B8,【1】定价因子!L:M,2,0)</f>
        <v>#N/A</v>
      </c>
      <c r="D8" s="29" t="s">
        <v>34</v>
      </c>
      <c r="E8" s="2">
        <f>VLOOKUP(D8,【1】定价因子!$D:$F,3,0)</f>
        <v>1.04</v>
      </c>
      <c r="F8" s="2" t="str">
        <f>IF('【2】运营中心填-基本信息&amp;审核标准'!$D$4="否","无",IF('【2】运营中心填-基本信息&amp;审核标准'!$D$4="是","有"))</f>
        <v>无</v>
      </c>
      <c r="G8" s="2">
        <f>VLOOKUP(F8,【1】定价因子!D:F,3,0)</f>
        <v>1</v>
      </c>
      <c r="H8" s="31" t="e">
        <f t="shared" si="0"/>
        <v>#N/A</v>
      </c>
    </row>
    <row r="9" spans="1:8">
      <c r="A9" s="2" t="str">
        <f>'【2】运营中心填-基本信息&amp;审核标准'!$E$2</f>
        <v>福永一队9-16栋</v>
      </c>
      <c r="B9" s="2" t="str">
        <f>'【3-2】大区&amp;运营中心填-房间模型价'!K9</f>
        <v/>
      </c>
      <c r="C9" s="2" t="e">
        <f>VLOOKUP(B9,【1】定价因子!L:M,2,0)</f>
        <v>#N/A</v>
      </c>
      <c r="D9" s="29" t="s">
        <v>34</v>
      </c>
      <c r="E9" s="2">
        <f>VLOOKUP(D9,【1】定价因子!$D:$F,3,0)</f>
        <v>1.04</v>
      </c>
      <c r="F9" s="2" t="str">
        <f>IF('【2】运营中心填-基本信息&amp;审核标准'!$D$4="否","无",IF('【2】运营中心填-基本信息&amp;审核标准'!$D$4="是","有"))</f>
        <v>无</v>
      </c>
      <c r="G9" s="2">
        <f>VLOOKUP(F9,【1】定价因子!D:F,3,0)</f>
        <v>1</v>
      </c>
      <c r="H9" s="31" t="e">
        <f t="shared" si="0"/>
        <v>#N/A</v>
      </c>
    </row>
    <row r="10" spans="1:8">
      <c r="A10" s="2" t="str">
        <f>'【2】运营中心填-基本信息&amp;审核标准'!$E$2</f>
        <v>福永一队9-16栋</v>
      </c>
      <c r="B10" s="2" t="str">
        <f>'【3-2】大区&amp;运营中心填-房间模型价'!K10</f>
        <v/>
      </c>
      <c r="C10" s="2" t="e">
        <f>VLOOKUP(B10,【1】定价因子!L:M,2,0)</f>
        <v>#N/A</v>
      </c>
      <c r="D10" s="29" t="s">
        <v>34</v>
      </c>
      <c r="E10" s="2">
        <f>VLOOKUP(D10,【1】定价因子!$D:$F,3,0)</f>
        <v>1.04</v>
      </c>
      <c r="F10" s="2" t="str">
        <f>IF('【2】运营中心填-基本信息&amp;审核标准'!$D$4="否","无",IF('【2】运营中心填-基本信息&amp;审核标准'!$D$4="是","有"))</f>
        <v>无</v>
      </c>
      <c r="G10" s="2">
        <f>VLOOKUP(F10,【1】定价因子!D:F,3,0)</f>
        <v>1</v>
      </c>
      <c r="H10" s="31" t="e">
        <f t="shared" si="0"/>
        <v>#N/A</v>
      </c>
    </row>
  </sheetData>
  <dataValidations count="1">
    <dataValidation type="list" allowBlank="1" showInputMessage="1" showErrorMessage="1" sqref="D2:D10">
      <formula1>【1】定价因子!$D$2:$D$6</formula1>
    </dataValidation>
  </dataValidation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I200"/>
  <sheetViews>
    <sheetView topLeftCell="A20" workbookViewId="0">
      <selection activeCell="G10" sqref="G10"/>
    </sheetView>
  </sheetViews>
  <sheetFormatPr defaultColWidth="8.66666666666667" defaultRowHeight="14.25"/>
  <cols>
    <col min="1" max="1" width="7.58333333333333" style="2" customWidth="1"/>
    <col min="2" max="2" width="5.58333333333333" style="2" customWidth="1"/>
    <col min="3" max="3" width="6.25" style="2" customWidth="1"/>
    <col min="4" max="4" width="33.6666666666667" style="2" customWidth="1"/>
    <col min="5" max="5" width="9.58333333333333" style="2" customWidth="1"/>
    <col min="6" max="6" width="24.9166666666667" style="2" customWidth="1"/>
    <col min="7" max="7" width="13.9166666666667" style="2" customWidth="1"/>
    <col min="8" max="8" width="9.58333333333333" style="2" customWidth="1"/>
    <col min="9" max="9" width="9.58333333333333" customWidth="1"/>
    <col min="10" max="11" width="7.33333333333333" customWidth="1"/>
    <col min="12" max="12" width="13.9166666666667" customWidth="1"/>
    <col min="13" max="13" width="12.0833333333333" customWidth="1"/>
    <col min="14" max="14" width="17.0833333333333" customWidth="1"/>
    <col min="15" max="15" width="16.25" customWidth="1"/>
  </cols>
  <sheetData>
    <row r="1" ht="18" spans="1:35">
      <c r="D1" s="50" t="s">
        <v>447</v>
      </c>
      <c r="E1" s="50"/>
      <c r="F1" s="50"/>
      <c r="G1" s="50"/>
      <c r="H1" s="3"/>
    </row>
    <row r="2" ht="16.5" spans="1:35">
      <c r="A2" s="51" t="s">
        <v>448</v>
      </c>
      <c r="B2" s="51" t="s">
        <v>361</v>
      </c>
      <c r="C2" s="51" t="s">
        <v>271</v>
      </c>
      <c r="D2" s="52" t="s">
        <v>449</v>
      </c>
      <c r="E2" s="52" t="s">
        <v>450</v>
      </c>
      <c r="F2" s="53" t="s">
        <v>451</v>
      </c>
      <c r="G2" s="52" t="s">
        <v>452</v>
      </c>
      <c r="H2" s="51" t="s">
        <v>453</v>
      </c>
      <c r="I2" s="52" t="s">
        <v>454</v>
      </c>
      <c r="J2" s="54"/>
      <c r="K2" s="54"/>
      <c r="L2" s="55" t="s">
        <v>455</v>
      </c>
      <c r="M2" s="55"/>
      <c r="N2" s="55"/>
      <c r="O2" s="55"/>
    </row>
    <row r="3" ht="16.5" spans="1:35">
      <c r="A3" s="34">
        <f>'【3-2】大区&amp;运营中心填-房间模型价'!H2</f>
        <v>101</v>
      </c>
      <c r="B3" s="34" t="str">
        <f>'【3-2】大区&amp;运营中心填-房间模型价'!I2</f>
        <v>A</v>
      </c>
      <c r="C3" s="56" t="str">
        <f>VLOOKUP(A3,'【3-2】大区&amp;运营中心填-房间模型价'!H:J,3,0)</f>
        <v>开间</v>
      </c>
      <c r="D3" s="13">
        <v>2</v>
      </c>
      <c r="E3" s="13">
        <v>0</v>
      </c>
      <c r="F3" s="13"/>
      <c r="G3" s="13">
        <v>2</v>
      </c>
      <c r="H3" s="13" t="str">
        <f>IF(C3="开间",IF(D3+E3*2-G3&lt;=0,"1",IF(D3+E3*2-G3&lt;=1,"2",IF(D3+E3*2-G3&lt;=2,"3",IF(D3+E3*2-G3&lt;=3,"4","5")))),IF(D3+E3*2-G3&lt;1.1,"1",IF(D3+E3*2-G3&lt;=2,"2",IF(D3+E3*2-G3&lt;=3,"3",IF(D3+E3*2-G3&lt;=4,"4","5")))))</f>
        <v>1</v>
      </c>
      <c r="I3" s="57"/>
      <c r="J3" s="58"/>
      <c r="K3" s="58"/>
      <c r="L3" s="55" t="s">
        <v>456</v>
      </c>
      <c r="M3" s="55"/>
      <c r="N3" s="55"/>
      <c r="O3" s="55" t="s">
        <v>457</v>
      </c>
    </row>
    <row r="4" ht="16.5" spans="1:35">
      <c r="A4" s="34">
        <f>'【3-2】大区&amp;运营中心填-房间模型价'!H3</f>
        <v>102</v>
      </c>
      <c r="B4" s="34" t="str">
        <f>'【3-2】大区&amp;运营中心填-房间模型价'!I3</f>
        <v>A</v>
      </c>
      <c r="C4" s="56" t="str">
        <f>VLOOKUP(A4,'【3-2】大区&amp;运营中心填-房间模型价'!H:J,3,0)</f>
        <v>开间</v>
      </c>
      <c r="D4" s="13">
        <v>1.5</v>
      </c>
      <c r="E4" s="13">
        <v>0</v>
      </c>
      <c r="F4" s="13"/>
      <c r="G4" s="13">
        <v>1.5</v>
      </c>
      <c r="H4" s="13" t="str">
        <f t="shared" ref="H4:H67" si="0">IF(C4="开间",IF(D4+E4*2-G4&lt;=0,"1",IF(D4+E4*2-G4&lt;=1,"2",IF(D4+E4*2-G4&lt;=2,"3",IF(D4+E4*2-G4&lt;=3,"4","5")))),IF(D4+E4*2-G4&lt;1.1,"1",IF(D4+E4*2-G4&lt;=2,"2",IF(D4+E4*2-G4&lt;=3,"3",IF(D4+E4*2-G4&lt;=4,"4","5")))))</f>
        <v>1</v>
      </c>
      <c r="I4" s="57"/>
      <c r="J4" s="58"/>
      <c r="K4" s="58"/>
      <c r="L4" s="4" t="s">
        <v>458</v>
      </c>
      <c r="M4" s="4"/>
      <c r="N4" s="4"/>
      <c r="O4" s="4">
        <v>-1</v>
      </c>
    </row>
    <row r="5" ht="16.5" spans="1:35">
      <c r="A5" s="34">
        <f>'【3-2】大区&amp;运营中心填-房间模型价'!H4</f>
        <v>103</v>
      </c>
      <c r="B5" s="34" t="str">
        <f>'【3-2】大区&amp;运营中心填-房间模型价'!I4</f>
        <v>B</v>
      </c>
      <c r="C5" s="56" t="str">
        <f>VLOOKUP(A5,'【3-2】大区&amp;运营中心填-房间模型价'!H:J,3,0)</f>
        <v>开间</v>
      </c>
      <c r="D5" s="13">
        <v>1</v>
      </c>
      <c r="E5" s="13">
        <v>0</v>
      </c>
      <c r="F5" s="13"/>
      <c r="G5" s="13">
        <v>1</v>
      </c>
      <c r="H5" s="13" t="str">
        <f t="shared" si="0"/>
        <v>1</v>
      </c>
      <c r="I5" s="57"/>
      <c r="L5" s="59" t="s">
        <v>459</v>
      </c>
      <c r="M5" s="4" t="s">
        <v>460</v>
      </c>
      <c r="N5" s="4"/>
      <c r="O5" s="4">
        <v>0</v>
      </c>
    </row>
    <row r="6" ht="16.5" spans="1:35">
      <c r="A6" s="34">
        <f>'【3-2】大区&amp;运营中心填-房间模型价'!H5</f>
        <v>104</v>
      </c>
      <c r="B6" s="34" t="str">
        <f>'【3-2】大区&amp;运营中心填-房间模型价'!I5</f>
        <v>B</v>
      </c>
      <c r="C6" s="56" t="str">
        <f>VLOOKUP(A6,'【3-2】大区&amp;运营中心填-房间模型价'!H:J,3,0)</f>
        <v>开间</v>
      </c>
      <c r="D6" s="13">
        <v>1.5</v>
      </c>
      <c r="E6" s="13">
        <v>0</v>
      </c>
      <c r="F6" s="13"/>
      <c r="G6" s="13">
        <v>1.5</v>
      </c>
      <c r="H6" s="13" t="str">
        <f t="shared" si="0"/>
        <v>1</v>
      </c>
      <c r="I6" s="57"/>
      <c r="L6" s="60"/>
      <c r="M6" s="61" t="s">
        <v>461</v>
      </c>
      <c r="N6" s="10"/>
      <c r="O6" s="4">
        <v>0</v>
      </c>
    </row>
    <row r="7" ht="16.5" spans="1:35">
      <c r="A7" s="34">
        <f>'【3-2】大区&amp;运营中心填-房间模型价'!H6</f>
        <v>105</v>
      </c>
      <c r="B7" s="34" t="str">
        <f>'【3-2】大区&amp;运营中心填-房间模型价'!I6</f>
        <v>B</v>
      </c>
      <c r="C7" s="56" t="str">
        <f>VLOOKUP(A7,'【3-2】大区&amp;运营中心填-房间模型价'!H:J,3,0)</f>
        <v>开间</v>
      </c>
      <c r="D7" s="13">
        <v>2</v>
      </c>
      <c r="E7" s="13">
        <v>0</v>
      </c>
      <c r="F7" s="13"/>
      <c r="G7" s="13">
        <v>2</v>
      </c>
      <c r="H7" s="13" t="str">
        <f t="shared" si="0"/>
        <v>1</v>
      </c>
      <c r="I7" s="57"/>
      <c r="L7" s="60"/>
      <c r="M7" s="61" t="s">
        <v>462</v>
      </c>
      <c r="N7" s="10"/>
      <c r="O7" s="4" t="s">
        <v>463</v>
      </c>
    </row>
    <row r="8" ht="16.5" spans="1:35">
      <c r="A8" s="34">
        <f>'【3-2】大区&amp;运营中心填-房间模型价'!H7</f>
        <v>201</v>
      </c>
      <c r="B8" s="34" t="str">
        <f>'【3-2】大区&amp;运营中心填-房间模型价'!I7</f>
        <v>A</v>
      </c>
      <c r="C8" s="56" t="str">
        <f>VLOOKUP(A8,'【3-2】大区&amp;运营中心填-房间模型价'!H:J,3,0)</f>
        <v>开间</v>
      </c>
      <c r="D8" s="13">
        <v>2</v>
      </c>
      <c r="E8" s="13">
        <v>0</v>
      </c>
      <c r="F8" s="13"/>
      <c r="G8" s="13">
        <v>1.5</v>
      </c>
      <c r="H8" s="13" t="str">
        <f t="shared" si="0"/>
        <v>2</v>
      </c>
      <c r="I8" s="57"/>
      <c r="L8" s="62"/>
      <c r="M8" s="61" t="s">
        <v>464</v>
      </c>
      <c r="N8" s="10"/>
      <c r="O8" s="4" t="s">
        <v>463</v>
      </c>
    </row>
    <row r="9" ht="16.5" spans="1:35">
      <c r="A9" s="34">
        <f>'【3-2】大区&amp;运营中心填-房间模型价'!H8</f>
        <v>202</v>
      </c>
      <c r="B9" s="34" t="str">
        <f>'【3-2】大区&amp;运营中心填-房间模型价'!I8</f>
        <v>A</v>
      </c>
      <c r="C9" s="56" t="str">
        <f>VLOOKUP(A9,'【3-2】大区&amp;运营中心填-房间模型价'!H:J,3,0)</f>
        <v>开间</v>
      </c>
      <c r="D9" s="13">
        <v>1.5</v>
      </c>
      <c r="E9" s="13">
        <v>0</v>
      </c>
      <c r="F9" s="13"/>
      <c r="G9" s="13">
        <v>1.5</v>
      </c>
      <c r="H9" s="13" t="str">
        <f t="shared" si="0"/>
        <v>1</v>
      </c>
      <c r="I9" s="57"/>
      <c r="L9" s="4"/>
      <c r="M9" s="4"/>
      <c r="N9" s="4"/>
      <c r="O9" s="4"/>
    </row>
    <row r="10" ht="16.5" spans="1:35">
      <c r="A10" s="34">
        <f>'【3-2】大区&amp;运营中心填-房间模型价'!H9</f>
        <v>203</v>
      </c>
      <c r="B10" s="34" t="str">
        <f>'【3-2】大区&amp;运营中心填-房间模型价'!I9</f>
        <v>B</v>
      </c>
      <c r="C10" s="56" t="str">
        <f>VLOOKUP(A10,'【3-2】大区&amp;运营中心填-房间模型价'!H:J,3,0)</f>
        <v>开间</v>
      </c>
      <c r="D10" s="13">
        <v>1</v>
      </c>
      <c r="E10" s="13">
        <v>0</v>
      </c>
      <c r="F10" s="13"/>
      <c r="G10" s="13">
        <v>1</v>
      </c>
      <c r="H10" s="13" t="str">
        <f t="shared" si="0"/>
        <v>1</v>
      </c>
      <c r="I10" s="57"/>
    </row>
    <row r="11" ht="16.5" spans="1:35">
      <c r="A11" s="34">
        <f>'【3-2】大区&amp;运营中心填-房间模型价'!H10</f>
        <v>204</v>
      </c>
      <c r="B11" s="34" t="str">
        <f>'【3-2】大区&amp;运营中心填-房间模型价'!I10</f>
        <v>B</v>
      </c>
      <c r="C11" s="56" t="str">
        <f>VLOOKUP(A11,'【3-2】大区&amp;运营中心填-房间模型价'!H:J,3,0)</f>
        <v>开间</v>
      </c>
      <c r="D11" s="13">
        <v>1.5</v>
      </c>
      <c r="E11" s="13">
        <v>0</v>
      </c>
      <c r="F11" s="13"/>
      <c r="G11" s="13">
        <v>1</v>
      </c>
      <c r="H11" s="13" t="str">
        <f t="shared" si="0"/>
        <v>2</v>
      </c>
      <c r="I11" s="57"/>
    </row>
    <row r="12" ht="16.5" spans="1:35">
      <c r="A12" s="34">
        <f>'【3-2】大区&amp;运营中心填-房间模型价'!H11</f>
        <v>205</v>
      </c>
      <c r="B12" s="34" t="str">
        <f>'【3-2】大区&amp;运营中心填-房间模型价'!I11</f>
        <v>B</v>
      </c>
      <c r="C12" s="56" t="str">
        <f>VLOOKUP(A12,'【3-2】大区&amp;运营中心填-房间模型价'!H:J,3,0)</f>
        <v>开间</v>
      </c>
      <c r="D12" s="13">
        <v>2</v>
      </c>
      <c r="E12" s="13">
        <v>0</v>
      </c>
      <c r="F12" s="13"/>
      <c r="G12" s="13">
        <v>1</v>
      </c>
      <c r="H12" s="13" t="str">
        <f t="shared" si="0"/>
        <v>2</v>
      </c>
      <c r="I12" s="57"/>
    </row>
    <row r="13" ht="16.5" spans="1:35">
      <c r="A13" s="34">
        <f>'【3-2】大区&amp;运营中心填-房间模型价'!H12</f>
        <v>301</v>
      </c>
      <c r="B13" s="34" t="str">
        <f>'【3-2】大区&amp;运营中心填-房间模型价'!I12</f>
        <v>A</v>
      </c>
      <c r="C13" s="56" t="str">
        <f>VLOOKUP(A13,'【3-2】大区&amp;运营中心填-房间模型价'!H:J,3,0)</f>
        <v>开间</v>
      </c>
      <c r="D13" s="13">
        <v>2</v>
      </c>
      <c r="E13" s="13">
        <v>0</v>
      </c>
      <c r="F13" s="13"/>
      <c r="G13" s="13">
        <v>1.5</v>
      </c>
      <c r="H13" s="13" t="str">
        <f t="shared" si="0"/>
        <v>2</v>
      </c>
      <c r="I13" s="57"/>
    </row>
    <row r="14" ht="16.5" spans="1:35">
      <c r="A14" s="34">
        <f>'【3-2】大区&amp;运营中心填-房间模型价'!H13</f>
        <v>302</v>
      </c>
      <c r="B14" s="34" t="str">
        <f>'【3-2】大区&amp;运营中心填-房间模型价'!I13</f>
        <v>A</v>
      </c>
      <c r="C14" s="56" t="str">
        <f>VLOOKUP(A14,'【3-2】大区&amp;运营中心填-房间模型价'!H:J,3,0)</f>
        <v>开间</v>
      </c>
      <c r="D14" s="13">
        <v>1.5</v>
      </c>
      <c r="E14" s="13">
        <v>0</v>
      </c>
      <c r="F14" s="13"/>
      <c r="G14" s="13">
        <v>1.5</v>
      </c>
      <c r="H14" s="13" t="str">
        <f t="shared" si="0"/>
        <v>1</v>
      </c>
      <c r="I14" s="57"/>
    </row>
    <row r="15" ht="16.5" spans="1:35">
      <c r="A15" s="34">
        <f>'【3-2】大区&amp;运营中心填-房间模型价'!H14</f>
        <v>303</v>
      </c>
      <c r="B15" s="34" t="str">
        <f>'【3-2】大区&amp;运营中心填-房间模型价'!I14</f>
        <v>B</v>
      </c>
      <c r="C15" s="56" t="str">
        <f>VLOOKUP(A15,'【3-2】大区&amp;运营中心填-房间模型价'!H:J,3,0)</f>
        <v>开间</v>
      </c>
      <c r="D15" s="13">
        <v>1</v>
      </c>
      <c r="E15" s="13">
        <v>0</v>
      </c>
      <c r="F15" s="13"/>
      <c r="G15" s="13">
        <v>1</v>
      </c>
      <c r="H15" s="13" t="str">
        <f t="shared" si="0"/>
        <v>1</v>
      </c>
      <c r="I15" s="57"/>
    </row>
    <row r="16" ht="22.5" spans="1:35">
      <c r="A16" s="34">
        <f>'【3-2】大区&amp;运营中心填-房间模型价'!H15</f>
        <v>304</v>
      </c>
      <c r="B16" s="34" t="str">
        <f>'【3-2】大区&amp;运营中心填-房间模型价'!I15</f>
        <v>B</v>
      </c>
      <c r="C16" s="56" t="str">
        <f>VLOOKUP(A16,'【3-2】大区&amp;运营中心填-房间模型价'!H:J,3,0)</f>
        <v>开间</v>
      </c>
      <c r="D16" s="13">
        <v>1.5</v>
      </c>
      <c r="E16" s="13">
        <v>0</v>
      </c>
      <c r="F16" s="13"/>
      <c r="G16" s="13">
        <v>1</v>
      </c>
      <c r="H16" s="13" t="str">
        <f t="shared" si="0"/>
        <v>2</v>
      </c>
      <c r="I16" s="57"/>
      <c r="L16" s="63" t="s">
        <v>465</v>
      </c>
      <c r="M16" s="63"/>
      <c r="N16" s="63"/>
      <c r="O16" s="63"/>
      <c r="P16" s="63"/>
      <c r="R16" s="63" t="s">
        <v>466</v>
      </c>
      <c r="S16" s="63"/>
      <c r="T16" s="63"/>
      <c r="U16" s="63"/>
      <c r="V16" s="63"/>
      <c r="W16" s="63"/>
      <c r="X16" s="63"/>
      <c r="Y16" s="63"/>
      <c r="Z16" s="63"/>
      <c r="AB16" s="63" t="s">
        <v>467</v>
      </c>
      <c r="AC16" s="63"/>
      <c r="AD16" s="63"/>
      <c r="AE16" s="63"/>
      <c r="AF16" s="63"/>
      <c r="AG16" s="63"/>
      <c r="AH16" s="63"/>
      <c r="AI16" s="63"/>
    </row>
    <row r="17" ht="16.5" spans="1:9">
      <c r="A17" s="34">
        <f>'【3-2】大区&amp;运营中心填-房间模型价'!H16</f>
        <v>305</v>
      </c>
      <c r="B17" s="34" t="str">
        <f>'【3-2】大区&amp;运营中心填-房间模型价'!I16</f>
        <v>B</v>
      </c>
      <c r="C17" s="56" t="str">
        <f>VLOOKUP(A17,'【3-2】大区&amp;运营中心填-房间模型价'!H:J,3,0)</f>
        <v>开间</v>
      </c>
      <c r="D17" s="13">
        <v>2</v>
      </c>
      <c r="E17" s="13">
        <v>0</v>
      </c>
      <c r="F17" s="13"/>
      <c r="G17" s="13">
        <v>1</v>
      </c>
      <c r="H17" s="13" t="str">
        <f t="shared" si="0"/>
        <v>2</v>
      </c>
      <c r="I17" s="57"/>
    </row>
    <row r="18" ht="16.5" spans="1:9">
      <c r="A18" s="34">
        <f>'【3-2】大区&amp;运营中心填-房间模型价'!H17</f>
        <v>401</v>
      </c>
      <c r="B18" s="34" t="str">
        <f>'【3-2】大区&amp;运营中心填-房间模型价'!I17</f>
        <v>A</v>
      </c>
      <c r="C18" s="56" t="str">
        <f>VLOOKUP(A18,'【3-2】大区&amp;运营中心填-房间模型价'!H:J,3,0)</f>
        <v>开间</v>
      </c>
      <c r="D18" s="13">
        <v>2</v>
      </c>
      <c r="E18" s="13">
        <v>0</v>
      </c>
      <c r="F18" s="13"/>
      <c r="G18" s="13">
        <v>1.5</v>
      </c>
      <c r="H18" s="13" t="str">
        <f t="shared" si="0"/>
        <v>2</v>
      </c>
      <c r="I18" s="57"/>
    </row>
    <row r="19" ht="16.5" spans="1:9">
      <c r="A19" s="34">
        <f>'【3-2】大区&amp;运营中心填-房间模型价'!H18</f>
        <v>402</v>
      </c>
      <c r="B19" s="34" t="str">
        <f>'【3-2】大区&amp;运营中心填-房间模型价'!I18</f>
        <v>A</v>
      </c>
      <c r="C19" s="56" t="str">
        <f>VLOOKUP(A19,'【3-2】大区&amp;运营中心填-房间模型价'!H:J,3,0)</f>
        <v>开间</v>
      </c>
      <c r="D19" s="13">
        <v>1.5</v>
      </c>
      <c r="E19" s="13">
        <v>0</v>
      </c>
      <c r="F19" s="13"/>
      <c r="G19" s="13">
        <v>1.5</v>
      </c>
      <c r="H19" s="13" t="str">
        <f t="shared" si="0"/>
        <v>1</v>
      </c>
      <c r="I19" s="57"/>
    </row>
    <row r="20" ht="16.5" spans="1:9">
      <c r="A20" s="34">
        <f>'【3-2】大区&amp;运营中心填-房间模型价'!H19</f>
        <v>403</v>
      </c>
      <c r="B20" s="34" t="str">
        <f>'【3-2】大区&amp;运营中心填-房间模型价'!I19</f>
        <v>B</v>
      </c>
      <c r="C20" s="56" t="str">
        <f>VLOOKUP(A20,'【3-2】大区&amp;运营中心填-房间模型价'!H:J,3,0)</f>
        <v>开间</v>
      </c>
      <c r="D20" s="13">
        <v>1</v>
      </c>
      <c r="E20" s="13">
        <v>0</v>
      </c>
      <c r="F20" s="13"/>
      <c r="G20" s="13">
        <v>0</v>
      </c>
      <c r="H20" s="13" t="str">
        <f t="shared" si="0"/>
        <v>2</v>
      </c>
      <c r="I20" s="57"/>
    </row>
    <row r="21" ht="16.5" spans="1:9">
      <c r="A21" s="34">
        <f>'【3-2】大区&amp;运营中心填-房间模型价'!H20</f>
        <v>404</v>
      </c>
      <c r="B21" s="34" t="str">
        <f>'【3-2】大区&amp;运营中心填-房间模型价'!I20</f>
        <v>B</v>
      </c>
      <c r="C21" s="56" t="str">
        <f>VLOOKUP(A21,'【3-2】大区&amp;运营中心填-房间模型价'!H:J,3,0)</f>
        <v>开间</v>
      </c>
      <c r="D21" s="13">
        <v>2</v>
      </c>
      <c r="E21" s="13">
        <v>0</v>
      </c>
      <c r="F21" s="13"/>
      <c r="G21" s="13">
        <v>0</v>
      </c>
      <c r="H21" s="13" t="str">
        <f t="shared" si="0"/>
        <v>3</v>
      </c>
      <c r="I21" s="57"/>
    </row>
    <row r="22" ht="16.5" spans="1:9">
      <c r="A22" s="34">
        <f>'【3-2】大区&amp;运营中心填-房间模型价'!H21</f>
        <v>405</v>
      </c>
      <c r="B22" s="34" t="str">
        <f>'【3-2】大区&amp;运营中心填-房间模型价'!I21</f>
        <v>B</v>
      </c>
      <c r="C22" s="56" t="str">
        <f>VLOOKUP(A22,'【3-2】大区&amp;运营中心填-房间模型价'!H:J,3,0)</f>
        <v>开间</v>
      </c>
      <c r="D22" s="13">
        <v>2</v>
      </c>
      <c r="E22" s="13">
        <v>0</v>
      </c>
      <c r="F22" s="13"/>
      <c r="G22" s="13">
        <v>0</v>
      </c>
      <c r="H22" s="13" t="str">
        <f t="shared" si="0"/>
        <v>3</v>
      </c>
      <c r="I22" s="57"/>
    </row>
    <row r="23" ht="16.5" spans="1:9">
      <c r="A23" s="34">
        <f>'【3-2】大区&amp;运营中心填-房间模型价'!H22</f>
        <v>501</v>
      </c>
      <c r="B23" s="34" t="str">
        <f>'【3-2】大区&amp;运营中心填-房间模型价'!I22</f>
        <v>A</v>
      </c>
      <c r="C23" s="56" t="str">
        <f>VLOOKUP(A23,'【3-2】大区&amp;运营中心填-房间模型价'!H:J,3,0)</f>
        <v>开间</v>
      </c>
      <c r="D23" s="13">
        <v>2</v>
      </c>
      <c r="E23" s="13">
        <v>0</v>
      </c>
      <c r="F23" s="13"/>
      <c r="G23" s="13">
        <v>0</v>
      </c>
      <c r="H23" s="13" t="str">
        <f t="shared" si="0"/>
        <v>3</v>
      </c>
      <c r="I23" s="57"/>
    </row>
    <row r="24" ht="16.5" spans="1:9">
      <c r="A24" s="34">
        <f>'【3-2】大区&amp;运营中心填-房间模型价'!H23</f>
        <v>502</v>
      </c>
      <c r="B24" s="34" t="str">
        <f>'【3-2】大区&amp;运营中心填-房间模型价'!I23</f>
        <v>A</v>
      </c>
      <c r="C24" s="56" t="str">
        <f>VLOOKUP(A24,'【3-2】大区&amp;运营中心填-房间模型价'!H:J,3,0)</f>
        <v>开间</v>
      </c>
      <c r="D24" s="13">
        <v>1.5</v>
      </c>
      <c r="E24" s="13">
        <v>0</v>
      </c>
      <c r="F24" s="13"/>
      <c r="G24" s="13">
        <v>0</v>
      </c>
      <c r="H24" s="13" t="str">
        <f t="shared" si="0"/>
        <v>3</v>
      </c>
      <c r="I24" s="57"/>
    </row>
    <row r="25" ht="16.5" spans="1:9">
      <c r="A25" s="34">
        <f>'【3-2】大区&amp;运营中心填-房间模型价'!H24</f>
        <v>503</v>
      </c>
      <c r="B25" s="34" t="str">
        <f>'【3-2】大区&amp;运营中心填-房间模型价'!I24</f>
        <v>B</v>
      </c>
      <c r="C25" s="56" t="str">
        <f>VLOOKUP(A25,'【3-2】大区&amp;运营中心填-房间模型价'!H:J,3,0)</f>
        <v>开间</v>
      </c>
      <c r="D25" s="13">
        <v>1</v>
      </c>
      <c r="E25" s="13">
        <v>0</v>
      </c>
      <c r="F25" s="13"/>
      <c r="G25" s="13">
        <v>0</v>
      </c>
      <c r="H25" s="13" t="str">
        <f t="shared" si="0"/>
        <v>2</v>
      </c>
      <c r="I25" s="57"/>
    </row>
    <row r="26" ht="16.5" spans="1:9">
      <c r="A26" s="34">
        <f>'【3-2】大区&amp;运营中心填-房间模型价'!H25</f>
        <v>504</v>
      </c>
      <c r="B26" s="34" t="str">
        <f>'【3-2】大区&amp;运营中心填-房间模型价'!I25</f>
        <v>B</v>
      </c>
      <c r="C26" s="56" t="str">
        <f>VLOOKUP(A26,'【3-2】大区&amp;运营中心填-房间模型价'!H:J,3,0)</f>
        <v>开间</v>
      </c>
      <c r="D26" s="13">
        <v>2</v>
      </c>
      <c r="E26" s="13">
        <v>0</v>
      </c>
      <c r="F26" s="13"/>
      <c r="G26" s="13">
        <v>0</v>
      </c>
      <c r="H26" s="13" t="str">
        <f t="shared" si="0"/>
        <v>3</v>
      </c>
      <c r="I26" s="57"/>
    </row>
    <row r="27" ht="16.5" spans="1:9">
      <c r="A27" s="34">
        <f>'【3-2】大区&amp;运营中心填-房间模型价'!H26</f>
        <v>505</v>
      </c>
      <c r="B27" s="34" t="str">
        <f>'【3-2】大区&amp;运营中心填-房间模型价'!I26</f>
        <v>B</v>
      </c>
      <c r="C27" s="56" t="str">
        <f>VLOOKUP(A27,'【3-2】大区&amp;运营中心填-房间模型价'!H:J,3,0)</f>
        <v>开间</v>
      </c>
      <c r="D27" s="13">
        <v>2</v>
      </c>
      <c r="E27" s="13">
        <v>0</v>
      </c>
      <c r="F27" s="13"/>
      <c r="G27" s="13">
        <v>0</v>
      </c>
      <c r="H27" s="13" t="str">
        <f t="shared" si="0"/>
        <v>3</v>
      </c>
      <c r="I27" s="57"/>
    </row>
    <row r="28" ht="16.5" spans="1:9">
      <c r="A28" s="34">
        <f>'【3-2】大区&amp;运营中心填-房间模型价'!H27</f>
        <v>601</v>
      </c>
      <c r="B28" s="34" t="str">
        <f>'【3-2】大区&amp;运营中心填-房间模型价'!I27</f>
        <v>A</v>
      </c>
      <c r="C28" s="56" t="str">
        <f>VLOOKUP(A28,'【3-2】大区&amp;运营中心填-房间模型价'!H:J,3,0)</f>
        <v>开间</v>
      </c>
      <c r="D28" s="13">
        <v>2</v>
      </c>
      <c r="E28" s="13">
        <v>0</v>
      </c>
      <c r="F28" s="13"/>
      <c r="G28" s="13">
        <v>0</v>
      </c>
      <c r="H28" s="13" t="str">
        <f t="shared" si="0"/>
        <v>3</v>
      </c>
      <c r="I28" s="57"/>
    </row>
    <row r="29" ht="16.5" spans="1:9">
      <c r="A29" s="34">
        <f>'【3-2】大区&amp;运营中心填-房间模型价'!H28</f>
        <v>602</v>
      </c>
      <c r="B29" s="34" t="str">
        <f>'【3-2】大区&amp;运营中心填-房间模型价'!I28</f>
        <v>A</v>
      </c>
      <c r="C29" s="56" t="str">
        <f>VLOOKUP(A29,'【3-2】大区&amp;运营中心填-房间模型价'!H:J,3,0)</f>
        <v>开间</v>
      </c>
      <c r="D29" s="13">
        <v>1.5</v>
      </c>
      <c r="E29" s="13">
        <v>0</v>
      </c>
      <c r="F29" s="13"/>
      <c r="G29" s="13">
        <v>0</v>
      </c>
      <c r="H29" s="13" t="str">
        <f t="shared" si="0"/>
        <v>3</v>
      </c>
      <c r="I29" s="57"/>
    </row>
    <row r="30" ht="16.5" spans="1:9">
      <c r="A30" s="34">
        <f>'【3-2】大区&amp;运营中心填-房间模型价'!H29</f>
        <v>603</v>
      </c>
      <c r="B30" s="34" t="str">
        <f>'【3-2】大区&amp;运营中心填-房间模型价'!I29</f>
        <v>B</v>
      </c>
      <c r="C30" s="56" t="str">
        <f>VLOOKUP(A30,'【3-2】大区&amp;运营中心填-房间模型价'!H:J,3,0)</f>
        <v>开间</v>
      </c>
      <c r="D30" s="13">
        <v>1</v>
      </c>
      <c r="E30" s="13">
        <v>0</v>
      </c>
      <c r="F30" s="13"/>
      <c r="G30" s="13">
        <v>0</v>
      </c>
      <c r="H30" s="13" t="str">
        <f t="shared" si="0"/>
        <v>2</v>
      </c>
      <c r="I30" s="57"/>
    </row>
    <row r="31" ht="16.5" spans="1:9">
      <c r="A31" s="34">
        <f>'【3-2】大区&amp;运营中心填-房间模型价'!H30</f>
        <v>604</v>
      </c>
      <c r="B31" s="34" t="str">
        <f>'【3-2】大区&amp;运营中心填-房间模型价'!I30</f>
        <v>B</v>
      </c>
      <c r="C31" s="56" t="str">
        <f>VLOOKUP(A31,'【3-2】大区&amp;运营中心填-房间模型价'!H:J,3,0)</f>
        <v>开间</v>
      </c>
      <c r="D31" s="13">
        <v>2</v>
      </c>
      <c r="E31" s="13">
        <v>0</v>
      </c>
      <c r="F31" s="13"/>
      <c r="G31" s="13">
        <v>0</v>
      </c>
      <c r="H31" s="13" t="str">
        <f t="shared" si="0"/>
        <v>3</v>
      </c>
      <c r="I31" s="57"/>
    </row>
    <row r="32" ht="16.5" spans="1:9">
      <c r="A32" s="34">
        <f>'【3-2】大区&amp;运营中心填-房间模型价'!H31</f>
        <v>605</v>
      </c>
      <c r="B32" s="34" t="str">
        <f>'【3-2】大区&amp;运营中心填-房间模型价'!I31</f>
        <v>B</v>
      </c>
      <c r="C32" s="56" t="str">
        <f>VLOOKUP(A32,'【3-2】大区&amp;运营中心填-房间模型价'!H:J,3,0)</f>
        <v>开间</v>
      </c>
      <c r="D32" s="13">
        <v>2</v>
      </c>
      <c r="E32" s="13">
        <v>0</v>
      </c>
      <c r="F32" s="13"/>
      <c r="G32" s="13">
        <v>0</v>
      </c>
      <c r="H32" s="13" t="str">
        <f t="shared" si="0"/>
        <v>3</v>
      </c>
      <c r="I32" s="57"/>
    </row>
    <row r="33" ht="16.5" spans="1:9">
      <c r="A33" s="34">
        <f>'【3-2】大区&amp;运营中心填-房间模型价'!H32</f>
        <v>701</v>
      </c>
      <c r="B33" s="34" t="str">
        <f>'【3-2】大区&amp;运营中心填-房间模型价'!I32</f>
        <v>A</v>
      </c>
      <c r="C33" s="56" t="str">
        <f>VLOOKUP(A33,'【3-2】大区&amp;运营中心填-房间模型价'!H:J,3,0)</f>
        <v>开间</v>
      </c>
      <c r="D33" s="13">
        <v>2</v>
      </c>
      <c r="E33" s="13">
        <v>0</v>
      </c>
      <c r="F33" s="13"/>
      <c r="G33" s="13">
        <v>0</v>
      </c>
      <c r="H33" s="13" t="str">
        <f t="shared" si="0"/>
        <v>3</v>
      </c>
      <c r="I33" s="57"/>
    </row>
    <row r="34" ht="16.5" spans="1:9">
      <c r="A34" s="34">
        <f>'【3-2】大区&amp;运营中心填-房间模型价'!H33</f>
        <v>702</v>
      </c>
      <c r="B34" s="34" t="str">
        <f>'【3-2】大区&amp;运营中心填-房间模型价'!I33</f>
        <v>A</v>
      </c>
      <c r="C34" s="56" t="str">
        <f>VLOOKUP(A34,'【3-2】大区&amp;运营中心填-房间模型价'!H:J,3,0)</f>
        <v>开间</v>
      </c>
      <c r="D34" s="13">
        <v>1.5</v>
      </c>
      <c r="E34" s="13">
        <v>0</v>
      </c>
      <c r="F34" s="13"/>
      <c r="G34" s="13">
        <v>0</v>
      </c>
      <c r="H34" s="13" t="str">
        <f t="shared" si="0"/>
        <v>3</v>
      </c>
      <c r="I34" s="57"/>
    </row>
    <row r="35" ht="16.5" spans="1:9">
      <c r="A35" s="34">
        <f>'【3-2】大区&amp;运营中心填-房间模型价'!H34</f>
        <v>703</v>
      </c>
      <c r="B35" s="34" t="str">
        <f>'【3-2】大区&amp;运营中心填-房间模型价'!I34</f>
        <v>B</v>
      </c>
      <c r="C35" s="56" t="str">
        <f>VLOOKUP(A35,'【3-2】大区&amp;运营中心填-房间模型价'!H:J,3,0)</f>
        <v>开间</v>
      </c>
      <c r="D35" s="13">
        <v>1</v>
      </c>
      <c r="E35" s="13">
        <v>0</v>
      </c>
      <c r="F35" s="13"/>
      <c r="G35" s="13">
        <v>0</v>
      </c>
      <c r="H35" s="13" t="str">
        <f t="shared" si="0"/>
        <v>2</v>
      </c>
      <c r="I35" s="57"/>
    </row>
    <row r="36" ht="16.5" spans="1:9">
      <c r="A36" s="34">
        <f>'【3-2】大区&amp;运营中心填-房间模型价'!H35</f>
        <v>704</v>
      </c>
      <c r="B36" s="34" t="str">
        <f>'【3-2】大区&amp;运营中心填-房间模型价'!I35</f>
        <v>B</v>
      </c>
      <c r="C36" s="56" t="str">
        <f>VLOOKUP(A36,'【3-2】大区&amp;运营中心填-房间模型价'!H:J,3,0)</f>
        <v>开间</v>
      </c>
      <c r="D36" s="13">
        <v>2</v>
      </c>
      <c r="E36" s="13">
        <v>0</v>
      </c>
      <c r="F36" s="13"/>
      <c r="G36" s="13">
        <v>0</v>
      </c>
      <c r="H36" s="13" t="str">
        <f t="shared" si="0"/>
        <v>3</v>
      </c>
      <c r="I36" s="57"/>
    </row>
    <row r="37" ht="16.5" spans="1:9">
      <c r="A37" s="34">
        <f>'【3-2】大区&amp;运营中心填-房间模型价'!H36</f>
        <v>705</v>
      </c>
      <c r="B37" s="34" t="str">
        <f>'【3-2】大区&amp;运营中心填-房间模型价'!I36</f>
        <v>B</v>
      </c>
      <c r="C37" s="56" t="str">
        <f>VLOOKUP(A37,'【3-2】大区&amp;运营中心填-房间模型价'!H:J,3,0)</f>
        <v>开间</v>
      </c>
      <c r="D37" s="13">
        <v>2</v>
      </c>
      <c r="E37" s="13">
        <v>0</v>
      </c>
      <c r="F37" s="13"/>
      <c r="G37" s="13">
        <v>0</v>
      </c>
      <c r="H37" s="13" t="str">
        <f t="shared" si="0"/>
        <v>3</v>
      </c>
      <c r="I37" s="57"/>
    </row>
    <row r="38" ht="16.5" spans="1:9">
      <c r="A38" s="34">
        <f>'【3-2】大区&amp;运营中心填-房间模型价'!H37</f>
        <v>801</v>
      </c>
      <c r="B38" s="34" t="str">
        <f>'【3-2】大区&amp;运营中心填-房间模型价'!I37</f>
        <v>A</v>
      </c>
      <c r="C38" s="56" t="str">
        <f>VLOOKUP(A38,'【3-2】大区&amp;运营中心填-房间模型价'!H:J,3,0)</f>
        <v>开间</v>
      </c>
      <c r="D38" s="13">
        <v>2</v>
      </c>
      <c r="E38" s="13">
        <v>0</v>
      </c>
      <c r="F38" s="13"/>
      <c r="G38" s="13">
        <v>0</v>
      </c>
      <c r="H38" s="13" t="str">
        <f t="shared" si="0"/>
        <v>3</v>
      </c>
      <c r="I38" s="57"/>
    </row>
    <row r="39" ht="16.5" spans="1:9">
      <c r="A39" s="34">
        <f>'【3-2】大区&amp;运营中心填-房间模型价'!H38</f>
        <v>802</v>
      </c>
      <c r="B39" s="34" t="str">
        <f>'【3-2】大区&amp;运营中心填-房间模型价'!I38</f>
        <v>A</v>
      </c>
      <c r="C39" s="56" t="str">
        <f>VLOOKUP(A39,'【3-2】大区&amp;运营中心填-房间模型价'!H:J,3,0)</f>
        <v>开间</v>
      </c>
      <c r="D39" s="13">
        <v>1.5</v>
      </c>
      <c r="E39" s="13">
        <v>0</v>
      </c>
      <c r="F39" s="13"/>
      <c r="G39" s="13">
        <v>0</v>
      </c>
      <c r="H39" s="13" t="str">
        <f t="shared" si="0"/>
        <v>3</v>
      </c>
      <c r="I39" s="57"/>
    </row>
    <row r="40" ht="16.5" spans="1:9">
      <c r="A40" s="34">
        <f>'【3-2】大区&amp;运营中心填-房间模型价'!H39</f>
        <v>803</v>
      </c>
      <c r="B40" s="34" t="str">
        <f>'【3-2】大区&amp;运营中心填-房间模型价'!I39</f>
        <v>B</v>
      </c>
      <c r="C40" s="56" t="str">
        <f>VLOOKUP(A40,'【3-2】大区&amp;运营中心填-房间模型价'!H:J,3,0)</f>
        <v>开间</v>
      </c>
      <c r="D40" s="13">
        <v>1</v>
      </c>
      <c r="E40" s="13">
        <v>0</v>
      </c>
      <c r="F40" s="13"/>
      <c r="G40" s="13">
        <v>0</v>
      </c>
      <c r="H40" s="13" t="str">
        <f t="shared" si="0"/>
        <v>2</v>
      </c>
      <c r="I40" s="57"/>
    </row>
    <row r="41" ht="16.5" spans="1:9">
      <c r="A41" s="34">
        <f>'【3-2】大区&amp;运营中心填-房间模型价'!H40</f>
        <v>804</v>
      </c>
      <c r="B41" s="34" t="str">
        <f>'【3-2】大区&amp;运营中心填-房间模型价'!I40</f>
        <v>B</v>
      </c>
      <c r="C41" s="56" t="str">
        <f>VLOOKUP(A41,'【3-2】大区&amp;运营中心填-房间模型价'!H:J,3,0)</f>
        <v>开间</v>
      </c>
      <c r="D41" s="13">
        <v>2</v>
      </c>
      <c r="E41" s="13">
        <v>0</v>
      </c>
      <c r="F41" s="13"/>
      <c r="G41" s="13">
        <v>0</v>
      </c>
      <c r="H41" s="13" t="str">
        <f t="shared" si="0"/>
        <v>3</v>
      </c>
      <c r="I41" s="57"/>
    </row>
    <row r="42" ht="16.5" spans="1:9">
      <c r="A42" s="34">
        <f>'【3-2】大区&amp;运营中心填-房间模型价'!H41</f>
        <v>805</v>
      </c>
      <c r="B42" s="34" t="str">
        <f>'【3-2】大区&amp;运营中心填-房间模型价'!I41</f>
        <v>B</v>
      </c>
      <c r="C42" s="56" t="str">
        <f>VLOOKUP(A42,'【3-2】大区&amp;运营中心填-房间模型价'!H:J,3,0)</f>
        <v>开间</v>
      </c>
      <c r="D42" s="13">
        <v>2</v>
      </c>
      <c r="E42" s="13">
        <v>0</v>
      </c>
      <c r="F42" s="13"/>
      <c r="G42" s="13">
        <v>0</v>
      </c>
      <c r="H42" s="13" t="str">
        <f t="shared" si="0"/>
        <v>3</v>
      </c>
      <c r="I42" s="57"/>
    </row>
    <row r="43" ht="16.5" spans="1:9">
      <c r="A43" s="34" t="e">
        <f>'【3-2】大区&amp;运营中心填-房间模型价'!#REF!</f>
        <v>#REF!</v>
      </c>
      <c r="B43" s="34" t="e">
        <f>'【3-2】大区&amp;运营中心填-房间模型价'!#REF!</f>
        <v>#REF!</v>
      </c>
      <c r="C43" s="56" t="e">
        <f>VLOOKUP(A43,'【3-2】大区&amp;运营中心填-房间模型价'!H:J,3,0)</f>
        <v>#REF!</v>
      </c>
      <c r="D43" s="13"/>
      <c r="E43" s="13"/>
      <c r="F43" s="13"/>
      <c r="G43" s="13"/>
      <c r="H43" s="13" t="e">
        <f t="shared" si="0"/>
        <v>#REF!</v>
      </c>
      <c r="I43" s="57"/>
    </row>
    <row r="44" ht="16.5" spans="1:9">
      <c r="A44" s="34" t="e">
        <f>'【3-2】大区&amp;运营中心填-房间模型价'!#REF!</f>
        <v>#REF!</v>
      </c>
      <c r="B44" s="34" t="e">
        <f>'【3-2】大区&amp;运营中心填-房间模型价'!#REF!</f>
        <v>#REF!</v>
      </c>
      <c r="C44" s="56" t="e">
        <f>VLOOKUP(A44,'【3-2】大区&amp;运营中心填-房间模型价'!H:J,3,0)</f>
        <v>#REF!</v>
      </c>
      <c r="D44" s="13"/>
      <c r="E44" s="13"/>
      <c r="F44" s="13"/>
      <c r="G44" s="13"/>
      <c r="H44" s="13" t="e">
        <f t="shared" si="0"/>
        <v>#REF!</v>
      </c>
      <c r="I44" s="57"/>
    </row>
    <row r="45" ht="16.5" spans="1:9">
      <c r="A45" s="34" t="e">
        <f>'【3-2】大区&amp;运营中心填-房间模型价'!#REF!</f>
        <v>#REF!</v>
      </c>
      <c r="B45" s="34" t="e">
        <f>'【3-2】大区&amp;运营中心填-房间模型价'!#REF!</f>
        <v>#REF!</v>
      </c>
      <c r="C45" s="56" t="e">
        <f>VLOOKUP(A45,'【3-2】大区&amp;运营中心填-房间模型价'!H:J,3,0)</f>
        <v>#REF!</v>
      </c>
      <c r="D45" s="13"/>
      <c r="E45" s="13"/>
      <c r="F45" s="13"/>
      <c r="G45" s="13"/>
      <c r="H45" s="13" t="e">
        <f t="shared" si="0"/>
        <v>#REF!</v>
      </c>
      <c r="I45" s="57"/>
    </row>
    <row r="46" ht="16.5" spans="1:9">
      <c r="A46" s="34" t="e">
        <f>'【3-2】大区&amp;运营中心填-房间模型价'!#REF!</f>
        <v>#REF!</v>
      </c>
      <c r="B46" s="34" t="e">
        <f>'【3-2】大区&amp;运营中心填-房间模型价'!#REF!</f>
        <v>#REF!</v>
      </c>
      <c r="C46" s="56" t="e">
        <f>VLOOKUP(A46,'【3-2】大区&amp;运营中心填-房间模型价'!H:J,3,0)</f>
        <v>#REF!</v>
      </c>
      <c r="D46" s="13"/>
      <c r="E46" s="13"/>
      <c r="F46" s="13"/>
      <c r="G46" s="13"/>
      <c r="H46" s="13" t="e">
        <f t="shared" si="0"/>
        <v>#REF!</v>
      </c>
      <c r="I46" s="57"/>
    </row>
    <row r="47" ht="16.5" spans="1:9">
      <c r="A47" s="34" t="e">
        <f>'【3-2】大区&amp;运营中心填-房间模型价'!#REF!</f>
        <v>#REF!</v>
      </c>
      <c r="B47" s="34" t="e">
        <f>'【3-2】大区&amp;运营中心填-房间模型价'!#REF!</f>
        <v>#REF!</v>
      </c>
      <c r="C47" s="56" t="e">
        <f>VLOOKUP(A47,'【3-2】大区&amp;运营中心填-房间模型价'!H:J,3,0)</f>
        <v>#REF!</v>
      </c>
      <c r="D47" s="13"/>
      <c r="E47" s="13"/>
      <c r="F47" s="13"/>
      <c r="G47" s="13"/>
      <c r="H47" s="13" t="e">
        <f t="shared" si="0"/>
        <v>#REF!</v>
      </c>
      <c r="I47" s="57"/>
    </row>
    <row r="48" ht="16.5" spans="1:9">
      <c r="A48" s="34" t="e">
        <f>'【3-2】大区&amp;运营中心填-房间模型价'!#REF!</f>
        <v>#REF!</v>
      </c>
      <c r="B48" s="34" t="e">
        <f>'【3-2】大区&amp;运营中心填-房间模型价'!#REF!</f>
        <v>#REF!</v>
      </c>
      <c r="C48" s="56" t="e">
        <f>VLOOKUP(A48,'【3-2】大区&amp;运营中心填-房间模型价'!H:J,3,0)</f>
        <v>#REF!</v>
      </c>
      <c r="D48" s="13"/>
      <c r="E48" s="13"/>
      <c r="F48" s="13"/>
      <c r="G48" s="13"/>
      <c r="H48" s="13" t="e">
        <f t="shared" si="0"/>
        <v>#REF!</v>
      </c>
      <c r="I48" s="57"/>
    </row>
    <row r="49" ht="16.5" spans="1:9">
      <c r="A49" s="34" t="e">
        <f>'【3-2】大区&amp;运营中心填-房间模型价'!#REF!</f>
        <v>#REF!</v>
      </c>
      <c r="B49" s="34" t="e">
        <f>'【3-2】大区&amp;运营中心填-房间模型价'!#REF!</f>
        <v>#REF!</v>
      </c>
      <c r="C49" s="56" t="e">
        <f>VLOOKUP(A49,'【3-2】大区&amp;运营中心填-房间模型价'!H:J,3,0)</f>
        <v>#REF!</v>
      </c>
      <c r="D49" s="13"/>
      <c r="E49" s="13"/>
      <c r="F49" s="13"/>
      <c r="G49" s="13"/>
      <c r="H49" s="13" t="e">
        <f t="shared" si="0"/>
        <v>#REF!</v>
      </c>
      <c r="I49" s="57"/>
    </row>
    <row r="50" ht="16.5" spans="1:9">
      <c r="A50" s="34" t="e">
        <f>'【3-2】大区&amp;运营中心填-房间模型价'!#REF!</f>
        <v>#REF!</v>
      </c>
      <c r="B50" s="34" t="e">
        <f>'【3-2】大区&amp;运营中心填-房间模型价'!#REF!</f>
        <v>#REF!</v>
      </c>
      <c r="C50" s="56" t="e">
        <f>VLOOKUP(A50,'【3-2】大区&amp;运营中心填-房间模型价'!H:J,3,0)</f>
        <v>#REF!</v>
      </c>
      <c r="D50" s="13"/>
      <c r="E50" s="13"/>
      <c r="F50" s="13"/>
      <c r="G50" s="13"/>
      <c r="H50" s="13" t="e">
        <f t="shared" si="0"/>
        <v>#REF!</v>
      </c>
      <c r="I50" s="57"/>
    </row>
    <row r="51" ht="16.5" spans="1:9">
      <c r="A51" s="34" t="e">
        <f>'【3-2】大区&amp;运营中心填-房间模型价'!#REF!</f>
        <v>#REF!</v>
      </c>
      <c r="B51" s="34" t="e">
        <f>'【3-2】大区&amp;运营中心填-房间模型价'!#REF!</f>
        <v>#REF!</v>
      </c>
      <c r="C51" s="56" t="e">
        <f>VLOOKUP(A51,'【3-2】大区&amp;运营中心填-房间模型价'!H:J,3,0)</f>
        <v>#REF!</v>
      </c>
      <c r="D51" s="13"/>
      <c r="E51" s="13"/>
      <c r="F51" s="13"/>
      <c r="G51" s="13"/>
      <c r="H51" s="13" t="e">
        <f t="shared" si="0"/>
        <v>#REF!</v>
      </c>
      <c r="I51" s="57"/>
    </row>
    <row r="52" ht="16.5" spans="1:9">
      <c r="A52" s="34" t="e">
        <f>'【3-2】大区&amp;运营中心填-房间模型价'!#REF!</f>
        <v>#REF!</v>
      </c>
      <c r="B52" s="34" t="e">
        <f>'【3-2】大区&amp;运营中心填-房间模型价'!#REF!</f>
        <v>#REF!</v>
      </c>
      <c r="C52" s="56" t="e">
        <f>VLOOKUP(A52,'【3-2】大区&amp;运营中心填-房间模型价'!H:J,3,0)</f>
        <v>#REF!</v>
      </c>
      <c r="D52" s="13"/>
      <c r="E52" s="13"/>
      <c r="F52" s="13"/>
      <c r="G52" s="13"/>
      <c r="H52" s="13" t="e">
        <f t="shared" si="0"/>
        <v>#REF!</v>
      </c>
      <c r="I52" s="57"/>
    </row>
    <row r="53" ht="16.5" spans="1:9">
      <c r="A53" s="34" t="e">
        <f>'【3-2】大区&amp;运营中心填-房间模型价'!#REF!</f>
        <v>#REF!</v>
      </c>
      <c r="B53" s="34" t="e">
        <f>'【3-2】大区&amp;运营中心填-房间模型价'!#REF!</f>
        <v>#REF!</v>
      </c>
      <c r="C53" s="56" t="e">
        <f>VLOOKUP(A53,'【3-2】大区&amp;运营中心填-房间模型价'!H:J,3,0)</f>
        <v>#REF!</v>
      </c>
      <c r="D53" s="13"/>
      <c r="E53" s="13"/>
      <c r="F53" s="13"/>
      <c r="G53" s="13"/>
      <c r="H53" s="13" t="e">
        <f t="shared" si="0"/>
        <v>#REF!</v>
      </c>
      <c r="I53" s="57"/>
    </row>
    <row r="54" ht="16.5" spans="1:9">
      <c r="A54" s="34" t="e">
        <f>'【3-2】大区&amp;运营中心填-房间模型价'!#REF!</f>
        <v>#REF!</v>
      </c>
      <c r="B54" s="34" t="e">
        <f>'【3-2】大区&amp;运营中心填-房间模型价'!#REF!</f>
        <v>#REF!</v>
      </c>
      <c r="C54" s="56" t="e">
        <f>VLOOKUP(A54,'【3-2】大区&amp;运营中心填-房间模型价'!H:J,3,0)</f>
        <v>#REF!</v>
      </c>
      <c r="D54" s="13"/>
      <c r="E54" s="13"/>
      <c r="F54" s="13"/>
      <c r="G54" s="13"/>
      <c r="H54" s="13" t="e">
        <f t="shared" si="0"/>
        <v>#REF!</v>
      </c>
      <c r="I54" s="57"/>
    </row>
    <row r="55" ht="16.5" spans="1:9">
      <c r="A55" s="34" t="e">
        <f>'【3-2】大区&amp;运营中心填-房间模型价'!#REF!</f>
        <v>#REF!</v>
      </c>
      <c r="B55" s="34" t="e">
        <f>'【3-2】大区&amp;运营中心填-房间模型价'!#REF!</f>
        <v>#REF!</v>
      </c>
      <c r="C55" s="56" t="e">
        <f>VLOOKUP(A55,'【3-2】大区&amp;运营中心填-房间模型价'!H:J,3,0)</f>
        <v>#REF!</v>
      </c>
      <c r="D55" s="13"/>
      <c r="E55" s="13"/>
      <c r="F55" s="13"/>
      <c r="G55" s="13"/>
      <c r="H55" s="13" t="e">
        <f t="shared" si="0"/>
        <v>#REF!</v>
      </c>
      <c r="I55" s="57"/>
    </row>
    <row r="56" ht="16.5" spans="1:9">
      <c r="A56" s="34" t="e">
        <f>'【3-2】大区&amp;运营中心填-房间模型价'!#REF!</f>
        <v>#REF!</v>
      </c>
      <c r="B56" s="34" t="e">
        <f>'【3-2】大区&amp;运营中心填-房间模型价'!#REF!</f>
        <v>#REF!</v>
      </c>
      <c r="C56" s="56" t="e">
        <f>VLOOKUP(A56,'【3-2】大区&amp;运营中心填-房间模型价'!H:J,3,0)</f>
        <v>#REF!</v>
      </c>
      <c r="D56" s="13"/>
      <c r="E56" s="13"/>
      <c r="F56" s="13"/>
      <c r="G56" s="13"/>
      <c r="H56" s="13" t="e">
        <f t="shared" si="0"/>
        <v>#REF!</v>
      </c>
      <c r="I56" s="57"/>
    </row>
    <row r="57" ht="16.5" spans="1:9">
      <c r="A57" s="34" t="e">
        <f>'【3-2】大区&amp;运营中心填-房间模型价'!#REF!</f>
        <v>#REF!</v>
      </c>
      <c r="B57" s="34" t="e">
        <f>'【3-2】大区&amp;运营中心填-房间模型价'!#REF!</f>
        <v>#REF!</v>
      </c>
      <c r="C57" s="56" t="e">
        <f>VLOOKUP(A57,'【3-2】大区&amp;运营中心填-房间模型价'!H:J,3,0)</f>
        <v>#REF!</v>
      </c>
      <c r="D57" s="13"/>
      <c r="E57" s="13"/>
      <c r="F57" s="13"/>
      <c r="G57" s="13"/>
      <c r="H57" s="13" t="e">
        <f t="shared" si="0"/>
        <v>#REF!</v>
      </c>
      <c r="I57" s="57"/>
    </row>
    <row r="58" ht="16.5" spans="1:9">
      <c r="A58" s="34" t="e">
        <f>'【3-2】大区&amp;运营中心填-房间模型价'!#REF!</f>
        <v>#REF!</v>
      </c>
      <c r="B58" s="34" t="e">
        <f>'【3-2】大区&amp;运营中心填-房间模型价'!#REF!</f>
        <v>#REF!</v>
      </c>
      <c r="C58" s="56" t="e">
        <f>VLOOKUP(A58,'【3-2】大区&amp;运营中心填-房间模型价'!H:J,3,0)</f>
        <v>#REF!</v>
      </c>
      <c r="D58" s="13"/>
      <c r="E58" s="13"/>
      <c r="F58" s="13"/>
      <c r="G58" s="13"/>
      <c r="H58" s="13" t="e">
        <f t="shared" si="0"/>
        <v>#REF!</v>
      </c>
      <c r="I58" s="57"/>
    </row>
    <row r="59" ht="16.5" spans="1:9">
      <c r="A59" s="34" t="e">
        <f>'【3-2】大区&amp;运营中心填-房间模型价'!#REF!</f>
        <v>#REF!</v>
      </c>
      <c r="B59" s="34" t="e">
        <f>'【3-2】大区&amp;运营中心填-房间模型价'!#REF!</f>
        <v>#REF!</v>
      </c>
      <c r="C59" s="56" t="e">
        <f>VLOOKUP(A59,'【3-2】大区&amp;运营中心填-房间模型价'!H:J,3,0)</f>
        <v>#REF!</v>
      </c>
      <c r="D59" s="13"/>
      <c r="E59" s="13"/>
      <c r="F59" s="13"/>
      <c r="G59" s="13"/>
      <c r="H59" s="13" t="e">
        <f t="shared" si="0"/>
        <v>#REF!</v>
      </c>
      <c r="I59" s="57"/>
    </row>
    <row r="60" ht="16.5" spans="1:9">
      <c r="A60" s="34" t="e">
        <f>'【3-2】大区&amp;运营中心填-房间模型价'!#REF!</f>
        <v>#REF!</v>
      </c>
      <c r="B60" s="34" t="e">
        <f>'【3-2】大区&amp;运营中心填-房间模型价'!#REF!</f>
        <v>#REF!</v>
      </c>
      <c r="C60" s="56" t="e">
        <f>VLOOKUP(A60,'【3-2】大区&amp;运营中心填-房间模型价'!H:J,3,0)</f>
        <v>#REF!</v>
      </c>
      <c r="D60" s="13"/>
      <c r="E60" s="13"/>
      <c r="F60" s="13"/>
      <c r="G60" s="13"/>
      <c r="H60" s="13" t="e">
        <f t="shared" si="0"/>
        <v>#REF!</v>
      </c>
      <c r="I60" s="57"/>
    </row>
    <row r="61" ht="16.5" spans="1:9">
      <c r="A61" s="34" t="e">
        <f>'【3-2】大区&amp;运营中心填-房间模型价'!#REF!</f>
        <v>#REF!</v>
      </c>
      <c r="B61" s="34" t="e">
        <f>'【3-2】大区&amp;运营中心填-房间模型价'!#REF!</f>
        <v>#REF!</v>
      </c>
      <c r="C61" s="56" t="e">
        <f>VLOOKUP(A61,'【3-2】大区&amp;运营中心填-房间模型价'!H:J,3,0)</f>
        <v>#REF!</v>
      </c>
      <c r="D61" s="13"/>
      <c r="E61" s="13"/>
      <c r="F61" s="13"/>
      <c r="G61" s="13"/>
      <c r="H61" s="13" t="e">
        <f t="shared" si="0"/>
        <v>#REF!</v>
      </c>
      <c r="I61" s="57"/>
    </row>
    <row r="62" ht="16.5" spans="1:9">
      <c r="A62" s="34" t="e">
        <f>'【3-2】大区&amp;运营中心填-房间模型价'!#REF!</f>
        <v>#REF!</v>
      </c>
      <c r="B62" s="34" t="e">
        <f>'【3-2】大区&amp;运营中心填-房间模型价'!#REF!</f>
        <v>#REF!</v>
      </c>
      <c r="C62" s="56" t="e">
        <f>VLOOKUP(A62,'【3-2】大区&amp;运营中心填-房间模型价'!H:J,3,0)</f>
        <v>#REF!</v>
      </c>
      <c r="D62" s="13"/>
      <c r="E62" s="13"/>
      <c r="F62" s="13"/>
      <c r="G62" s="13"/>
      <c r="H62" s="13" t="e">
        <f t="shared" si="0"/>
        <v>#REF!</v>
      </c>
      <c r="I62" s="57"/>
    </row>
    <row r="63" ht="16.5" spans="1:9">
      <c r="A63" s="34" t="e">
        <f>'【3-2】大区&amp;运营中心填-房间模型价'!#REF!</f>
        <v>#REF!</v>
      </c>
      <c r="B63" s="34" t="e">
        <f>'【3-2】大区&amp;运营中心填-房间模型价'!#REF!</f>
        <v>#REF!</v>
      </c>
      <c r="C63" s="56" t="e">
        <f>VLOOKUP(A63,'【3-2】大区&amp;运营中心填-房间模型价'!H:J,3,0)</f>
        <v>#REF!</v>
      </c>
      <c r="D63" s="13"/>
      <c r="E63" s="13"/>
      <c r="F63" s="13"/>
      <c r="G63" s="13"/>
      <c r="H63" s="13" t="e">
        <f t="shared" si="0"/>
        <v>#REF!</v>
      </c>
      <c r="I63" s="57"/>
    </row>
    <row r="64" ht="16.5" spans="1:9">
      <c r="A64" s="34" t="e">
        <f>'【3-2】大区&amp;运营中心填-房间模型价'!#REF!</f>
        <v>#REF!</v>
      </c>
      <c r="B64" s="34" t="e">
        <f>'【3-2】大区&amp;运营中心填-房间模型价'!#REF!</f>
        <v>#REF!</v>
      </c>
      <c r="C64" s="56" t="e">
        <f>VLOOKUP(A64,'【3-2】大区&amp;运营中心填-房间模型价'!H:J,3,0)</f>
        <v>#REF!</v>
      </c>
      <c r="D64" s="13"/>
      <c r="E64" s="13"/>
      <c r="F64" s="13"/>
      <c r="G64" s="13"/>
      <c r="H64" s="13" t="e">
        <f t="shared" si="0"/>
        <v>#REF!</v>
      </c>
      <c r="I64" s="57"/>
    </row>
    <row r="65" ht="16.5" spans="1:9">
      <c r="A65" s="34" t="e">
        <f>'【3-2】大区&amp;运营中心填-房间模型价'!#REF!</f>
        <v>#REF!</v>
      </c>
      <c r="B65" s="34" t="e">
        <f>'【3-2】大区&amp;运营中心填-房间模型价'!#REF!</f>
        <v>#REF!</v>
      </c>
      <c r="C65" s="56" t="e">
        <f>VLOOKUP(A65,'【3-2】大区&amp;运营中心填-房间模型价'!H:J,3,0)</f>
        <v>#REF!</v>
      </c>
      <c r="D65" s="13"/>
      <c r="E65" s="13"/>
      <c r="F65" s="13"/>
      <c r="G65" s="13"/>
      <c r="H65" s="13" t="e">
        <f t="shared" si="0"/>
        <v>#REF!</v>
      </c>
      <c r="I65" s="57"/>
    </row>
    <row r="66" ht="16.5" spans="1:9">
      <c r="A66" s="34" t="e">
        <f>'【3-2】大区&amp;运营中心填-房间模型价'!#REF!</f>
        <v>#REF!</v>
      </c>
      <c r="B66" s="34" t="e">
        <f>'【3-2】大区&amp;运营中心填-房间模型价'!#REF!</f>
        <v>#REF!</v>
      </c>
      <c r="C66" s="56" t="e">
        <f>VLOOKUP(A66,'【3-2】大区&amp;运营中心填-房间模型价'!H:J,3,0)</f>
        <v>#REF!</v>
      </c>
      <c r="D66" s="13"/>
      <c r="E66" s="13"/>
      <c r="F66" s="13"/>
      <c r="G66" s="13"/>
      <c r="H66" s="13" t="e">
        <f t="shared" si="0"/>
        <v>#REF!</v>
      </c>
      <c r="I66" s="57"/>
    </row>
    <row r="67" ht="16.5" spans="1:9">
      <c r="A67" s="34" t="e">
        <f>'【3-2】大区&amp;运营中心填-房间模型价'!#REF!</f>
        <v>#REF!</v>
      </c>
      <c r="B67" s="34" t="e">
        <f>'【3-2】大区&amp;运营中心填-房间模型价'!#REF!</f>
        <v>#REF!</v>
      </c>
      <c r="C67" s="56" t="e">
        <f>VLOOKUP(A67,'【3-2】大区&amp;运营中心填-房间模型价'!H:J,3,0)</f>
        <v>#REF!</v>
      </c>
      <c r="D67" s="13"/>
      <c r="E67" s="13"/>
      <c r="F67" s="13"/>
      <c r="G67" s="13"/>
      <c r="H67" s="13" t="e">
        <f t="shared" si="0"/>
        <v>#REF!</v>
      </c>
      <c r="I67" s="57"/>
    </row>
    <row r="68" ht="16.5" spans="1:9">
      <c r="A68" s="34" t="e">
        <f>'【3-2】大区&amp;运营中心填-房间模型价'!#REF!</f>
        <v>#REF!</v>
      </c>
      <c r="B68" s="34" t="e">
        <f>'【3-2】大区&amp;运营中心填-房间模型价'!#REF!</f>
        <v>#REF!</v>
      </c>
      <c r="C68" s="56" t="e">
        <f>VLOOKUP(A68,'【3-2】大区&amp;运营中心填-房间模型价'!H:J,3,0)</f>
        <v>#REF!</v>
      </c>
      <c r="D68" s="13"/>
      <c r="E68" s="13"/>
      <c r="F68" s="13"/>
      <c r="G68" s="13"/>
      <c r="H68" s="13" t="e">
        <f t="shared" ref="H68:H131" si="1">IF(C68="开间",IF(D68+E68*2-G68&lt;=0,"1",IF(D68+E68*2-G68&lt;=1,"2",IF(D68+E68*2-G68&lt;=2,"3",IF(D68+E68*2-G68&lt;=3,"4","5")))),IF(D68+E68*2-G68&lt;1.1,"1",IF(D68+E68*2-G68&lt;=2,"2",IF(D68+E68*2-G68&lt;=3,"3",IF(D68+E68*2-G68&lt;=4,"4","5")))))</f>
        <v>#REF!</v>
      </c>
      <c r="I68" s="57"/>
    </row>
    <row r="69" ht="16.5" spans="1:9">
      <c r="A69" s="34" t="e">
        <f>'【3-2】大区&amp;运营中心填-房间模型价'!#REF!</f>
        <v>#REF!</v>
      </c>
      <c r="B69" s="34" t="e">
        <f>'【3-2】大区&amp;运营中心填-房间模型价'!#REF!</f>
        <v>#REF!</v>
      </c>
      <c r="C69" s="56" t="e">
        <f>VLOOKUP(A69,'【3-2】大区&amp;运营中心填-房间模型价'!H:J,3,0)</f>
        <v>#REF!</v>
      </c>
      <c r="D69" s="13"/>
      <c r="E69" s="13"/>
      <c r="F69" s="13"/>
      <c r="G69" s="13"/>
      <c r="H69" s="13" t="e">
        <f t="shared" si="1"/>
        <v>#REF!</v>
      </c>
      <c r="I69" s="57"/>
    </row>
    <row r="70" ht="16.5" spans="1:9">
      <c r="A70" s="34" t="e">
        <f>'【3-2】大区&amp;运营中心填-房间模型价'!#REF!</f>
        <v>#REF!</v>
      </c>
      <c r="B70" s="34" t="e">
        <f>'【3-2】大区&amp;运营中心填-房间模型价'!#REF!</f>
        <v>#REF!</v>
      </c>
      <c r="C70" s="56" t="e">
        <f>VLOOKUP(A70,'【3-2】大区&amp;运营中心填-房间模型价'!H:J,3,0)</f>
        <v>#REF!</v>
      </c>
      <c r="D70" s="13"/>
      <c r="E70" s="13"/>
      <c r="F70" s="13"/>
      <c r="G70" s="13"/>
      <c r="H70" s="13" t="e">
        <f t="shared" si="1"/>
        <v>#REF!</v>
      </c>
      <c r="I70" s="57"/>
    </row>
    <row r="71" ht="16.5" spans="1:9">
      <c r="A71" s="34" t="e">
        <f>'【3-2】大区&amp;运营中心填-房间模型价'!#REF!</f>
        <v>#REF!</v>
      </c>
      <c r="B71" s="34" t="e">
        <f>'【3-2】大区&amp;运营中心填-房间模型价'!#REF!</f>
        <v>#REF!</v>
      </c>
      <c r="C71" s="56" t="e">
        <f>VLOOKUP(A71,'【3-2】大区&amp;运营中心填-房间模型价'!H:J,3,0)</f>
        <v>#REF!</v>
      </c>
      <c r="D71" s="13"/>
      <c r="E71" s="13"/>
      <c r="F71" s="13"/>
      <c r="G71" s="13"/>
      <c r="H71" s="13" t="e">
        <f t="shared" si="1"/>
        <v>#REF!</v>
      </c>
      <c r="I71" s="57"/>
    </row>
    <row r="72" ht="16.5" spans="1:9">
      <c r="A72" s="34" t="e">
        <f>'【3-2】大区&amp;运营中心填-房间模型价'!#REF!</f>
        <v>#REF!</v>
      </c>
      <c r="B72" s="34" t="e">
        <f>'【3-2】大区&amp;运营中心填-房间模型价'!#REF!</f>
        <v>#REF!</v>
      </c>
      <c r="C72" s="56" t="e">
        <f>VLOOKUP(A72,'【3-2】大区&amp;运营中心填-房间模型价'!H:J,3,0)</f>
        <v>#REF!</v>
      </c>
      <c r="D72" s="13"/>
      <c r="E72" s="13"/>
      <c r="F72" s="13"/>
      <c r="G72" s="13"/>
      <c r="H72" s="13" t="e">
        <f t="shared" si="1"/>
        <v>#REF!</v>
      </c>
      <c r="I72" s="57"/>
    </row>
    <row r="73" ht="16.5" spans="1:9">
      <c r="A73" s="34" t="e">
        <f>'【3-2】大区&amp;运营中心填-房间模型价'!#REF!</f>
        <v>#REF!</v>
      </c>
      <c r="B73" s="34" t="e">
        <f>'【3-2】大区&amp;运营中心填-房间模型价'!#REF!</f>
        <v>#REF!</v>
      </c>
      <c r="C73" s="56" t="e">
        <f>VLOOKUP(A73,'【3-2】大区&amp;运营中心填-房间模型价'!H:J,3,0)</f>
        <v>#REF!</v>
      </c>
      <c r="D73" s="13"/>
      <c r="E73" s="13"/>
      <c r="F73" s="13"/>
      <c r="G73" s="13"/>
      <c r="H73" s="13" t="e">
        <f t="shared" si="1"/>
        <v>#REF!</v>
      </c>
      <c r="I73" s="57"/>
    </row>
    <row r="74" ht="16.5" spans="1:9">
      <c r="A74" s="34" t="e">
        <f>'【3-2】大区&amp;运营中心填-房间模型价'!#REF!</f>
        <v>#REF!</v>
      </c>
      <c r="B74" s="34" t="e">
        <f>'【3-2】大区&amp;运营中心填-房间模型价'!#REF!</f>
        <v>#REF!</v>
      </c>
      <c r="C74" s="56" t="e">
        <f>VLOOKUP(A74,'【3-2】大区&amp;运营中心填-房间模型价'!H:J,3,0)</f>
        <v>#REF!</v>
      </c>
      <c r="D74" s="13"/>
      <c r="E74" s="13"/>
      <c r="F74" s="13"/>
      <c r="G74" s="13"/>
      <c r="H74" s="13" t="e">
        <f t="shared" si="1"/>
        <v>#REF!</v>
      </c>
      <c r="I74" s="57"/>
    </row>
    <row r="75" ht="16.5" spans="1:9">
      <c r="A75" s="34" t="e">
        <f>'【3-2】大区&amp;运营中心填-房间模型价'!#REF!</f>
        <v>#REF!</v>
      </c>
      <c r="B75" s="34" t="e">
        <f>'【3-2】大区&amp;运营中心填-房间模型价'!#REF!</f>
        <v>#REF!</v>
      </c>
      <c r="C75" s="56" t="e">
        <f>VLOOKUP(A75,'【3-2】大区&amp;运营中心填-房间模型价'!H:J,3,0)</f>
        <v>#REF!</v>
      </c>
      <c r="D75" s="13"/>
      <c r="E75" s="13"/>
      <c r="F75" s="13"/>
      <c r="G75" s="13"/>
      <c r="H75" s="13" t="e">
        <f t="shared" si="1"/>
        <v>#REF!</v>
      </c>
      <c r="I75" s="57"/>
    </row>
    <row r="76" ht="16.5" spans="1:9">
      <c r="A76" s="34" t="e">
        <f>'【3-2】大区&amp;运营中心填-房间模型价'!#REF!</f>
        <v>#REF!</v>
      </c>
      <c r="B76" s="34" t="e">
        <f>'【3-2】大区&amp;运营中心填-房间模型价'!#REF!</f>
        <v>#REF!</v>
      </c>
      <c r="C76" s="56" t="e">
        <f>VLOOKUP(A76,'【3-2】大区&amp;运营中心填-房间模型价'!H:J,3,0)</f>
        <v>#REF!</v>
      </c>
      <c r="D76" s="13"/>
      <c r="E76" s="13"/>
      <c r="F76" s="13"/>
      <c r="G76" s="13"/>
      <c r="H76" s="13" t="e">
        <f t="shared" si="1"/>
        <v>#REF!</v>
      </c>
      <c r="I76" s="57"/>
    </row>
    <row r="77" ht="16.5" spans="1:9">
      <c r="A77" s="34" t="e">
        <f>'【3-2】大区&amp;运营中心填-房间模型价'!#REF!</f>
        <v>#REF!</v>
      </c>
      <c r="B77" s="34" t="e">
        <f>'【3-2】大区&amp;运营中心填-房间模型价'!#REF!</f>
        <v>#REF!</v>
      </c>
      <c r="C77" s="56" t="e">
        <f>VLOOKUP(A77,'【3-2】大区&amp;运营中心填-房间模型价'!H:J,3,0)</f>
        <v>#REF!</v>
      </c>
      <c r="D77" s="13"/>
      <c r="E77" s="13"/>
      <c r="F77" s="13"/>
      <c r="G77" s="13"/>
      <c r="H77" s="13" t="e">
        <f t="shared" si="1"/>
        <v>#REF!</v>
      </c>
      <c r="I77" s="57"/>
    </row>
    <row r="78" ht="16.5" spans="1:9">
      <c r="A78" s="34" t="e">
        <f>'【3-2】大区&amp;运营中心填-房间模型价'!#REF!</f>
        <v>#REF!</v>
      </c>
      <c r="B78" s="34" t="e">
        <f>'【3-2】大区&amp;运营中心填-房间模型价'!#REF!</f>
        <v>#REF!</v>
      </c>
      <c r="C78" s="56" t="e">
        <f>VLOOKUP(A78,'【3-2】大区&amp;运营中心填-房间模型价'!H:J,3,0)</f>
        <v>#REF!</v>
      </c>
      <c r="D78" s="13"/>
      <c r="E78" s="13"/>
      <c r="F78" s="13"/>
      <c r="G78" s="13"/>
      <c r="H78" s="13" t="e">
        <f t="shared" si="1"/>
        <v>#REF!</v>
      </c>
      <c r="I78" s="57"/>
    </row>
    <row r="79" ht="16.5" spans="1:9">
      <c r="A79" s="34" t="e">
        <f>'【3-2】大区&amp;运营中心填-房间模型价'!#REF!</f>
        <v>#REF!</v>
      </c>
      <c r="B79" s="34" t="e">
        <f>'【3-2】大区&amp;运营中心填-房间模型价'!#REF!</f>
        <v>#REF!</v>
      </c>
      <c r="C79" s="56" t="e">
        <f>VLOOKUP(A79,'【3-2】大区&amp;运营中心填-房间模型价'!H:J,3,0)</f>
        <v>#REF!</v>
      </c>
      <c r="D79" s="13"/>
      <c r="E79" s="13"/>
      <c r="F79" s="13"/>
      <c r="G79" s="13"/>
      <c r="H79" s="13" t="e">
        <f t="shared" si="1"/>
        <v>#REF!</v>
      </c>
      <c r="I79" s="57"/>
    </row>
    <row r="80" ht="16.5" spans="1:9">
      <c r="A80" s="34" t="e">
        <f>'【3-2】大区&amp;运营中心填-房间模型价'!#REF!</f>
        <v>#REF!</v>
      </c>
      <c r="B80" s="34" t="e">
        <f>'【3-2】大区&amp;运营中心填-房间模型价'!#REF!</f>
        <v>#REF!</v>
      </c>
      <c r="C80" s="56" t="e">
        <f>VLOOKUP(A80,'【3-2】大区&amp;运营中心填-房间模型价'!H:J,3,0)</f>
        <v>#REF!</v>
      </c>
      <c r="D80" s="13"/>
      <c r="E80" s="13"/>
      <c r="F80" s="13"/>
      <c r="G80" s="13"/>
      <c r="H80" s="13" t="e">
        <f t="shared" si="1"/>
        <v>#REF!</v>
      </c>
      <c r="I80" s="57"/>
    </row>
    <row r="81" ht="16.5" spans="1:9">
      <c r="A81" s="34" t="e">
        <f>'【3-2】大区&amp;运营中心填-房间模型价'!#REF!</f>
        <v>#REF!</v>
      </c>
      <c r="B81" s="34" t="e">
        <f>'【3-2】大区&amp;运营中心填-房间模型价'!#REF!</f>
        <v>#REF!</v>
      </c>
      <c r="C81" s="56" t="e">
        <f>VLOOKUP(A81,'【3-2】大区&amp;运营中心填-房间模型价'!H:J,3,0)</f>
        <v>#REF!</v>
      </c>
      <c r="D81" s="13"/>
      <c r="E81" s="13"/>
      <c r="F81" s="13"/>
      <c r="G81" s="13"/>
      <c r="H81" s="13" t="e">
        <f t="shared" si="1"/>
        <v>#REF!</v>
      </c>
      <c r="I81" s="57"/>
    </row>
    <row r="82" ht="16.5" spans="1:9">
      <c r="A82" s="34" t="e">
        <f>'【3-2】大区&amp;运营中心填-房间模型价'!#REF!</f>
        <v>#REF!</v>
      </c>
      <c r="B82" s="34" t="e">
        <f>'【3-2】大区&amp;运营中心填-房间模型价'!#REF!</f>
        <v>#REF!</v>
      </c>
      <c r="C82" s="56" t="e">
        <f>VLOOKUP(A82,'【3-2】大区&amp;运营中心填-房间模型价'!H:J,3,0)</f>
        <v>#REF!</v>
      </c>
      <c r="D82" s="13"/>
      <c r="E82" s="13"/>
      <c r="F82" s="13"/>
      <c r="G82" s="13"/>
      <c r="H82" s="13" t="e">
        <f t="shared" si="1"/>
        <v>#REF!</v>
      </c>
      <c r="I82" s="57"/>
    </row>
    <row r="83" ht="16.5" spans="1:9">
      <c r="A83" s="34" t="e">
        <f>'【3-2】大区&amp;运营中心填-房间模型价'!#REF!</f>
        <v>#REF!</v>
      </c>
      <c r="B83" s="34" t="e">
        <f>'【3-2】大区&amp;运营中心填-房间模型价'!#REF!</f>
        <v>#REF!</v>
      </c>
      <c r="C83" s="56" t="e">
        <f>VLOOKUP(A83,'【3-2】大区&amp;运营中心填-房间模型价'!H:J,3,0)</f>
        <v>#REF!</v>
      </c>
      <c r="D83" s="13"/>
      <c r="E83" s="13"/>
      <c r="F83" s="13"/>
      <c r="G83" s="13"/>
      <c r="H83" s="13" t="e">
        <f t="shared" si="1"/>
        <v>#REF!</v>
      </c>
      <c r="I83" s="57"/>
    </row>
    <row r="84" ht="16.5" spans="1:9">
      <c r="A84" s="34" t="e">
        <f>'【3-2】大区&amp;运营中心填-房间模型价'!#REF!</f>
        <v>#REF!</v>
      </c>
      <c r="B84" s="34" t="e">
        <f>'【3-2】大区&amp;运营中心填-房间模型价'!#REF!</f>
        <v>#REF!</v>
      </c>
      <c r="C84" s="56" t="e">
        <f>VLOOKUP(A84,'【3-2】大区&amp;运营中心填-房间模型价'!H:J,3,0)</f>
        <v>#REF!</v>
      </c>
      <c r="D84" s="13"/>
      <c r="E84" s="13"/>
      <c r="F84" s="13"/>
      <c r="G84" s="13"/>
      <c r="H84" s="13" t="e">
        <f t="shared" si="1"/>
        <v>#REF!</v>
      </c>
      <c r="I84" s="57"/>
    </row>
    <row r="85" ht="16.5" spans="1:9">
      <c r="A85" s="34" t="e">
        <f>'【3-2】大区&amp;运营中心填-房间模型价'!#REF!</f>
        <v>#REF!</v>
      </c>
      <c r="B85" s="34" t="e">
        <f>'【3-2】大区&amp;运营中心填-房间模型价'!#REF!</f>
        <v>#REF!</v>
      </c>
      <c r="C85" s="56" t="e">
        <f>VLOOKUP(A85,'【3-2】大区&amp;运营中心填-房间模型价'!H:J,3,0)</f>
        <v>#REF!</v>
      </c>
      <c r="D85" s="13"/>
      <c r="E85" s="13"/>
      <c r="F85" s="13"/>
      <c r="G85" s="13"/>
      <c r="H85" s="13" t="e">
        <f t="shared" si="1"/>
        <v>#REF!</v>
      </c>
      <c r="I85" s="57"/>
    </row>
    <row r="86" ht="16.5" spans="1:9">
      <c r="A86" s="34" t="e">
        <f>'【3-2】大区&amp;运营中心填-房间模型价'!#REF!</f>
        <v>#REF!</v>
      </c>
      <c r="B86" s="34" t="e">
        <f>'【3-2】大区&amp;运营中心填-房间模型价'!#REF!</f>
        <v>#REF!</v>
      </c>
      <c r="C86" s="56" t="e">
        <f>VLOOKUP(A86,'【3-2】大区&amp;运营中心填-房间模型价'!H:J,3,0)</f>
        <v>#REF!</v>
      </c>
      <c r="D86" s="13"/>
      <c r="E86" s="13"/>
      <c r="F86" s="13"/>
      <c r="G86" s="13"/>
      <c r="H86" s="13" t="e">
        <f t="shared" si="1"/>
        <v>#REF!</v>
      </c>
      <c r="I86" s="57"/>
    </row>
    <row r="87" ht="16.5" spans="1:9">
      <c r="A87" s="34" t="e">
        <f>'【3-2】大区&amp;运营中心填-房间模型价'!#REF!</f>
        <v>#REF!</v>
      </c>
      <c r="B87" s="34" t="e">
        <f>'【3-2】大区&amp;运营中心填-房间模型价'!#REF!</f>
        <v>#REF!</v>
      </c>
      <c r="C87" s="56" t="e">
        <f>VLOOKUP(A87,'【3-2】大区&amp;运营中心填-房间模型价'!H:J,3,0)</f>
        <v>#REF!</v>
      </c>
      <c r="D87" s="13"/>
      <c r="E87" s="13"/>
      <c r="F87" s="13"/>
      <c r="G87" s="13"/>
      <c r="H87" s="13" t="e">
        <f t="shared" si="1"/>
        <v>#REF!</v>
      </c>
      <c r="I87" s="57"/>
    </row>
    <row r="88" ht="16.5" spans="1:9">
      <c r="A88" s="34" t="e">
        <f>'【3-2】大区&amp;运营中心填-房间模型价'!#REF!</f>
        <v>#REF!</v>
      </c>
      <c r="B88" s="34" t="e">
        <f>'【3-2】大区&amp;运营中心填-房间模型价'!#REF!</f>
        <v>#REF!</v>
      </c>
      <c r="C88" s="56" t="e">
        <f>VLOOKUP(A88,'【3-2】大区&amp;运营中心填-房间模型价'!H:J,3,0)</f>
        <v>#REF!</v>
      </c>
      <c r="D88" s="13"/>
      <c r="E88" s="13"/>
      <c r="F88" s="13"/>
      <c r="G88" s="13"/>
      <c r="H88" s="13" t="e">
        <f t="shared" si="1"/>
        <v>#REF!</v>
      </c>
      <c r="I88" s="57"/>
    </row>
    <row r="89" ht="16.5" spans="1:9">
      <c r="A89" s="34" t="e">
        <f>'【3-2】大区&amp;运营中心填-房间模型价'!#REF!</f>
        <v>#REF!</v>
      </c>
      <c r="B89" s="34" t="e">
        <f>'【3-2】大区&amp;运营中心填-房间模型价'!#REF!</f>
        <v>#REF!</v>
      </c>
      <c r="C89" s="56" t="e">
        <f>VLOOKUP(A89,'【3-2】大区&amp;运营中心填-房间模型价'!H:J,3,0)</f>
        <v>#REF!</v>
      </c>
      <c r="D89" s="13"/>
      <c r="E89" s="13"/>
      <c r="F89" s="13"/>
      <c r="G89" s="13"/>
      <c r="H89" s="13" t="e">
        <f t="shared" si="1"/>
        <v>#REF!</v>
      </c>
      <c r="I89" s="57"/>
    </row>
    <row r="90" ht="16.5" spans="1:9">
      <c r="A90" s="34" t="e">
        <f>'【3-2】大区&amp;运营中心填-房间模型价'!#REF!</f>
        <v>#REF!</v>
      </c>
      <c r="B90" s="34" t="e">
        <f>'【3-2】大区&amp;运营中心填-房间模型价'!#REF!</f>
        <v>#REF!</v>
      </c>
      <c r="C90" s="56" t="e">
        <f>VLOOKUP(A90,'【3-2】大区&amp;运营中心填-房间模型价'!H:J,3,0)</f>
        <v>#REF!</v>
      </c>
      <c r="D90" s="13"/>
      <c r="E90" s="13"/>
      <c r="F90" s="13"/>
      <c r="G90" s="13"/>
      <c r="H90" s="13" t="e">
        <f t="shared" si="1"/>
        <v>#REF!</v>
      </c>
      <c r="I90" s="57"/>
    </row>
    <row r="91" ht="16.5" spans="1:9">
      <c r="A91" s="34" t="e">
        <f>'【3-2】大区&amp;运营中心填-房间模型价'!#REF!</f>
        <v>#REF!</v>
      </c>
      <c r="B91" s="34" t="e">
        <f>'【3-2】大区&amp;运营中心填-房间模型价'!#REF!</f>
        <v>#REF!</v>
      </c>
      <c r="C91" s="56" t="e">
        <f>VLOOKUP(A91,'【3-2】大区&amp;运营中心填-房间模型价'!H:J,3,0)</f>
        <v>#REF!</v>
      </c>
      <c r="D91" s="13"/>
      <c r="E91" s="13"/>
      <c r="F91" s="13"/>
      <c r="G91" s="13"/>
      <c r="H91" s="13" t="e">
        <f t="shared" si="1"/>
        <v>#REF!</v>
      </c>
      <c r="I91" s="57"/>
    </row>
    <row r="92" ht="16.5" spans="1:9">
      <c r="A92" s="34" t="e">
        <f>'【3-2】大区&amp;运营中心填-房间模型价'!#REF!</f>
        <v>#REF!</v>
      </c>
      <c r="B92" s="34" t="e">
        <f>'【3-2】大区&amp;运营中心填-房间模型价'!#REF!</f>
        <v>#REF!</v>
      </c>
      <c r="C92" s="56" t="e">
        <f>VLOOKUP(A92,'【3-2】大区&amp;运营中心填-房间模型价'!H:J,3,0)</f>
        <v>#REF!</v>
      </c>
      <c r="D92" s="13"/>
      <c r="E92" s="13"/>
      <c r="F92" s="13"/>
      <c r="G92" s="13"/>
      <c r="H92" s="13" t="e">
        <f t="shared" si="1"/>
        <v>#REF!</v>
      </c>
      <c r="I92" s="57"/>
    </row>
    <row r="93" ht="16.5" spans="1:9">
      <c r="A93" s="34" t="e">
        <f>'【3-2】大区&amp;运营中心填-房间模型价'!#REF!</f>
        <v>#REF!</v>
      </c>
      <c r="B93" s="34" t="e">
        <f>'【3-2】大区&amp;运营中心填-房间模型价'!#REF!</f>
        <v>#REF!</v>
      </c>
      <c r="C93" s="56" t="e">
        <f>VLOOKUP(A93,'【3-2】大区&amp;运营中心填-房间模型价'!H:J,3,0)</f>
        <v>#REF!</v>
      </c>
      <c r="D93" s="13"/>
      <c r="E93" s="13"/>
      <c r="F93" s="13"/>
      <c r="G93" s="13"/>
      <c r="H93" s="13" t="e">
        <f t="shared" si="1"/>
        <v>#REF!</v>
      </c>
      <c r="I93" s="57"/>
    </row>
    <row r="94" ht="16.5" spans="1:9">
      <c r="A94" s="34" t="e">
        <f>'【3-2】大区&amp;运营中心填-房间模型价'!#REF!</f>
        <v>#REF!</v>
      </c>
      <c r="B94" s="34" t="e">
        <f>'【3-2】大区&amp;运营中心填-房间模型价'!#REF!</f>
        <v>#REF!</v>
      </c>
      <c r="C94" s="56" t="e">
        <f>VLOOKUP(A94,'【3-2】大区&amp;运营中心填-房间模型价'!H:J,3,0)</f>
        <v>#REF!</v>
      </c>
      <c r="D94" s="13"/>
      <c r="E94" s="13"/>
      <c r="F94" s="13"/>
      <c r="G94" s="13"/>
      <c r="H94" s="13" t="e">
        <f t="shared" si="1"/>
        <v>#REF!</v>
      </c>
      <c r="I94" s="57"/>
    </row>
    <row r="95" ht="16.5" spans="1:9">
      <c r="A95" s="34" t="e">
        <f>'【3-2】大区&amp;运营中心填-房间模型价'!#REF!</f>
        <v>#REF!</v>
      </c>
      <c r="B95" s="34" t="e">
        <f>'【3-2】大区&amp;运营中心填-房间模型价'!#REF!</f>
        <v>#REF!</v>
      </c>
      <c r="C95" s="56" t="e">
        <f>VLOOKUP(A95,'【3-2】大区&amp;运营中心填-房间模型价'!H:J,3,0)</f>
        <v>#REF!</v>
      </c>
      <c r="D95" s="13"/>
      <c r="E95" s="13"/>
      <c r="F95" s="13"/>
      <c r="G95" s="13"/>
      <c r="H95" s="13" t="e">
        <f t="shared" si="1"/>
        <v>#REF!</v>
      </c>
      <c r="I95" s="57"/>
    </row>
    <row r="96" ht="16.5" spans="1:9">
      <c r="A96" s="34" t="e">
        <f>'【3-2】大区&amp;运营中心填-房间模型价'!#REF!</f>
        <v>#REF!</v>
      </c>
      <c r="B96" s="34" t="e">
        <f>'【3-2】大区&amp;运营中心填-房间模型价'!#REF!</f>
        <v>#REF!</v>
      </c>
      <c r="C96" s="56" t="e">
        <f>VLOOKUP(A96,'【3-2】大区&amp;运营中心填-房间模型价'!H:J,3,0)</f>
        <v>#REF!</v>
      </c>
      <c r="D96" s="13"/>
      <c r="E96" s="13"/>
      <c r="F96" s="13"/>
      <c r="G96" s="13"/>
      <c r="H96" s="13" t="e">
        <f t="shared" si="1"/>
        <v>#REF!</v>
      </c>
      <c r="I96" s="57"/>
    </row>
    <row r="97" ht="16.5" spans="1:9">
      <c r="A97" s="34" t="e">
        <f>'【3-2】大区&amp;运营中心填-房间模型价'!#REF!</f>
        <v>#REF!</v>
      </c>
      <c r="B97" s="34" t="e">
        <f>'【3-2】大区&amp;运营中心填-房间模型价'!#REF!</f>
        <v>#REF!</v>
      </c>
      <c r="C97" s="56" t="e">
        <f>VLOOKUP(A97,'【3-2】大区&amp;运营中心填-房间模型价'!H:J,3,0)</f>
        <v>#REF!</v>
      </c>
      <c r="D97" s="13"/>
      <c r="E97" s="13"/>
      <c r="F97" s="13"/>
      <c r="G97" s="13"/>
      <c r="H97" s="13" t="e">
        <f t="shared" si="1"/>
        <v>#REF!</v>
      </c>
      <c r="I97" s="57"/>
    </row>
    <row r="98" ht="16.5" spans="1:9">
      <c r="A98" s="34" t="e">
        <f>'【3-2】大区&amp;运营中心填-房间模型价'!#REF!</f>
        <v>#REF!</v>
      </c>
      <c r="B98" s="34" t="e">
        <f>'【3-2】大区&amp;运营中心填-房间模型价'!#REF!</f>
        <v>#REF!</v>
      </c>
      <c r="C98" s="56" t="e">
        <f>VLOOKUP(A98,'【3-2】大区&amp;运营中心填-房间模型价'!H:J,3,0)</f>
        <v>#REF!</v>
      </c>
      <c r="D98" s="13"/>
      <c r="E98" s="13"/>
      <c r="F98" s="13"/>
      <c r="G98" s="13"/>
      <c r="H98" s="13" t="e">
        <f t="shared" si="1"/>
        <v>#REF!</v>
      </c>
      <c r="I98" s="57"/>
    </row>
    <row r="99" ht="16.5" spans="1:9">
      <c r="A99" s="34" t="e">
        <f>'【3-2】大区&amp;运营中心填-房间模型价'!#REF!</f>
        <v>#REF!</v>
      </c>
      <c r="B99" s="34" t="e">
        <f>'【3-2】大区&amp;运营中心填-房间模型价'!#REF!</f>
        <v>#REF!</v>
      </c>
      <c r="C99" s="56" t="e">
        <f>VLOOKUP(A99,'【3-2】大区&amp;运营中心填-房间模型价'!H:J,3,0)</f>
        <v>#REF!</v>
      </c>
      <c r="D99" s="13"/>
      <c r="E99" s="13"/>
      <c r="F99" s="13"/>
      <c r="G99" s="13"/>
      <c r="H99" s="13" t="e">
        <f t="shared" si="1"/>
        <v>#REF!</v>
      </c>
      <c r="I99" s="57"/>
    </row>
    <row r="100" ht="16.5" spans="1:9">
      <c r="A100" s="34" t="e">
        <f>'【3-2】大区&amp;运营中心填-房间模型价'!#REF!</f>
        <v>#REF!</v>
      </c>
      <c r="B100" s="34" t="e">
        <f>'【3-2】大区&amp;运营中心填-房间模型价'!#REF!</f>
        <v>#REF!</v>
      </c>
      <c r="C100" s="56" t="e">
        <f>VLOOKUP(A100,'【3-2】大区&amp;运营中心填-房间模型价'!H:J,3,0)</f>
        <v>#REF!</v>
      </c>
      <c r="D100" s="13"/>
      <c r="E100" s="13"/>
      <c r="F100" s="13"/>
      <c r="G100" s="13"/>
      <c r="H100" s="13" t="e">
        <f t="shared" si="1"/>
        <v>#REF!</v>
      </c>
      <c r="I100" s="57"/>
    </row>
    <row r="101" ht="16.5" spans="1:9">
      <c r="A101" s="34" t="e">
        <f>'【3-2】大区&amp;运营中心填-房间模型价'!#REF!</f>
        <v>#REF!</v>
      </c>
      <c r="B101" s="34" t="e">
        <f>'【3-2】大区&amp;运营中心填-房间模型价'!#REF!</f>
        <v>#REF!</v>
      </c>
      <c r="C101" s="56" t="e">
        <f>VLOOKUP(A101,'【3-2】大区&amp;运营中心填-房间模型价'!H:J,3,0)</f>
        <v>#REF!</v>
      </c>
      <c r="D101" s="13"/>
      <c r="E101" s="13"/>
      <c r="F101" s="13"/>
      <c r="G101" s="13"/>
      <c r="H101" s="13" t="e">
        <f t="shared" si="1"/>
        <v>#REF!</v>
      </c>
      <c r="I101" s="57"/>
    </row>
    <row r="102" ht="16.5" spans="1:9">
      <c r="A102" s="34" t="e">
        <f>'【3-2】大区&amp;运营中心填-房间模型价'!#REF!</f>
        <v>#REF!</v>
      </c>
      <c r="B102" s="34" t="e">
        <f>'【3-2】大区&amp;运营中心填-房间模型价'!#REF!</f>
        <v>#REF!</v>
      </c>
      <c r="C102" s="56" t="e">
        <f>VLOOKUP(A102,'【3-2】大区&amp;运营中心填-房间模型价'!H:J,3,0)</f>
        <v>#REF!</v>
      </c>
      <c r="D102" s="13"/>
      <c r="E102" s="13"/>
      <c r="F102" s="13"/>
      <c r="G102" s="13"/>
      <c r="H102" s="13" t="e">
        <f t="shared" si="1"/>
        <v>#REF!</v>
      </c>
      <c r="I102" s="57"/>
    </row>
    <row r="103" ht="16.5" spans="1:9">
      <c r="A103" s="34" t="e">
        <f>'【3-2】大区&amp;运营中心填-房间模型价'!#REF!</f>
        <v>#REF!</v>
      </c>
      <c r="B103" s="34" t="e">
        <f>'【3-2】大区&amp;运营中心填-房间模型价'!#REF!</f>
        <v>#REF!</v>
      </c>
      <c r="C103" s="56" t="e">
        <f>VLOOKUP(A103,'【3-2】大区&amp;运营中心填-房间模型价'!H:J,3,0)</f>
        <v>#REF!</v>
      </c>
      <c r="D103" s="13"/>
      <c r="E103" s="13"/>
      <c r="F103" s="13"/>
      <c r="G103" s="13"/>
      <c r="H103" s="13" t="e">
        <f t="shared" si="1"/>
        <v>#REF!</v>
      </c>
      <c r="I103" s="57"/>
    </row>
    <row r="104" ht="16.5" spans="1:9">
      <c r="A104" s="34" t="e">
        <f>'【3-2】大区&amp;运营中心填-房间模型价'!#REF!</f>
        <v>#REF!</v>
      </c>
      <c r="B104" s="34" t="e">
        <f>'【3-2】大区&amp;运营中心填-房间模型价'!#REF!</f>
        <v>#REF!</v>
      </c>
      <c r="C104" s="56" t="e">
        <f>VLOOKUP(A104,'【3-2】大区&amp;运营中心填-房间模型价'!H:J,3,0)</f>
        <v>#REF!</v>
      </c>
      <c r="D104" s="13"/>
      <c r="E104" s="13"/>
      <c r="F104" s="13"/>
      <c r="G104" s="13"/>
      <c r="H104" s="13" t="e">
        <f t="shared" si="1"/>
        <v>#REF!</v>
      </c>
      <c r="I104" s="57"/>
    </row>
    <row r="105" ht="16.5" spans="1:9">
      <c r="A105" s="34" t="e">
        <f>'【3-2】大区&amp;运营中心填-房间模型价'!#REF!</f>
        <v>#REF!</v>
      </c>
      <c r="B105" s="34" t="e">
        <f>'【3-2】大区&amp;运营中心填-房间模型价'!#REF!</f>
        <v>#REF!</v>
      </c>
      <c r="C105" s="56" t="e">
        <f>VLOOKUP(A105,'【3-2】大区&amp;运营中心填-房间模型价'!H:J,3,0)</f>
        <v>#REF!</v>
      </c>
      <c r="D105" s="13"/>
      <c r="E105" s="13"/>
      <c r="F105" s="13"/>
      <c r="G105" s="13"/>
      <c r="H105" s="13" t="e">
        <f t="shared" si="1"/>
        <v>#REF!</v>
      </c>
      <c r="I105" s="57"/>
    </row>
    <row r="106" ht="16.5" spans="1:9">
      <c r="A106" s="34" t="e">
        <f>'【3-2】大区&amp;运营中心填-房间模型价'!#REF!</f>
        <v>#REF!</v>
      </c>
      <c r="B106" s="34" t="e">
        <f>'【3-2】大区&amp;运营中心填-房间模型价'!#REF!</f>
        <v>#REF!</v>
      </c>
      <c r="C106" s="56" t="e">
        <f>VLOOKUP(A106,'【3-2】大区&amp;运营中心填-房间模型价'!H:J,3,0)</f>
        <v>#REF!</v>
      </c>
      <c r="D106" s="13"/>
      <c r="E106" s="13"/>
      <c r="F106" s="13"/>
      <c r="G106" s="13"/>
      <c r="H106" s="13" t="e">
        <f t="shared" si="1"/>
        <v>#REF!</v>
      </c>
      <c r="I106" s="57"/>
    </row>
    <row r="107" ht="16.5" spans="1:9">
      <c r="A107" s="34" t="e">
        <f>'【3-2】大区&amp;运营中心填-房间模型价'!#REF!</f>
        <v>#REF!</v>
      </c>
      <c r="B107" s="34" t="e">
        <f>'【3-2】大区&amp;运营中心填-房间模型价'!#REF!</f>
        <v>#REF!</v>
      </c>
      <c r="C107" s="56" t="e">
        <f>VLOOKUP(A107,'【3-2】大区&amp;运营中心填-房间模型价'!H:J,3,0)</f>
        <v>#REF!</v>
      </c>
      <c r="D107" s="13"/>
      <c r="E107" s="13"/>
      <c r="F107" s="13"/>
      <c r="G107" s="13"/>
      <c r="H107" s="13" t="e">
        <f t="shared" si="1"/>
        <v>#REF!</v>
      </c>
      <c r="I107" s="57"/>
    </row>
    <row r="108" ht="16.5" spans="1:9">
      <c r="A108" s="34" t="e">
        <f>'【3-2】大区&amp;运营中心填-房间模型价'!#REF!</f>
        <v>#REF!</v>
      </c>
      <c r="B108" s="34" t="e">
        <f>'【3-2】大区&amp;运营中心填-房间模型价'!#REF!</f>
        <v>#REF!</v>
      </c>
      <c r="C108" s="56" t="e">
        <f>VLOOKUP(A108,'【3-2】大区&amp;运营中心填-房间模型价'!H:J,3,0)</f>
        <v>#REF!</v>
      </c>
      <c r="D108" s="13"/>
      <c r="E108" s="13"/>
      <c r="F108" s="13"/>
      <c r="G108" s="13"/>
      <c r="H108" s="13" t="e">
        <f t="shared" si="1"/>
        <v>#REF!</v>
      </c>
      <c r="I108" s="57"/>
    </row>
    <row r="109" ht="16.5" spans="1:9">
      <c r="A109" s="34" t="e">
        <f>'【3-2】大区&amp;运营中心填-房间模型价'!#REF!</f>
        <v>#REF!</v>
      </c>
      <c r="B109" s="34" t="e">
        <f>'【3-2】大区&amp;运营中心填-房间模型价'!#REF!</f>
        <v>#REF!</v>
      </c>
      <c r="C109" s="56" t="e">
        <f>VLOOKUP(A109,'【3-2】大区&amp;运营中心填-房间模型价'!H:J,3,0)</f>
        <v>#REF!</v>
      </c>
      <c r="D109" s="13"/>
      <c r="E109" s="13"/>
      <c r="F109" s="13"/>
      <c r="G109" s="13"/>
      <c r="H109" s="13" t="e">
        <f t="shared" si="1"/>
        <v>#REF!</v>
      </c>
      <c r="I109" s="57"/>
    </row>
    <row r="110" ht="16.5" spans="1:9">
      <c r="A110" s="34" t="e">
        <f>'【3-2】大区&amp;运营中心填-房间模型价'!#REF!</f>
        <v>#REF!</v>
      </c>
      <c r="B110" s="34" t="e">
        <f>'【3-2】大区&amp;运营中心填-房间模型价'!#REF!</f>
        <v>#REF!</v>
      </c>
      <c r="C110" s="56" t="e">
        <f>VLOOKUP(A110,'【3-2】大区&amp;运营中心填-房间模型价'!H:J,3,0)</f>
        <v>#REF!</v>
      </c>
      <c r="D110" s="13"/>
      <c r="E110" s="13"/>
      <c r="F110" s="13"/>
      <c r="G110" s="13"/>
      <c r="H110" s="13" t="e">
        <f t="shared" si="1"/>
        <v>#REF!</v>
      </c>
      <c r="I110" s="57"/>
    </row>
    <row r="111" ht="16.5" spans="1:9">
      <c r="A111" s="34" t="e">
        <f>'【3-2】大区&amp;运营中心填-房间模型价'!#REF!</f>
        <v>#REF!</v>
      </c>
      <c r="B111" s="34" t="e">
        <f>'【3-2】大区&amp;运营中心填-房间模型价'!#REF!</f>
        <v>#REF!</v>
      </c>
      <c r="C111" s="56" t="e">
        <f>VLOOKUP(A111,'【3-2】大区&amp;运营中心填-房间模型价'!H:J,3,0)</f>
        <v>#REF!</v>
      </c>
      <c r="D111" s="13"/>
      <c r="E111" s="13"/>
      <c r="F111" s="13"/>
      <c r="G111" s="13"/>
      <c r="H111" s="13" t="e">
        <f t="shared" si="1"/>
        <v>#REF!</v>
      </c>
      <c r="I111" s="57"/>
    </row>
    <row r="112" ht="16.5" spans="1:9">
      <c r="A112" s="34" t="e">
        <f>'【3-2】大区&amp;运营中心填-房间模型价'!#REF!</f>
        <v>#REF!</v>
      </c>
      <c r="B112" s="34" t="e">
        <f>'【3-2】大区&amp;运营中心填-房间模型价'!#REF!</f>
        <v>#REF!</v>
      </c>
      <c r="C112" s="56" t="e">
        <f>VLOOKUP(A112,'【3-2】大区&amp;运营中心填-房间模型价'!H:J,3,0)</f>
        <v>#REF!</v>
      </c>
      <c r="D112" s="13"/>
      <c r="E112" s="13"/>
      <c r="F112" s="13"/>
      <c r="G112" s="13"/>
      <c r="H112" s="13" t="e">
        <f t="shared" si="1"/>
        <v>#REF!</v>
      </c>
      <c r="I112" s="57"/>
    </row>
    <row r="113" ht="16.5" spans="1:9">
      <c r="A113" s="34" t="e">
        <f>'【3-2】大区&amp;运营中心填-房间模型价'!#REF!</f>
        <v>#REF!</v>
      </c>
      <c r="B113" s="34" t="e">
        <f>'【3-2】大区&amp;运营中心填-房间模型价'!#REF!</f>
        <v>#REF!</v>
      </c>
      <c r="C113" s="56" t="e">
        <f>VLOOKUP(A113,'【3-2】大区&amp;运营中心填-房间模型价'!H:J,3,0)</f>
        <v>#REF!</v>
      </c>
      <c r="D113" s="13"/>
      <c r="E113" s="13"/>
      <c r="F113" s="13"/>
      <c r="G113" s="13"/>
      <c r="H113" s="13" t="e">
        <f t="shared" si="1"/>
        <v>#REF!</v>
      </c>
      <c r="I113" s="57"/>
    </row>
    <row r="114" ht="16.5" spans="1:9">
      <c r="A114" s="34" t="e">
        <f>'【3-2】大区&amp;运营中心填-房间模型价'!#REF!</f>
        <v>#REF!</v>
      </c>
      <c r="B114" s="34" t="e">
        <f>'【3-2】大区&amp;运营中心填-房间模型价'!#REF!</f>
        <v>#REF!</v>
      </c>
      <c r="C114" s="56" t="e">
        <f>VLOOKUP(A114,'【3-2】大区&amp;运营中心填-房间模型价'!H:J,3,0)</f>
        <v>#REF!</v>
      </c>
      <c r="D114" s="13"/>
      <c r="E114" s="13"/>
      <c r="F114" s="13"/>
      <c r="G114" s="13"/>
      <c r="H114" s="13" t="e">
        <f t="shared" si="1"/>
        <v>#REF!</v>
      </c>
      <c r="I114" s="57"/>
    </row>
    <row r="115" ht="16.5" spans="1:9">
      <c r="A115" s="34" t="e">
        <f>'【3-2】大区&amp;运营中心填-房间模型价'!#REF!</f>
        <v>#REF!</v>
      </c>
      <c r="B115" s="34" t="e">
        <f>'【3-2】大区&amp;运营中心填-房间模型价'!#REF!</f>
        <v>#REF!</v>
      </c>
      <c r="C115" s="56" t="e">
        <f>VLOOKUP(A115,'【3-2】大区&amp;运营中心填-房间模型价'!H:J,3,0)</f>
        <v>#REF!</v>
      </c>
      <c r="D115" s="13"/>
      <c r="E115" s="13"/>
      <c r="F115" s="13"/>
      <c r="G115" s="13"/>
      <c r="H115" s="13" t="e">
        <f t="shared" si="1"/>
        <v>#REF!</v>
      </c>
      <c r="I115" s="57"/>
    </row>
    <row r="116" ht="16.5" spans="1:9">
      <c r="A116" s="34" t="e">
        <f>'【3-2】大区&amp;运营中心填-房间模型价'!#REF!</f>
        <v>#REF!</v>
      </c>
      <c r="B116" s="34" t="e">
        <f>'【3-2】大区&amp;运营中心填-房间模型价'!#REF!</f>
        <v>#REF!</v>
      </c>
      <c r="C116" s="56" t="e">
        <f>VLOOKUP(A116,'【3-2】大区&amp;运营中心填-房间模型价'!H:J,3,0)</f>
        <v>#REF!</v>
      </c>
      <c r="D116" s="13"/>
      <c r="E116" s="13"/>
      <c r="F116" s="13"/>
      <c r="G116" s="13"/>
      <c r="H116" s="13" t="e">
        <f t="shared" si="1"/>
        <v>#REF!</v>
      </c>
      <c r="I116" s="57"/>
    </row>
    <row r="117" ht="16.5" spans="1:9">
      <c r="A117" s="34" t="e">
        <f>'【3-2】大区&amp;运营中心填-房间模型价'!#REF!</f>
        <v>#REF!</v>
      </c>
      <c r="B117" s="34" t="e">
        <f>'【3-2】大区&amp;运营中心填-房间模型价'!#REF!</f>
        <v>#REF!</v>
      </c>
      <c r="C117" s="56" t="e">
        <f>VLOOKUP(A117,'【3-2】大区&amp;运营中心填-房间模型价'!H:J,3,0)</f>
        <v>#REF!</v>
      </c>
      <c r="D117" s="13"/>
      <c r="E117" s="13"/>
      <c r="F117" s="13"/>
      <c r="G117" s="13"/>
      <c r="H117" s="13" t="e">
        <f t="shared" si="1"/>
        <v>#REF!</v>
      </c>
      <c r="I117" s="57"/>
    </row>
    <row r="118" ht="16.5" spans="1:9">
      <c r="A118" s="34">
        <f>'【3-2】大区&amp;运营中心填-房间模型价'!H42</f>
        <v>0</v>
      </c>
      <c r="B118" s="34">
        <f>'【3-2】大区&amp;运营中心填-房间模型价'!I42</f>
        <v>0</v>
      </c>
      <c r="C118" s="56" t="e">
        <f>VLOOKUP(A118,'【3-2】大区&amp;运营中心填-房间模型价'!H:J,3,0)</f>
        <v>#N/A</v>
      </c>
      <c r="D118" s="13"/>
      <c r="E118" s="13"/>
      <c r="F118" s="13"/>
      <c r="G118" s="13"/>
      <c r="H118" s="13" t="e">
        <f t="shared" si="1"/>
        <v>#N/A</v>
      </c>
      <c r="I118" s="57"/>
    </row>
    <row r="119" ht="16.5" spans="1:9">
      <c r="A119" s="34">
        <f>'【3-2】大区&amp;运营中心填-房间模型价'!H43</f>
        <v>0</v>
      </c>
      <c r="B119" s="34">
        <f>'【3-2】大区&amp;运营中心填-房间模型价'!I43</f>
        <v>0</v>
      </c>
      <c r="C119" s="56" t="e">
        <f>VLOOKUP(A119,'【3-2】大区&amp;运营中心填-房间模型价'!H:J,3,0)</f>
        <v>#N/A</v>
      </c>
      <c r="D119" s="13"/>
      <c r="E119" s="13"/>
      <c r="F119" s="13"/>
      <c r="G119" s="13"/>
      <c r="H119" s="13" t="e">
        <f t="shared" si="1"/>
        <v>#N/A</v>
      </c>
      <c r="I119" s="57"/>
    </row>
    <row r="120" ht="16.5" spans="1:9">
      <c r="A120" s="34">
        <f>'【3-2】大区&amp;运营中心填-房间模型价'!H44</f>
        <v>0</v>
      </c>
      <c r="B120" s="34">
        <f>'【3-2】大区&amp;运营中心填-房间模型价'!I44</f>
        <v>0</v>
      </c>
      <c r="C120" s="56" t="e">
        <f>VLOOKUP(A120,'【3-2】大区&amp;运营中心填-房间模型价'!H:J,3,0)</f>
        <v>#N/A</v>
      </c>
      <c r="D120" s="13"/>
      <c r="E120" s="13"/>
      <c r="F120" s="13"/>
      <c r="G120" s="13"/>
      <c r="H120" s="13" t="e">
        <f t="shared" si="1"/>
        <v>#N/A</v>
      </c>
      <c r="I120" s="57"/>
    </row>
    <row r="121" ht="16.5" spans="1:9">
      <c r="A121" s="34">
        <f>'【3-2】大区&amp;运营中心填-房间模型价'!H45</f>
        <v>0</v>
      </c>
      <c r="B121" s="34">
        <f>'【3-2】大区&amp;运营中心填-房间模型价'!I45</f>
        <v>0</v>
      </c>
      <c r="C121" s="56" t="e">
        <f>VLOOKUP(A121,'【3-2】大区&amp;运营中心填-房间模型价'!H:J,3,0)</f>
        <v>#N/A</v>
      </c>
      <c r="D121" s="13"/>
      <c r="E121" s="13"/>
      <c r="F121" s="13"/>
      <c r="G121" s="13"/>
      <c r="H121" s="13" t="e">
        <f t="shared" si="1"/>
        <v>#N/A</v>
      </c>
      <c r="I121" s="57"/>
    </row>
    <row r="122" ht="16.5" spans="1:9">
      <c r="A122" s="34">
        <f>'【3-2】大区&amp;运营中心填-房间模型价'!H46</f>
        <v>0</v>
      </c>
      <c r="B122" s="34">
        <f>'【3-2】大区&amp;运营中心填-房间模型价'!I46</f>
        <v>0</v>
      </c>
      <c r="C122" s="56" t="e">
        <f>VLOOKUP(A122,'【3-2】大区&amp;运营中心填-房间模型价'!H:J,3,0)</f>
        <v>#N/A</v>
      </c>
      <c r="D122" s="13"/>
      <c r="E122" s="13"/>
      <c r="F122" s="13"/>
      <c r="G122" s="13"/>
      <c r="H122" s="13" t="e">
        <f t="shared" si="1"/>
        <v>#N/A</v>
      </c>
      <c r="I122" s="57"/>
    </row>
    <row r="123" ht="16.5" spans="1:9">
      <c r="A123" s="34">
        <f>'【3-2】大区&amp;运营中心填-房间模型价'!H47</f>
        <v>0</v>
      </c>
      <c r="B123" s="34">
        <f>'【3-2】大区&amp;运营中心填-房间模型价'!I47</f>
        <v>0</v>
      </c>
      <c r="C123" s="56" t="e">
        <f>VLOOKUP(A123,'【3-2】大区&amp;运营中心填-房间模型价'!H:J,3,0)</f>
        <v>#N/A</v>
      </c>
      <c r="D123" s="13"/>
      <c r="E123" s="13"/>
      <c r="F123" s="13"/>
      <c r="G123" s="13"/>
      <c r="H123" s="13" t="e">
        <f t="shared" si="1"/>
        <v>#N/A</v>
      </c>
      <c r="I123" s="57"/>
    </row>
    <row r="124" ht="16.5" spans="1:9">
      <c r="A124" s="34">
        <f>'【3-2】大区&amp;运营中心填-房间模型价'!H48</f>
        <v>0</v>
      </c>
      <c r="B124" s="34">
        <f>'【3-2】大区&amp;运营中心填-房间模型价'!I48</f>
        <v>0</v>
      </c>
      <c r="C124" s="56" t="e">
        <f>VLOOKUP(A124,'【3-2】大区&amp;运营中心填-房间模型价'!H:J,3,0)</f>
        <v>#N/A</v>
      </c>
      <c r="D124" s="13"/>
      <c r="E124" s="13"/>
      <c r="F124" s="13"/>
      <c r="G124" s="13"/>
      <c r="H124" s="13" t="e">
        <f t="shared" si="1"/>
        <v>#N/A</v>
      </c>
      <c r="I124" s="57"/>
    </row>
    <row r="125" ht="16.5" spans="1:9">
      <c r="A125" s="34">
        <f>'【3-2】大区&amp;运营中心填-房间模型价'!H49</f>
        <v>0</v>
      </c>
      <c r="B125" s="34">
        <f>'【3-2】大区&amp;运营中心填-房间模型价'!I49</f>
        <v>0</v>
      </c>
      <c r="C125" s="56" t="e">
        <f>VLOOKUP(A125,'【3-2】大区&amp;运营中心填-房间模型价'!H:J,3,0)</f>
        <v>#N/A</v>
      </c>
      <c r="D125" s="13"/>
      <c r="E125" s="13"/>
      <c r="F125" s="13"/>
      <c r="G125" s="13"/>
      <c r="H125" s="13" t="e">
        <f t="shared" si="1"/>
        <v>#N/A</v>
      </c>
      <c r="I125" s="57"/>
    </row>
    <row r="126" ht="16.5" spans="1:9">
      <c r="A126" s="34">
        <f>'【3-2】大区&amp;运营中心填-房间模型价'!H50</f>
        <v>0</v>
      </c>
      <c r="B126" s="34">
        <f>'【3-2】大区&amp;运营中心填-房间模型价'!I50</f>
        <v>0</v>
      </c>
      <c r="C126" s="56" t="e">
        <f>VLOOKUP(A126,'【3-2】大区&amp;运营中心填-房间模型价'!H:J,3,0)</f>
        <v>#N/A</v>
      </c>
      <c r="D126" s="13"/>
      <c r="E126" s="13"/>
      <c r="F126" s="13"/>
      <c r="G126" s="13"/>
      <c r="H126" s="13" t="e">
        <f t="shared" si="1"/>
        <v>#N/A</v>
      </c>
      <c r="I126" s="57"/>
    </row>
    <row r="127" ht="16.5" spans="1:9">
      <c r="A127" s="34">
        <f>'【3-2】大区&amp;运营中心填-房间模型价'!H51</f>
        <v>0</v>
      </c>
      <c r="B127" s="34">
        <f>'【3-2】大区&amp;运营中心填-房间模型价'!I51</f>
        <v>0</v>
      </c>
      <c r="C127" s="56" t="e">
        <f>VLOOKUP(A127,'【3-2】大区&amp;运营中心填-房间模型价'!H:J,3,0)</f>
        <v>#N/A</v>
      </c>
      <c r="D127" s="13"/>
      <c r="E127" s="13"/>
      <c r="F127" s="13"/>
      <c r="G127" s="13"/>
      <c r="H127" s="13" t="e">
        <f t="shared" si="1"/>
        <v>#N/A</v>
      </c>
      <c r="I127" s="57"/>
    </row>
    <row r="128" ht="16.5" spans="1:9">
      <c r="A128" s="34">
        <f>'【3-2】大区&amp;运营中心填-房间模型价'!H52</f>
        <v>0</v>
      </c>
      <c r="B128" s="34">
        <f>'【3-2】大区&amp;运营中心填-房间模型价'!I52</f>
        <v>0</v>
      </c>
      <c r="C128" s="56" t="e">
        <f>VLOOKUP(A128,'【3-2】大区&amp;运营中心填-房间模型价'!H:J,3,0)</f>
        <v>#N/A</v>
      </c>
      <c r="D128" s="13"/>
      <c r="E128" s="13"/>
      <c r="F128" s="13"/>
      <c r="G128" s="13"/>
      <c r="H128" s="13" t="e">
        <f t="shared" si="1"/>
        <v>#N/A</v>
      </c>
      <c r="I128" s="57"/>
    </row>
    <row r="129" ht="16.5" spans="1:9">
      <c r="A129" s="34">
        <f>'【3-2】大区&amp;运营中心填-房间模型价'!H53</f>
        <v>0</v>
      </c>
      <c r="B129" s="34">
        <f>'【3-2】大区&amp;运营中心填-房间模型价'!I53</f>
        <v>0</v>
      </c>
      <c r="C129" s="56" t="e">
        <f>VLOOKUP(A129,'【3-2】大区&amp;运营中心填-房间模型价'!H:J,3,0)</f>
        <v>#N/A</v>
      </c>
      <c r="D129" s="13"/>
      <c r="E129" s="13"/>
      <c r="F129" s="13"/>
      <c r="G129" s="13"/>
      <c r="H129" s="13" t="e">
        <f t="shared" si="1"/>
        <v>#N/A</v>
      </c>
      <c r="I129" s="57"/>
    </row>
    <row r="130" ht="16.5" spans="1:9">
      <c r="A130" s="34">
        <f>'【3-2】大区&amp;运营中心填-房间模型价'!H54</f>
        <v>0</v>
      </c>
      <c r="B130" s="34">
        <f>'【3-2】大区&amp;运营中心填-房间模型价'!I54</f>
        <v>0</v>
      </c>
      <c r="C130" s="56" t="e">
        <f>VLOOKUP(A130,'【3-2】大区&amp;运营中心填-房间模型价'!H:J,3,0)</f>
        <v>#N/A</v>
      </c>
      <c r="D130" s="13"/>
      <c r="E130" s="13"/>
      <c r="F130" s="13"/>
      <c r="G130" s="13"/>
      <c r="H130" s="13" t="e">
        <f t="shared" si="1"/>
        <v>#N/A</v>
      </c>
      <c r="I130" s="57"/>
    </row>
    <row r="131" ht="16.5" spans="1:9">
      <c r="A131" s="34">
        <f>'【3-2】大区&amp;运营中心填-房间模型价'!H55</f>
        <v>0</v>
      </c>
      <c r="B131" s="34">
        <f>'【3-2】大区&amp;运营中心填-房间模型价'!I55</f>
        <v>0</v>
      </c>
      <c r="C131" s="56" t="e">
        <f>VLOOKUP(A131,'【3-2】大区&amp;运营中心填-房间模型价'!H:J,3,0)</f>
        <v>#N/A</v>
      </c>
      <c r="D131" s="13"/>
      <c r="E131" s="13"/>
      <c r="F131" s="13"/>
      <c r="G131" s="13"/>
      <c r="H131" s="13" t="e">
        <f t="shared" si="1"/>
        <v>#N/A</v>
      </c>
      <c r="I131" s="57"/>
    </row>
    <row r="132" ht="16.5" spans="1:9">
      <c r="A132" s="34">
        <f>'【3-2】大区&amp;运营中心填-房间模型价'!H56</f>
        <v>0</v>
      </c>
      <c r="B132" s="34">
        <f>'【3-2】大区&amp;运营中心填-房间模型价'!I56</f>
        <v>0</v>
      </c>
      <c r="C132" s="56" t="e">
        <f>VLOOKUP(A132,'【3-2】大区&amp;运营中心填-房间模型价'!H:J,3,0)</f>
        <v>#N/A</v>
      </c>
      <c r="D132" s="13"/>
      <c r="E132" s="13"/>
      <c r="F132" s="13"/>
      <c r="G132" s="13"/>
      <c r="H132" s="13" t="e">
        <f t="shared" ref="H132:H193" si="2">IF(C132="开间",IF(D132+E132*2-G132&lt;=0,"1",IF(D132+E132*2-G132&lt;=1,"2",IF(D132+E132*2-G132&lt;=2,"3",IF(D132+E132*2-G132&lt;=3,"4","5")))),IF(D132+E132*2-G132&lt;1.1,"1",IF(D132+E132*2-G132&lt;=2,"2",IF(D132+E132*2-G132&lt;=3,"3",IF(D132+E132*2-G132&lt;=4,"4","5")))))</f>
        <v>#N/A</v>
      </c>
      <c r="I132" s="57"/>
    </row>
    <row r="133" ht="16.5" spans="1:9">
      <c r="A133" s="34">
        <f>'【3-2】大区&amp;运营中心填-房间模型价'!H57</f>
        <v>0</v>
      </c>
      <c r="B133" s="34">
        <f>'【3-2】大区&amp;运营中心填-房间模型价'!I57</f>
        <v>0</v>
      </c>
      <c r="C133" s="56" t="e">
        <f>VLOOKUP(A133,'【3-2】大区&amp;运营中心填-房间模型价'!H:J,3,0)</f>
        <v>#N/A</v>
      </c>
      <c r="D133" s="13"/>
      <c r="E133" s="13"/>
      <c r="F133" s="13"/>
      <c r="G133" s="13"/>
      <c r="H133" s="13" t="e">
        <f t="shared" si="2"/>
        <v>#N/A</v>
      </c>
      <c r="I133" s="57"/>
    </row>
    <row r="134" ht="16.5" spans="1:9">
      <c r="A134" s="34">
        <f>'【3-2】大区&amp;运营中心填-房间模型价'!H58</f>
        <v>0</v>
      </c>
      <c r="B134" s="34">
        <f>'【3-2】大区&amp;运营中心填-房间模型价'!I58</f>
        <v>0</v>
      </c>
      <c r="C134" s="56" t="e">
        <f>VLOOKUP(A134,'【3-2】大区&amp;运营中心填-房间模型价'!H:J,3,0)</f>
        <v>#N/A</v>
      </c>
      <c r="D134" s="13"/>
      <c r="E134" s="13"/>
      <c r="F134" s="13"/>
      <c r="G134" s="13"/>
      <c r="H134" s="13" t="e">
        <f t="shared" si="2"/>
        <v>#N/A</v>
      </c>
      <c r="I134" s="57"/>
    </row>
    <row r="135" ht="16.5" spans="1:9">
      <c r="A135" s="34">
        <f>'【3-2】大区&amp;运营中心填-房间模型价'!H59</f>
        <v>0</v>
      </c>
      <c r="B135" s="34">
        <f>'【3-2】大区&amp;运营中心填-房间模型价'!I59</f>
        <v>0</v>
      </c>
      <c r="C135" s="56" t="e">
        <f>VLOOKUP(A135,'【3-2】大区&amp;运营中心填-房间模型价'!H:J,3,0)</f>
        <v>#N/A</v>
      </c>
      <c r="D135" s="13"/>
      <c r="E135" s="13"/>
      <c r="F135" s="13"/>
      <c r="G135" s="13"/>
      <c r="H135" s="13" t="e">
        <f t="shared" si="2"/>
        <v>#N/A</v>
      </c>
      <c r="I135" s="57"/>
    </row>
    <row r="136" ht="16.5" spans="1:9">
      <c r="A136" s="34">
        <f>'【3-2】大区&amp;运营中心填-房间模型价'!H60</f>
        <v>0</v>
      </c>
      <c r="B136" s="34">
        <f>'【3-2】大区&amp;运营中心填-房间模型价'!I60</f>
        <v>0</v>
      </c>
      <c r="C136" s="56" t="e">
        <f>VLOOKUP(A136,'【3-2】大区&amp;运营中心填-房间模型价'!H:J,3,0)</f>
        <v>#N/A</v>
      </c>
      <c r="D136" s="13"/>
      <c r="E136" s="13"/>
      <c r="F136" s="13"/>
      <c r="G136" s="13"/>
      <c r="H136" s="13" t="e">
        <f t="shared" si="2"/>
        <v>#N/A</v>
      </c>
      <c r="I136" s="57"/>
    </row>
    <row r="137" ht="16.5" spans="1:9">
      <c r="A137" s="34">
        <f>'【3-2】大区&amp;运营中心填-房间模型价'!H61</f>
        <v>0</v>
      </c>
      <c r="B137" s="34">
        <f>'【3-2】大区&amp;运营中心填-房间模型价'!I61</f>
        <v>0</v>
      </c>
      <c r="C137" s="56" t="e">
        <f>VLOOKUP(A137,'【3-2】大区&amp;运营中心填-房间模型价'!H:J,3,0)</f>
        <v>#N/A</v>
      </c>
      <c r="D137" s="13"/>
      <c r="E137" s="13"/>
      <c r="F137" s="13"/>
      <c r="G137" s="13"/>
      <c r="H137" s="13" t="e">
        <f t="shared" si="2"/>
        <v>#N/A</v>
      </c>
      <c r="I137" s="57"/>
    </row>
    <row r="138" ht="16.5" spans="1:9">
      <c r="A138" s="34">
        <f>'【3-2】大区&amp;运营中心填-房间模型价'!H62</f>
        <v>0</v>
      </c>
      <c r="B138" s="34">
        <f>'【3-2】大区&amp;运营中心填-房间模型价'!I62</f>
        <v>0</v>
      </c>
      <c r="C138" s="56" t="e">
        <f>VLOOKUP(A138,'【3-2】大区&amp;运营中心填-房间模型价'!H:J,3,0)</f>
        <v>#N/A</v>
      </c>
      <c r="D138" s="13"/>
      <c r="E138" s="13"/>
      <c r="F138" s="13"/>
      <c r="G138" s="13"/>
      <c r="H138" s="13" t="e">
        <f t="shared" si="2"/>
        <v>#N/A</v>
      </c>
      <c r="I138" s="57"/>
    </row>
    <row r="139" ht="16.5" spans="1:9">
      <c r="A139" s="34">
        <f>'【3-2】大区&amp;运营中心填-房间模型价'!H63</f>
        <v>0</v>
      </c>
      <c r="B139" s="34">
        <f>'【3-2】大区&amp;运营中心填-房间模型价'!I63</f>
        <v>0</v>
      </c>
      <c r="C139" s="56" t="e">
        <f>VLOOKUP(A139,'【3-2】大区&amp;运营中心填-房间模型价'!H:J,3,0)</f>
        <v>#N/A</v>
      </c>
      <c r="D139" s="13"/>
      <c r="E139" s="13"/>
      <c r="F139" s="13"/>
      <c r="G139" s="13"/>
      <c r="H139" s="13" t="e">
        <f t="shared" si="2"/>
        <v>#N/A</v>
      </c>
      <c r="I139" s="57"/>
    </row>
    <row r="140" ht="16.5" spans="1:9">
      <c r="A140" s="34">
        <f>'【3-2】大区&amp;运营中心填-房间模型价'!H64</f>
        <v>0</v>
      </c>
      <c r="B140" s="34">
        <f>'【3-2】大区&amp;运营中心填-房间模型价'!I64</f>
        <v>0</v>
      </c>
      <c r="C140" s="56" t="e">
        <f>VLOOKUP(A140,'【3-2】大区&amp;运营中心填-房间模型价'!H:J,3,0)</f>
        <v>#N/A</v>
      </c>
      <c r="D140" s="13"/>
      <c r="E140" s="13"/>
      <c r="F140" s="13"/>
      <c r="G140" s="13"/>
      <c r="H140" s="13" t="e">
        <f t="shared" si="2"/>
        <v>#N/A</v>
      </c>
      <c r="I140" s="57"/>
    </row>
    <row r="141" ht="16.5" spans="1:9">
      <c r="A141" s="34">
        <f>'【3-2】大区&amp;运营中心填-房间模型价'!H65</f>
        <v>0</v>
      </c>
      <c r="B141" s="34">
        <f>'【3-2】大区&amp;运营中心填-房间模型价'!I65</f>
        <v>0</v>
      </c>
      <c r="C141" s="56" t="e">
        <f>VLOOKUP(A141,'【3-2】大区&amp;运营中心填-房间模型价'!H:J,3,0)</f>
        <v>#N/A</v>
      </c>
      <c r="D141" s="13"/>
      <c r="E141" s="13"/>
      <c r="F141" s="13"/>
      <c r="G141" s="13"/>
      <c r="H141" s="13" t="e">
        <f t="shared" si="2"/>
        <v>#N/A</v>
      </c>
      <c r="I141" s="57"/>
    </row>
    <row r="142" ht="16.5" spans="1:9">
      <c r="A142" s="34">
        <f>'【3-2】大区&amp;运营中心填-房间模型价'!H66</f>
        <v>0</v>
      </c>
      <c r="B142" s="34">
        <f>'【3-2】大区&amp;运营中心填-房间模型价'!I66</f>
        <v>0</v>
      </c>
      <c r="C142" s="56" t="e">
        <f>VLOOKUP(A142,'【3-2】大区&amp;运营中心填-房间模型价'!H:J,3,0)</f>
        <v>#N/A</v>
      </c>
      <c r="D142" s="13"/>
      <c r="E142" s="13"/>
      <c r="F142" s="13"/>
      <c r="G142" s="13"/>
      <c r="H142" s="13" t="e">
        <f t="shared" si="2"/>
        <v>#N/A</v>
      </c>
      <c r="I142" s="57"/>
    </row>
    <row r="143" ht="16.5" spans="1:9">
      <c r="A143" s="34">
        <f>'【3-2】大区&amp;运营中心填-房间模型价'!H67</f>
        <v>0</v>
      </c>
      <c r="B143" s="34">
        <f>'【3-2】大区&amp;运营中心填-房间模型价'!I67</f>
        <v>0</v>
      </c>
      <c r="C143" s="56" t="e">
        <f>VLOOKUP(A143,'【3-2】大区&amp;运营中心填-房间模型价'!H:J,3,0)</f>
        <v>#N/A</v>
      </c>
      <c r="D143" s="13"/>
      <c r="E143" s="13"/>
      <c r="F143" s="13"/>
      <c r="G143" s="13"/>
      <c r="H143" s="13" t="e">
        <f t="shared" si="2"/>
        <v>#N/A</v>
      </c>
      <c r="I143" s="57"/>
    </row>
    <row r="144" ht="16.5" spans="1:9">
      <c r="A144" s="34">
        <f>'【3-2】大区&amp;运营中心填-房间模型价'!H68</f>
        <v>0</v>
      </c>
      <c r="B144" s="34">
        <f>'【3-2】大区&amp;运营中心填-房间模型价'!I68</f>
        <v>0</v>
      </c>
      <c r="C144" s="56" t="e">
        <f>VLOOKUP(A144,'【3-2】大区&amp;运营中心填-房间模型价'!H:J,3,0)</f>
        <v>#N/A</v>
      </c>
      <c r="D144" s="13"/>
      <c r="E144" s="13"/>
      <c r="F144" s="13"/>
      <c r="G144" s="13"/>
      <c r="H144" s="13" t="e">
        <f t="shared" si="2"/>
        <v>#N/A</v>
      </c>
      <c r="I144" s="57"/>
    </row>
    <row r="145" ht="16.5" spans="1:9">
      <c r="A145" s="34">
        <f>'【3-2】大区&amp;运营中心填-房间模型价'!H69</f>
        <v>0</v>
      </c>
      <c r="B145" s="34">
        <f>'【3-2】大区&amp;运营中心填-房间模型价'!I69</f>
        <v>0</v>
      </c>
      <c r="C145" s="56" t="e">
        <f>VLOOKUP(A145,'【3-2】大区&amp;运营中心填-房间模型价'!H:J,3,0)</f>
        <v>#N/A</v>
      </c>
      <c r="D145" s="13"/>
      <c r="E145" s="13"/>
      <c r="F145" s="13"/>
      <c r="G145" s="13"/>
      <c r="H145" s="13" t="e">
        <f t="shared" si="2"/>
        <v>#N/A</v>
      </c>
      <c r="I145" s="57"/>
    </row>
    <row r="146" ht="16.5" spans="1:9">
      <c r="A146" s="34">
        <f>'【3-2】大区&amp;运营中心填-房间模型价'!H70</f>
        <v>0</v>
      </c>
      <c r="B146" s="34">
        <f>'【3-2】大区&amp;运营中心填-房间模型价'!I70</f>
        <v>0</v>
      </c>
      <c r="C146" s="56" t="e">
        <f>VLOOKUP(A146,'【3-2】大区&amp;运营中心填-房间模型价'!H:J,3,0)</f>
        <v>#N/A</v>
      </c>
      <c r="D146" s="13"/>
      <c r="E146" s="13"/>
      <c r="F146" s="13"/>
      <c r="G146" s="13"/>
      <c r="H146" s="13" t="e">
        <f t="shared" si="2"/>
        <v>#N/A</v>
      </c>
      <c r="I146" s="57"/>
    </row>
    <row r="147" ht="16.5" spans="1:9">
      <c r="A147" s="34">
        <f>'【3-2】大区&amp;运营中心填-房间模型价'!H71</f>
        <v>0</v>
      </c>
      <c r="B147" s="34">
        <f>'【3-2】大区&amp;运营中心填-房间模型价'!I71</f>
        <v>0</v>
      </c>
      <c r="C147" s="56" t="e">
        <f>VLOOKUP(A147,'【3-2】大区&amp;运营中心填-房间模型价'!H:J,3,0)</f>
        <v>#N/A</v>
      </c>
      <c r="D147" s="13"/>
      <c r="E147" s="13"/>
      <c r="F147" s="13"/>
      <c r="G147" s="13"/>
      <c r="H147" s="13" t="e">
        <f t="shared" si="2"/>
        <v>#N/A</v>
      </c>
      <c r="I147" s="57"/>
    </row>
    <row r="148" ht="16.5" spans="1:9">
      <c r="A148" s="34">
        <f>'【3-2】大区&amp;运营中心填-房间模型价'!H72</f>
        <v>0</v>
      </c>
      <c r="B148" s="34">
        <f>'【3-2】大区&amp;运营中心填-房间模型价'!I72</f>
        <v>0</v>
      </c>
      <c r="C148" s="56" t="e">
        <f>VLOOKUP(A148,'【3-2】大区&amp;运营中心填-房间模型价'!H:J,3,0)</f>
        <v>#N/A</v>
      </c>
      <c r="D148" s="13"/>
      <c r="E148" s="13"/>
      <c r="F148" s="13"/>
      <c r="G148" s="13"/>
      <c r="H148" s="13" t="e">
        <f t="shared" si="2"/>
        <v>#N/A</v>
      </c>
      <c r="I148" s="57"/>
    </row>
    <row r="149" ht="16.5" spans="1:9">
      <c r="A149" s="34">
        <f>'【3-2】大区&amp;运营中心填-房间模型价'!H73</f>
        <v>0</v>
      </c>
      <c r="B149" s="34">
        <f>'【3-2】大区&amp;运营中心填-房间模型价'!I73</f>
        <v>0</v>
      </c>
      <c r="C149" s="56" t="e">
        <f>VLOOKUP(A149,'【3-2】大区&amp;运营中心填-房间模型价'!H:J,3,0)</f>
        <v>#N/A</v>
      </c>
      <c r="D149" s="13"/>
      <c r="E149" s="13"/>
      <c r="F149" s="13"/>
      <c r="G149" s="13"/>
      <c r="H149" s="13" t="e">
        <f t="shared" si="2"/>
        <v>#N/A</v>
      </c>
      <c r="I149" s="57"/>
    </row>
    <row r="150" ht="16.5" spans="1:9">
      <c r="A150" s="34">
        <f>'【3-2】大区&amp;运营中心填-房间模型价'!H74</f>
        <v>0</v>
      </c>
      <c r="B150" s="34">
        <f>'【3-2】大区&amp;运营中心填-房间模型价'!I74</f>
        <v>0</v>
      </c>
      <c r="C150" s="56" t="e">
        <f>VLOOKUP(A150,'【3-2】大区&amp;运营中心填-房间模型价'!H:J,3,0)</f>
        <v>#N/A</v>
      </c>
      <c r="D150" s="13"/>
      <c r="E150" s="13"/>
      <c r="F150" s="13"/>
      <c r="G150" s="13"/>
      <c r="H150" s="13" t="e">
        <f t="shared" si="2"/>
        <v>#N/A</v>
      </c>
      <c r="I150" s="57"/>
    </row>
    <row r="151" ht="16.5" spans="1:9">
      <c r="A151" s="34">
        <f>'【3-2】大区&amp;运营中心填-房间模型价'!H75</f>
        <v>0</v>
      </c>
      <c r="B151" s="34">
        <f>'【3-2】大区&amp;运营中心填-房间模型价'!I75</f>
        <v>0</v>
      </c>
      <c r="C151" s="56" t="e">
        <f>VLOOKUP(A151,'【3-2】大区&amp;运营中心填-房间模型价'!H:J,3,0)</f>
        <v>#N/A</v>
      </c>
      <c r="D151" s="13"/>
      <c r="E151" s="13"/>
      <c r="F151" s="13"/>
      <c r="G151" s="13"/>
      <c r="H151" s="13" t="e">
        <f t="shared" si="2"/>
        <v>#N/A</v>
      </c>
      <c r="I151" s="57"/>
    </row>
    <row r="152" ht="16.5" spans="1:9">
      <c r="A152" s="34">
        <f>'【3-2】大区&amp;运营中心填-房间模型价'!H76</f>
        <v>0</v>
      </c>
      <c r="B152" s="34">
        <f>'【3-2】大区&amp;运营中心填-房间模型价'!I76</f>
        <v>0</v>
      </c>
      <c r="C152" s="56" t="e">
        <f>VLOOKUP(A152,'【3-2】大区&amp;运营中心填-房间模型价'!H:J,3,0)</f>
        <v>#N/A</v>
      </c>
      <c r="D152" s="13"/>
      <c r="E152" s="13"/>
      <c r="F152" s="13"/>
      <c r="G152" s="13"/>
      <c r="H152" s="13" t="e">
        <f t="shared" si="2"/>
        <v>#N/A</v>
      </c>
      <c r="I152" s="57"/>
    </row>
    <row r="153" ht="16.5" spans="1:9">
      <c r="A153" s="34">
        <f>'【3-2】大区&amp;运营中心填-房间模型价'!H77</f>
        <v>0</v>
      </c>
      <c r="B153" s="34">
        <f>'【3-2】大区&amp;运营中心填-房间模型价'!I77</f>
        <v>0</v>
      </c>
      <c r="C153" s="56" t="e">
        <f>VLOOKUP(A153,'【3-2】大区&amp;运营中心填-房间模型价'!H:J,3,0)</f>
        <v>#N/A</v>
      </c>
      <c r="D153" s="13"/>
      <c r="E153" s="13"/>
      <c r="F153" s="13"/>
      <c r="G153" s="13"/>
      <c r="H153" s="13" t="e">
        <f t="shared" si="2"/>
        <v>#N/A</v>
      </c>
      <c r="I153" s="57"/>
    </row>
    <row r="154" ht="16.5" spans="1:9">
      <c r="A154" s="34">
        <f>'【3-2】大区&amp;运营中心填-房间模型价'!H78</f>
        <v>0</v>
      </c>
      <c r="B154" s="34">
        <f>'【3-2】大区&amp;运营中心填-房间模型价'!I78</f>
        <v>0</v>
      </c>
      <c r="C154" s="56" t="e">
        <f>VLOOKUP(A154,'【3-2】大区&amp;运营中心填-房间模型价'!H:J,3,0)</f>
        <v>#N/A</v>
      </c>
      <c r="D154" s="13"/>
      <c r="E154" s="13"/>
      <c r="F154" s="13"/>
      <c r="G154" s="13"/>
      <c r="H154" s="13" t="e">
        <f t="shared" si="2"/>
        <v>#N/A</v>
      </c>
      <c r="I154" s="57"/>
    </row>
    <row r="155" ht="16.5" spans="1:9">
      <c r="A155" s="34">
        <f>'【3-2】大区&amp;运营中心填-房间模型价'!H79</f>
        <v>0</v>
      </c>
      <c r="B155" s="34">
        <f>'【3-2】大区&amp;运营中心填-房间模型价'!I79</f>
        <v>0</v>
      </c>
      <c r="C155" s="56" t="e">
        <f>VLOOKUP(A155,'【3-2】大区&amp;运营中心填-房间模型价'!H:J,3,0)</f>
        <v>#N/A</v>
      </c>
      <c r="D155" s="13"/>
      <c r="E155" s="13"/>
      <c r="F155" s="13"/>
      <c r="G155" s="13"/>
      <c r="H155" s="13" t="e">
        <f t="shared" si="2"/>
        <v>#N/A</v>
      </c>
      <c r="I155" s="57"/>
    </row>
    <row r="156" ht="16.5" spans="1:9">
      <c r="A156" s="34">
        <f>'【3-2】大区&amp;运营中心填-房间模型价'!H80</f>
        <v>0</v>
      </c>
      <c r="B156" s="34">
        <f>'【3-2】大区&amp;运营中心填-房间模型价'!I80</f>
        <v>0</v>
      </c>
      <c r="C156" s="56" t="e">
        <f>VLOOKUP(A156,'【3-2】大区&amp;运营中心填-房间模型价'!H:J,3,0)</f>
        <v>#N/A</v>
      </c>
      <c r="D156" s="13"/>
      <c r="E156" s="13"/>
      <c r="F156" s="13"/>
      <c r="G156" s="13"/>
      <c r="H156" s="13" t="e">
        <f t="shared" si="2"/>
        <v>#N/A</v>
      </c>
      <c r="I156" s="57"/>
    </row>
    <row r="157" ht="16.5" spans="1:9">
      <c r="A157" s="34">
        <f>'【3-2】大区&amp;运营中心填-房间模型价'!H81</f>
        <v>0</v>
      </c>
      <c r="B157" s="34">
        <f>'【3-2】大区&amp;运营中心填-房间模型价'!I81</f>
        <v>0</v>
      </c>
      <c r="C157" s="56" t="e">
        <f>VLOOKUP(A157,'【3-2】大区&amp;运营中心填-房间模型价'!H:J,3,0)</f>
        <v>#N/A</v>
      </c>
      <c r="D157" s="13"/>
      <c r="E157" s="13"/>
      <c r="F157" s="13"/>
      <c r="G157" s="13"/>
      <c r="H157" s="13" t="e">
        <f t="shared" si="2"/>
        <v>#N/A</v>
      </c>
      <c r="I157" s="57"/>
    </row>
    <row r="158" ht="16.5" spans="1:9">
      <c r="A158" s="34">
        <f>'【3-2】大区&amp;运营中心填-房间模型价'!H82</f>
        <v>0</v>
      </c>
      <c r="B158" s="34">
        <f>'【3-2】大区&amp;运营中心填-房间模型价'!I82</f>
        <v>0</v>
      </c>
      <c r="C158" s="56" t="e">
        <f>VLOOKUP(A158,'【3-2】大区&amp;运营中心填-房间模型价'!H:J,3,0)</f>
        <v>#N/A</v>
      </c>
      <c r="D158" s="13"/>
      <c r="E158" s="13"/>
      <c r="F158" s="13"/>
      <c r="G158" s="13"/>
      <c r="H158" s="13" t="e">
        <f t="shared" si="2"/>
        <v>#N/A</v>
      </c>
      <c r="I158" s="57"/>
    </row>
    <row r="159" ht="16.5" spans="1:9">
      <c r="A159" s="34">
        <f>'【3-2】大区&amp;运营中心填-房间模型价'!H83</f>
        <v>0</v>
      </c>
      <c r="B159" s="34">
        <f>'【3-2】大区&amp;运营中心填-房间模型价'!I83</f>
        <v>0</v>
      </c>
      <c r="C159" s="56" t="e">
        <f>VLOOKUP(A159,'【3-2】大区&amp;运营中心填-房间模型价'!H:J,3,0)</f>
        <v>#N/A</v>
      </c>
      <c r="D159" s="13"/>
      <c r="E159" s="13"/>
      <c r="F159" s="13"/>
      <c r="G159" s="13"/>
      <c r="H159" s="13" t="e">
        <f t="shared" si="2"/>
        <v>#N/A</v>
      </c>
      <c r="I159" s="57"/>
    </row>
    <row r="160" ht="16.5" spans="1:9">
      <c r="A160" s="34">
        <f>'【3-2】大区&amp;运营中心填-房间模型价'!H84</f>
        <v>0</v>
      </c>
      <c r="B160" s="34">
        <f>'【3-2】大区&amp;运营中心填-房间模型价'!I84</f>
        <v>0</v>
      </c>
      <c r="C160" s="56" t="e">
        <f>VLOOKUP(A160,'【3-2】大区&amp;运营中心填-房间模型价'!H:J,3,0)</f>
        <v>#N/A</v>
      </c>
      <c r="D160" s="13"/>
      <c r="E160" s="13"/>
      <c r="F160" s="13"/>
      <c r="G160" s="13"/>
      <c r="H160" s="13" t="e">
        <f t="shared" si="2"/>
        <v>#N/A</v>
      </c>
      <c r="I160" s="57"/>
    </row>
    <row r="161" ht="16.5" spans="1:9">
      <c r="A161" s="34">
        <f>'【3-2】大区&amp;运营中心填-房间模型价'!H85</f>
        <v>0</v>
      </c>
      <c r="B161" s="34">
        <f>'【3-2】大区&amp;运营中心填-房间模型价'!I85</f>
        <v>0</v>
      </c>
      <c r="C161" s="56" t="e">
        <f>VLOOKUP(A161,'【3-2】大区&amp;运营中心填-房间模型价'!H:J,3,0)</f>
        <v>#N/A</v>
      </c>
      <c r="D161" s="13"/>
      <c r="E161" s="13"/>
      <c r="F161" s="13"/>
      <c r="G161" s="13"/>
      <c r="H161" s="13" t="e">
        <f t="shared" si="2"/>
        <v>#N/A</v>
      </c>
      <c r="I161" s="57"/>
    </row>
    <row r="162" ht="16.5" spans="1:9">
      <c r="A162" s="34">
        <f>'【3-2】大区&amp;运营中心填-房间模型价'!H86</f>
        <v>0</v>
      </c>
      <c r="B162" s="34">
        <f>'【3-2】大区&amp;运营中心填-房间模型价'!I86</f>
        <v>0</v>
      </c>
      <c r="C162" s="56" t="e">
        <f>VLOOKUP(A162,'【3-2】大区&amp;运营中心填-房间模型价'!H:J,3,0)</f>
        <v>#N/A</v>
      </c>
      <c r="D162" s="13"/>
      <c r="E162" s="13"/>
      <c r="F162" s="13"/>
      <c r="G162" s="13"/>
      <c r="H162" s="13" t="e">
        <f t="shared" si="2"/>
        <v>#N/A</v>
      </c>
      <c r="I162" s="57"/>
    </row>
    <row r="163" ht="16.5" spans="1:9">
      <c r="A163" s="34">
        <f>'【3-2】大区&amp;运营中心填-房间模型价'!H87</f>
        <v>0</v>
      </c>
      <c r="B163" s="34">
        <f>'【3-2】大区&amp;运营中心填-房间模型价'!I87</f>
        <v>0</v>
      </c>
      <c r="C163" s="56" t="e">
        <f>VLOOKUP(A163,'【3-2】大区&amp;运营中心填-房间模型价'!H:J,3,0)</f>
        <v>#N/A</v>
      </c>
      <c r="D163" s="13"/>
      <c r="E163" s="13"/>
      <c r="F163" s="13"/>
      <c r="G163" s="13"/>
      <c r="H163" s="13" t="e">
        <f t="shared" si="2"/>
        <v>#N/A</v>
      </c>
      <c r="I163" s="57"/>
    </row>
    <row r="164" ht="16.5" spans="1:9">
      <c r="A164" s="34">
        <f>'【3-2】大区&amp;运营中心填-房间模型价'!H88</f>
        <v>0</v>
      </c>
      <c r="B164" s="34">
        <f>'【3-2】大区&amp;运营中心填-房间模型价'!I88</f>
        <v>0</v>
      </c>
      <c r="C164" s="56" t="e">
        <f>VLOOKUP(A164,'【3-2】大区&amp;运营中心填-房间模型价'!H:J,3,0)</f>
        <v>#N/A</v>
      </c>
      <c r="D164" s="13"/>
      <c r="E164" s="13"/>
      <c r="F164" s="13"/>
      <c r="G164" s="13"/>
      <c r="H164" s="13" t="e">
        <f t="shared" si="2"/>
        <v>#N/A</v>
      </c>
      <c r="I164" s="57"/>
    </row>
    <row r="165" ht="16.5" spans="1:9">
      <c r="A165" s="34">
        <f>'【3-2】大区&amp;运营中心填-房间模型价'!H89</f>
        <v>0</v>
      </c>
      <c r="B165" s="34">
        <f>'【3-2】大区&amp;运营中心填-房间模型价'!I89</f>
        <v>0</v>
      </c>
      <c r="C165" s="56" t="e">
        <f>VLOOKUP(A165,'【3-2】大区&amp;运营中心填-房间模型价'!H:J,3,0)</f>
        <v>#N/A</v>
      </c>
      <c r="D165" s="13"/>
      <c r="E165" s="13"/>
      <c r="F165" s="13"/>
      <c r="G165" s="13"/>
      <c r="H165" s="13" t="e">
        <f t="shared" si="2"/>
        <v>#N/A</v>
      </c>
      <c r="I165" s="57"/>
    </row>
    <row r="166" ht="16.5" spans="1:9">
      <c r="A166" s="34">
        <f>'【3-2】大区&amp;运营中心填-房间模型价'!H90</f>
        <v>0</v>
      </c>
      <c r="B166" s="34">
        <f>'【3-2】大区&amp;运营中心填-房间模型价'!I90</f>
        <v>0</v>
      </c>
      <c r="C166" s="56" t="e">
        <f>VLOOKUP(A166,'【3-2】大区&amp;运营中心填-房间模型价'!H:J,3,0)</f>
        <v>#N/A</v>
      </c>
      <c r="D166" s="13"/>
      <c r="E166" s="13"/>
      <c r="F166" s="13"/>
      <c r="G166" s="13"/>
      <c r="H166" s="13" t="e">
        <f t="shared" si="2"/>
        <v>#N/A</v>
      </c>
      <c r="I166" s="57"/>
    </row>
    <row r="167" ht="16.5" spans="1:9">
      <c r="A167" s="34">
        <f>'【3-2】大区&amp;运营中心填-房间模型价'!H91</f>
        <v>0</v>
      </c>
      <c r="B167" s="34">
        <f>'【3-2】大区&amp;运营中心填-房间模型价'!I91</f>
        <v>0</v>
      </c>
      <c r="C167" s="56" t="e">
        <f>VLOOKUP(A167,'【3-2】大区&amp;运营中心填-房间模型价'!H:J,3,0)</f>
        <v>#N/A</v>
      </c>
      <c r="D167" s="13"/>
      <c r="E167" s="13"/>
      <c r="F167" s="13"/>
      <c r="G167" s="13"/>
      <c r="H167" s="13" t="e">
        <f t="shared" si="2"/>
        <v>#N/A</v>
      </c>
      <c r="I167" s="57"/>
    </row>
    <row r="168" ht="16.5" spans="1:9">
      <c r="A168" s="34">
        <f>'【3-2】大区&amp;运营中心填-房间模型价'!H92</f>
        <v>0</v>
      </c>
      <c r="B168" s="34">
        <f>'【3-2】大区&amp;运营中心填-房间模型价'!I92</f>
        <v>0</v>
      </c>
      <c r="C168" s="56" t="e">
        <f>VLOOKUP(A168,'【3-2】大区&amp;运营中心填-房间模型价'!H:J,3,0)</f>
        <v>#N/A</v>
      </c>
      <c r="D168" s="13"/>
      <c r="E168" s="13"/>
      <c r="F168" s="13"/>
      <c r="G168" s="13"/>
      <c r="H168" s="13" t="e">
        <f t="shared" si="2"/>
        <v>#N/A</v>
      </c>
      <c r="I168" s="57"/>
    </row>
    <row r="169" ht="16.5" spans="1:9">
      <c r="A169" s="34">
        <f>'【3-2】大区&amp;运营中心填-房间模型价'!H93</f>
        <v>0</v>
      </c>
      <c r="B169" s="34">
        <f>'【3-2】大区&amp;运营中心填-房间模型价'!I93</f>
        <v>0</v>
      </c>
      <c r="C169" s="56" t="e">
        <f>VLOOKUP(A169,'【3-2】大区&amp;运营中心填-房间模型价'!H:J,3,0)</f>
        <v>#N/A</v>
      </c>
      <c r="D169" s="13"/>
      <c r="E169" s="13"/>
      <c r="F169" s="13"/>
      <c r="G169" s="13"/>
      <c r="H169" s="13" t="e">
        <f t="shared" si="2"/>
        <v>#N/A</v>
      </c>
      <c r="I169" s="57"/>
    </row>
    <row r="170" ht="16.5" spans="1:9">
      <c r="A170" s="34">
        <f>'【3-2】大区&amp;运营中心填-房间模型价'!H94</f>
        <v>0</v>
      </c>
      <c r="B170" s="34">
        <f>'【3-2】大区&amp;运营中心填-房间模型价'!I94</f>
        <v>0</v>
      </c>
      <c r="C170" s="56" t="e">
        <f>VLOOKUP(A170,'【3-2】大区&amp;运营中心填-房间模型价'!H:J,3,0)</f>
        <v>#N/A</v>
      </c>
      <c r="D170" s="13"/>
      <c r="E170" s="13"/>
      <c r="F170" s="13"/>
      <c r="G170" s="13"/>
      <c r="H170" s="13" t="e">
        <f t="shared" si="2"/>
        <v>#N/A</v>
      </c>
      <c r="I170" s="57"/>
    </row>
    <row r="171" ht="16.5" spans="1:9">
      <c r="A171" s="34">
        <f>'【3-2】大区&amp;运营中心填-房间模型价'!H95</f>
        <v>0</v>
      </c>
      <c r="B171" s="34">
        <f>'【3-2】大区&amp;运营中心填-房间模型价'!I95</f>
        <v>0</v>
      </c>
      <c r="C171" s="56" t="e">
        <f>VLOOKUP(A171,'【3-2】大区&amp;运营中心填-房间模型价'!H:J,3,0)</f>
        <v>#N/A</v>
      </c>
      <c r="D171" s="13"/>
      <c r="E171" s="13"/>
      <c r="F171" s="13"/>
      <c r="G171" s="13"/>
      <c r="H171" s="13" t="e">
        <f t="shared" si="2"/>
        <v>#N/A</v>
      </c>
      <c r="I171" s="57"/>
    </row>
    <row r="172" ht="16.5" spans="1:9">
      <c r="A172" s="34">
        <f>'【3-2】大区&amp;运营中心填-房间模型价'!H96</f>
        <v>0</v>
      </c>
      <c r="B172" s="34">
        <f>'【3-2】大区&amp;运营中心填-房间模型价'!I96</f>
        <v>0</v>
      </c>
      <c r="C172" s="56" t="e">
        <f>VLOOKUP(A172,'【3-2】大区&amp;运营中心填-房间模型价'!H:J,3,0)</f>
        <v>#N/A</v>
      </c>
      <c r="D172" s="13"/>
      <c r="E172" s="13"/>
      <c r="F172" s="13"/>
      <c r="G172" s="13"/>
      <c r="H172" s="13" t="e">
        <f t="shared" si="2"/>
        <v>#N/A</v>
      </c>
      <c r="I172" s="57"/>
    </row>
    <row r="173" ht="16.5" spans="1:9">
      <c r="A173" s="34">
        <f>'【3-2】大区&amp;运营中心填-房间模型价'!H97</f>
        <v>0</v>
      </c>
      <c r="B173" s="34">
        <f>'【3-2】大区&amp;运营中心填-房间模型价'!I97</f>
        <v>0</v>
      </c>
      <c r="C173" s="56" t="e">
        <f>VLOOKUP(A173,'【3-2】大区&amp;运营中心填-房间模型价'!H:J,3,0)</f>
        <v>#N/A</v>
      </c>
      <c r="D173" s="13"/>
      <c r="E173" s="13"/>
      <c r="F173" s="13"/>
      <c r="G173" s="13"/>
      <c r="H173" s="13" t="e">
        <f t="shared" si="2"/>
        <v>#N/A</v>
      </c>
      <c r="I173" s="57"/>
    </row>
    <row r="174" ht="16.5" spans="1:9">
      <c r="A174" s="34">
        <f>'【3-2】大区&amp;运营中心填-房间模型价'!H98</f>
        <v>0</v>
      </c>
      <c r="B174" s="34">
        <f>'【3-2】大区&amp;运营中心填-房间模型价'!I98</f>
        <v>0</v>
      </c>
      <c r="C174" s="56" t="e">
        <f>VLOOKUP(A174,'【3-2】大区&amp;运营中心填-房间模型价'!H:J,3,0)</f>
        <v>#N/A</v>
      </c>
      <c r="D174" s="13"/>
      <c r="E174" s="13"/>
      <c r="F174" s="13"/>
      <c r="G174" s="13"/>
      <c r="H174" s="13" t="e">
        <f t="shared" si="2"/>
        <v>#N/A</v>
      </c>
      <c r="I174" s="57"/>
    </row>
    <row r="175" ht="16.5" spans="1:9">
      <c r="A175" s="34">
        <f>'【3-2】大区&amp;运营中心填-房间模型价'!H99</f>
        <v>0</v>
      </c>
      <c r="B175" s="34">
        <f>'【3-2】大区&amp;运营中心填-房间模型价'!I99</f>
        <v>0</v>
      </c>
      <c r="C175" s="56" t="e">
        <f>VLOOKUP(A175,'【3-2】大区&amp;运营中心填-房间模型价'!H:J,3,0)</f>
        <v>#N/A</v>
      </c>
      <c r="D175" s="13"/>
      <c r="E175" s="13"/>
      <c r="F175" s="13"/>
      <c r="G175" s="13"/>
      <c r="H175" s="13" t="e">
        <f t="shared" si="2"/>
        <v>#N/A</v>
      </c>
      <c r="I175" s="57"/>
    </row>
    <row r="176" ht="16.5" spans="1:9">
      <c r="A176" s="34">
        <f>'【3-2】大区&amp;运营中心填-房间模型价'!H100</f>
        <v>0</v>
      </c>
      <c r="B176" s="34">
        <f>'【3-2】大区&amp;运营中心填-房间模型价'!I100</f>
        <v>0</v>
      </c>
      <c r="C176" s="56" t="e">
        <f>VLOOKUP(A176,'【3-2】大区&amp;运营中心填-房间模型价'!H:J,3,0)</f>
        <v>#N/A</v>
      </c>
      <c r="D176" s="13"/>
      <c r="E176" s="13"/>
      <c r="F176" s="13"/>
      <c r="G176" s="13"/>
      <c r="H176" s="13" t="e">
        <f t="shared" si="2"/>
        <v>#N/A</v>
      </c>
      <c r="I176" s="57"/>
    </row>
    <row r="177" ht="16.5" spans="1:9">
      <c r="A177" s="34">
        <f>'【3-2】大区&amp;运营中心填-房间模型价'!H101</f>
        <v>0</v>
      </c>
      <c r="B177" s="34">
        <f>'【3-2】大区&amp;运营中心填-房间模型价'!I101</f>
        <v>0</v>
      </c>
      <c r="C177" s="56" t="e">
        <f>VLOOKUP(A177,'【3-2】大区&amp;运营中心填-房间模型价'!H:J,3,0)</f>
        <v>#N/A</v>
      </c>
      <c r="D177" s="13"/>
      <c r="E177" s="13"/>
      <c r="F177" s="13"/>
      <c r="G177" s="13"/>
      <c r="H177" s="13" t="e">
        <f t="shared" si="2"/>
        <v>#N/A</v>
      </c>
      <c r="I177" s="57"/>
    </row>
    <row r="178" ht="16.5" spans="1:9">
      <c r="A178" s="34">
        <f>'【3-2】大区&amp;运营中心填-房间模型价'!H102</f>
        <v>0</v>
      </c>
      <c r="B178" s="34">
        <f>'【3-2】大区&amp;运营中心填-房间模型价'!I102</f>
        <v>0</v>
      </c>
      <c r="C178" s="56" t="e">
        <f>VLOOKUP(A178,'【3-2】大区&amp;运营中心填-房间模型价'!H:J,3,0)</f>
        <v>#N/A</v>
      </c>
      <c r="D178" s="13"/>
      <c r="E178" s="13"/>
      <c r="F178" s="13"/>
      <c r="G178" s="13"/>
      <c r="H178" s="13" t="e">
        <f t="shared" si="2"/>
        <v>#N/A</v>
      </c>
      <c r="I178" s="57"/>
    </row>
    <row r="179" ht="16.5" spans="1:9">
      <c r="A179" s="34">
        <f>'【3-2】大区&amp;运营中心填-房间模型价'!H103</f>
        <v>0</v>
      </c>
      <c r="B179" s="34">
        <f>'【3-2】大区&amp;运营中心填-房间模型价'!I103</f>
        <v>0</v>
      </c>
      <c r="C179" s="56" t="e">
        <f>VLOOKUP(A179,'【3-2】大区&amp;运营中心填-房间模型价'!H:J,3,0)</f>
        <v>#N/A</v>
      </c>
      <c r="D179" s="13"/>
      <c r="E179" s="13"/>
      <c r="F179" s="13"/>
      <c r="G179" s="13"/>
      <c r="H179" s="13" t="e">
        <f t="shared" si="2"/>
        <v>#N/A</v>
      </c>
      <c r="I179" s="57"/>
    </row>
    <row r="180" ht="16.5" spans="1:9">
      <c r="A180" s="34">
        <f>'【3-2】大区&amp;运营中心填-房间模型价'!H104</f>
        <v>0</v>
      </c>
      <c r="B180" s="34">
        <f>'【3-2】大区&amp;运营中心填-房间模型价'!I104</f>
        <v>0</v>
      </c>
      <c r="C180" s="56" t="e">
        <f>VLOOKUP(A180,'【3-2】大区&amp;运营中心填-房间模型价'!H:J,3,0)</f>
        <v>#N/A</v>
      </c>
      <c r="D180" s="13"/>
      <c r="E180" s="13"/>
      <c r="F180" s="13"/>
      <c r="G180" s="13"/>
      <c r="H180" s="13" t="e">
        <f t="shared" si="2"/>
        <v>#N/A</v>
      </c>
      <c r="I180" s="57"/>
    </row>
    <row r="181" ht="16.5" spans="1:9">
      <c r="A181" s="34">
        <f>'【3-2】大区&amp;运营中心填-房间模型价'!H105</f>
        <v>0</v>
      </c>
      <c r="B181" s="34">
        <f>'【3-2】大区&amp;运营中心填-房间模型价'!I105</f>
        <v>0</v>
      </c>
      <c r="C181" s="56" t="e">
        <f>VLOOKUP(A181,'【3-2】大区&amp;运营中心填-房间模型价'!H:J,3,0)</f>
        <v>#N/A</v>
      </c>
      <c r="D181" s="13"/>
      <c r="E181" s="13"/>
      <c r="F181" s="13"/>
      <c r="G181" s="13"/>
      <c r="H181" s="13" t="e">
        <f t="shared" si="2"/>
        <v>#N/A</v>
      </c>
      <c r="I181" s="57"/>
    </row>
    <row r="182" ht="16.5" spans="1:9">
      <c r="A182" s="34">
        <f>'【3-2】大区&amp;运营中心填-房间模型价'!H106</f>
        <v>0</v>
      </c>
      <c r="B182" s="34">
        <f>'【3-2】大区&amp;运营中心填-房间模型价'!I106</f>
        <v>0</v>
      </c>
      <c r="C182" s="56" t="e">
        <f>VLOOKUP(A182,'【3-2】大区&amp;运营中心填-房间模型价'!H:J,3,0)</f>
        <v>#N/A</v>
      </c>
      <c r="D182" s="13"/>
      <c r="E182" s="13"/>
      <c r="F182" s="13"/>
      <c r="G182" s="13"/>
      <c r="H182" s="13" t="e">
        <f t="shared" si="2"/>
        <v>#N/A</v>
      </c>
      <c r="I182" s="57"/>
    </row>
    <row r="183" ht="16.5" spans="1:9">
      <c r="A183" s="34">
        <f>'【3-2】大区&amp;运营中心填-房间模型价'!H107</f>
        <v>0</v>
      </c>
      <c r="B183" s="34">
        <f>'【3-2】大区&amp;运营中心填-房间模型价'!I107</f>
        <v>0</v>
      </c>
      <c r="C183" s="56" t="e">
        <f>VLOOKUP(A183,'【3-2】大区&amp;运营中心填-房间模型价'!H:J,3,0)</f>
        <v>#N/A</v>
      </c>
      <c r="D183" s="13"/>
      <c r="E183" s="13"/>
      <c r="F183" s="13"/>
      <c r="G183" s="13"/>
      <c r="H183" s="13" t="e">
        <f t="shared" si="2"/>
        <v>#N/A</v>
      </c>
      <c r="I183" s="57"/>
    </row>
    <row r="184" ht="16.5" spans="1:9">
      <c r="A184" s="34">
        <f>'【3-2】大区&amp;运营中心填-房间模型价'!H108</f>
        <v>0</v>
      </c>
      <c r="B184" s="34">
        <f>'【3-2】大区&amp;运营中心填-房间模型价'!I108</f>
        <v>0</v>
      </c>
      <c r="C184" s="56" t="e">
        <f>VLOOKUP(A184,'【3-2】大区&amp;运营中心填-房间模型价'!H:J,3,0)</f>
        <v>#N/A</v>
      </c>
      <c r="D184" s="13"/>
      <c r="E184" s="13"/>
      <c r="F184" s="13"/>
      <c r="G184" s="13"/>
      <c r="H184" s="13" t="e">
        <f t="shared" si="2"/>
        <v>#N/A</v>
      </c>
      <c r="I184" s="57"/>
    </row>
    <row r="185" ht="16.5" spans="1:9">
      <c r="A185" s="34">
        <f>'【3-2】大区&amp;运营中心填-房间模型价'!H109</f>
        <v>0</v>
      </c>
      <c r="B185" s="34">
        <f>'【3-2】大区&amp;运营中心填-房间模型价'!I109</f>
        <v>0</v>
      </c>
      <c r="C185" s="56" t="e">
        <f>VLOOKUP(A185,'【3-2】大区&amp;运营中心填-房间模型价'!H:J,3,0)</f>
        <v>#N/A</v>
      </c>
      <c r="D185" s="13"/>
      <c r="E185" s="13"/>
      <c r="F185" s="13"/>
      <c r="G185" s="13"/>
      <c r="H185" s="13" t="e">
        <f t="shared" si="2"/>
        <v>#N/A</v>
      </c>
      <c r="I185" s="57"/>
    </row>
    <row r="186" ht="16.5" spans="1:9">
      <c r="A186" s="34">
        <f>'【3-2】大区&amp;运营中心填-房间模型价'!H110</f>
        <v>0</v>
      </c>
      <c r="B186" s="34">
        <f>'【3-2】大区&amp;运营中心填-房间模型价'!I110</f>
        <v>0</v>
      </c>
      <c r="C186" s="56" t="e">
        <f>VLOOKUP(A186,'【3-2】大区&amp;运营中心填-房间模型价'!H:J,3,0)</f>
        <v>#N/A</v>
      </c>
      <c r="D186" s="13"/>
      <c r="E186" s="13"/>
      <c r="F186" s="13"/>
      <c r="G186" s="13"/>
      <c r="H186" s="13" t="e">
        <f t="shared" si="2"/>
        <v>#N/A</v>
      </c>
      <c r="I186" s="57"/>
    </row>
    <row r="187" ht="16.5" spans="1:9">
      <c r="A187" s="34">
        <f>'【3-2】大区&amp;运营中心填-房间模型价'!H111</f>
        <v>0</v>
      </c>
      <c r="B187" s="34">
        <f>'【3-2】大区&amp;运营中心填-房间模型价'!I111</f>
        <v>0</v>
      </c>
      <c r="C187" s="56" t="e">
        <f>VLOOKUP(A187,'【3-2】大区&amp;运营中心填-房间模型价'!H:J,3,0)</f>
        <v>#N/A</v>
      </c>
      <c r="D187" s="13"/>
      <c r="E187" s="13"/>
      <c r="F187" s="13"/>
      <c r="G187" s="13"/>
      <c r="H187" s="13" t="e">
        <f t="shared" si="2"/>
        <v>#N/A</v>
      </c>
      <c r="I187" s="57"/>
    </row>
    <row r="188" ht="16.5" spans="1:9">
      <c r="A188" s="34">
        <f>'【3-2】大区&amp;运营中心填-房间模型价'!H112</f>
        <v>0</v>
      </c>
      <c r="B188" s="34">
        <f>'【3-2】大区&amp;运营中心填-房间模型价'!I112</f>
        <v>0</v>
      </c>
      <c r="C188" s="56" t="e">
        <f>VLOOKUP(A188,'【3-2】大区&amp;运营中心填-房间模型价'!H:J,3,0)</f>
        <v>#N/A</v>
      </c>
      <c r="D188" s="13"/>
      <c r="E188" s="13"/>
      <c r="F188" s="13"/>
      <c r="G188" s="13"/>
      <c r="H188" s="13" t="e">
        <f t="shared" si="2"/>
        <v>#N/A</v>
      </c>
      <c r="I188" s="57"/>
    </row>
    <row r="189" ht="16.5" spans="1:9">
      <c r="A189" s="34">
        <f>'【3-2】大区&amp;运营中心填-房间模型价'!H113</f>
        <v>0</v>
      </c>
      <c r="B189" s="34">
        <f>'【3-2】大区&amp;运营中心填-房间模型价'!I113</f>
        <v>0</v>
      </c>
      <c r="C189" s="56" t="e">
        <f>VLOOKUP(A189,'【3-2】大区&amp;运营中心填-房间模型价'!H:J,3,0)</f>
        <v>#N/A</v>
      </c>
      <c r="D189" s="13"/>
      <c r="E189" s="13"/>
      <c r="F189" s="13"/>
      <c r="G189" s="13"/>
      <c r="H189" s="13" t="e">
        <f t="shared" si="2"/>
        <v>#N/A</v>
      </c>
      <c r="I189" s="57"/>
    </row>
    <row r="190" ht="16.5" spans="1:9">
      <c r="A190" s="34">
        <f>'【3-2】大区&amp;运营中心填-房间模型价'!H114</f>
        <v>0</v>
      </c>
      <c r="B190" s="34">
        <f>'【3-2】大区&amp;运营中心填-房间模型价'!I114</f>
        <v>0</v>
      </c>
      <c r="C190" s="56" t="e">
        <f>VLOOKUP(A190,'【3-2】大区&amp;运营中心填-房间模型价'!H:J,3,0)</f>
        <v>#N/A</v>
      </c>
      <c r="D190" s="13"/>
      <c r="E190" s="13"/>
      <c r="F190" s="13"/>
      <c r="G190" s="13"/>
      <c r="H190" s="13" t="e">
        <f t="shared" si="2"/>
        <v>#N/A</v>
      </c>
      <c r="I190" s="57"/>
    </row>
    <row r="191" ht="16.5" spans="1:9">
      <c r="A191" s="34">
        <f>'【3-2】大区&amp;运营中心填-房间模型价'!H115</f>
        <v>0</v>
      </c>
      <c r="B191" s="34">
        <f>'【3-2】大区&amp;运营中心填-房间模型价'!I115</f>
        <v>0</v>
      </c>
      <c r="C191" s="56" t="e">
        <f>VLOOKUP(A191,'【3-2】大区&amp;运营中心填-房间模型价'!H:J,3,0)</f>
        <v>#N/A</v>
      </c>
      <c r="D191" s="13"/>
      <c r="E191" s="13"/>
      <c r="F191" s="13"/>
      <c r="G191" s="13"/>
      <c r="H191" s="13" t="e">
        <f t="shared" si="2"/>
        <v>#N/A</v>
      </c>
      <c r="I191" s="57"/>
    </row>
    <row r="192" ht="16.5" spans="1:9">
      <c r="A192" s="34">
        <f>'【3-2】大区&amp;运营中心填-房间模型价'!H116</f>
        <v>0</v>
      </c>
      <c r="B192" s="34">
        <f>'【3-2】大区&amp;运营中心填-房间模型价'!I116</f>
        <v>0</v>
      </c>
      <c r="C192" s="56" t="e">
        <f>VLOOKUP(A192,'【3-2】大区&amp;运营中心填-房间模型价'!H:J,3,0)</f>
        <v>#N/A</v>
      </c>
      <c r="D192" s="13"/>
      <c r="E192" s="13"/>
      <c r="F192" s="13"/>
      <c r="G192" s="13"/>
      <c r="H192" s="13" t="e">
        <f t="shared" si="2"/>
        <v>#N/A</v>
      </c>
      <c r="I192" s="57"/>
    </row>
    <row r="193" ht="16.5" spans="1:9">
      <c r="A193" s="34">
        <f>'【3-2】大区&amp;运营中心填-房间模型价'!H117</f>
        <v>0</v>
      </c>
      <c r="B193" s="34">
        <f>'【3-2】大区&amp;运营中心填-房间模型价'!I117</f>
        <v>0</v>
      </c>
      <c r="C193" s="56" t="e">
        <f>VLOOKUP(A193,'【3-2】大区&amp;运营中心填-房间模型价'!H:J,3,0)</f>
        <v>#N/A</v>
      </c>
      <c r="D193" s="13"/>
      <c r="E193" s="13"/>
      <c r="F193" s="13"/>
      <c r="G193" s="13"/>
      <c r="H193" s="13" t="e">
        <f t="shared" si="2"/>
        <v>#N/A</v>
      </c>
      <c r="I193" s="57"/>
    </row>
    <row r="194" spans="1:9">
      <c r="A194" s="34">
        <f>'【3-2】大区&amp;运营中心填-房间模型价'!H115</f>
        <v>0</v>
      </c>
      <c r="B194" s="34">
        <f>'【3-2】大区&amp;运营中心填-房间模型价'!I115</f>
        <v>0</v>
      </c>
      <c r="C194" s="56" t="e">
        <f>VLOOKUP(A194,'【3-2】大区&amp;运营中心填-房间模型价'!H:J,3,0)</f>
        <v>#N/A</v>
      </c>
      <c r="D194" s="13"/>
      <c r="E194" s="13"/>
      <c r="F194" s="13"/>
      <c r="G194" s="13"/>
      <c r="H194" s="13" t="e">
        <f t="shared" ref="H194:H198" si="3">IF(C194="开间",IF(D194+E194*2-G194&lt;=0,"1",IF(D194+E194*2-G194&lt;=1,"2",IF(D194+E194*2-G194&lt;=2,"3",IF(D194+E194*2-G194&lt;=3,"4","5")))),IF(D194+E194*2-G194&lt;1.1,"1",IF(D194+E194*2-G194&lt;=2,"2",IF(D194+E194*2-G194&lt;=3,"3",IF(D194+E194*2-G194&lt;=4,"4","5")))))</f>
        <v>#N/A</v>
      </c>
      <c r="I194" s="64"/>
    </row>
    <row r="195" ht="16.5" spans="1:9">
      <c r="A195" s="34">
        <f>'【3-2】大区&amp;运营中心填-房间模型价'!H116</f>
        <v>0</v>
      </c>
      <c r="B195" s="34">
        <f>'【3-2】大区&amp;运营中心填-房间模型价'!I116</f>
        <v>0</v>
      </c>
      <c r="C195" s="56" t="e">
        <f>VLOOKUP(A195,'【3-2】大区&amp;运营中心填-房间模型价'!H:J,3,0)</f>
        <v>#N/A</v>
      </c>
      <c r="D195" s="13"/>
      <c r="E195" s="13"/>
      <c r="F195" s="13"/>
      <c r="G195" s="13"/>
      <c r="H195" s="13" t="e">
        <f t="shared" si="3"/>
        <v>#N/A</v>
      </c>
      <c r="I195" s="57"/>
    </row>
    <row r="196" ht="16.5" spans="1:9">
      <c r="A196" s="34">
        <f>'【3-2】大区&amp;运营中心填-房间模型价'!H117</f>
        <v>0</v>
      </c>
      <c r="B196" s="34">
        <f>'【3-2】大区&amp;运营中心填-房间模型价'!I117</f>
        <v>0</v>
      </c>
      <c r="C196" s="56" t="e">
        <f>VLOOKUP(A196,'【3-2】大区&amp;运营中心填-房间模型价'!H:J,3,0)</f>
        <v>#N/A</v>
      </c>
      <c r="D196" s="13"/>
      <c r="E196" s="13"/>
      <c r="F196" s="13"/>
      <c r="G196" s="13"/>
      <c r="H196" s="13" t="e">
        <f t="shared" si="3"/>
        <v>#N/A</v>
      </c>
      <c r="I196" s="57"/>
    </row>
    <row r="197" spans="1:9">
      <c r="A197" s="34">
        <f>'【3-2】大区&amp;运营中心填-房间模型价'!H118</f>
        <v>0</v>
      </c>
      <c r="B197" s="34">
        <f>'【3-2】大区&amp;运营中心填-房间模型价'!I118</f>
        <v>0</v>
      </c>
      <c r="C197" s="56" t="e">
        <f>VLOOKUP(A197,'【3-2】大区&amp;运营中心填-房间模型价'!H:J,3,0)</f>
        <v>#N/A</v>
      </c>
      <c r="D197" s="13"/>
      <c r="E197" s="13"/>
      <c r="F197" s="13"/>
      <c r="G197" s="13"/>
      <c r="H197" s="13" t="e">
        <f t="shared" si="3"/>
        <v>#N/A</v>
      </c>
      <c r="I197" s="64"/>
    </row>
    <row r="198" ht="16.5" spans="1:9">
      <c r="A198" s="34">
        <f>'【3-2】大区&amp;运营中心填-房间模型价'!H119</f>
        <v>0</v>
      </c>
      <c r="B198" s="34">
        <f>'【3-2】大区&amp;运营中心填-房间模型价'!I119</f>
        <v>0</v>
      </c>
      <c r="C198" s="56" t="e">
        <f>VLOOKUP(A198,'【3-2】大区&amp;运营中心填-房间模型价'!H:J,3,0)</f>
        <v>#N/A</v>
      </c>
      <c r="D198" s="13"/>
      <c r="E198" s="13"/>
      <c r="F198" s="13"/>
      <c r="G198" s="13"/>
      <c r="H198" s="13" t="e">
        <f t="shared" si="3"/>
        <v>#N/A</v>
      </c>
      <c r="I198" s="57"/>
    </row>
    <row r="199" spans="1:9">
      <c r="A199" s="34">
        <f>'【3-2】大区&amp;运营中心填-房间模型价'!H120</f>
        <v>0</v>
      </c>
      <c r="B199" s="34">
        <f>'【3-2】大区&amp;运营中心填-房间模型价'!I120</f>
        <v>0</v>
      </c>
      <c r="C199" s="56" t="e">
        <f>VLOOKUP(A199,'【3-2】大区&amp;运营中心填-房间模型价'!H:J,3,0)</f>
        <v>#N/A</v>
      </c>
      <c r="D199" s="13"/>
      <c r="E199" s="13"/>
      <c r="F199" s="13"/>
      <c r="G199" s="13"/>
      <c r="H199" s="13" t="e">
        <f t="shared" ref="H199:H200" si="4">IF(C199="开间",IF(D199+E199*2-G199&lt;=0,"1",IF(D199+E199*2-G199&lt;=1,"2",IF(D199+E199*2-G199&lt;=2,"3",IF(D199+E199*2-G199&lt;=3,"4","5")))),IF(D199+E199*2-G199&lt;1.1,"1",IF(D199+E199*2-G199&lt;=2,"2",IF(D199+E199*2-G199&lt;=3,"3",IF(D199+E199*2-G199&lt;=4,"4","5")))))</f>
        <v>#N/A</v>
      </c>
      <c r="I199" s="64"/>
    </row>
    <row r="200" spans="1:9">
      <c r="A200" s="34">
        <f>'【3-2】大区&amp;运营中心填-房间模型价'!H121</f>
        <v>0</v>
      </c>
      <c r="B200" s="34">
        <f>'【3-2】大区&amp;运营中心填-房间模型价'!I121</f>
        <v>0</v>
      </c>
      <c r="C200" s="56" t="e">
        <f>VLOOKUP(A200,'【3-2】大区&amp;运营中心填-房间模型价'!H:J,3,0)</f>
        <v>#N/A</v>
      </c>
      <c r="D200" s="13"/>
      <c r="E200" s="13"/>
      <c r="F200" s="13"/>
      <c r="G200" s="13"/>
      <c r="H200" s="13" t="e">
        <f t="shared" si="4"/>
        <v>#N/A</v>
      </c>
      <c r="I200" s="64"/>
    </row>
  </sheetData>
  <mergeCells count="13">
    <mergeCell ref="D1:G1"/>
    <mergeCell ref="L2:O2"/>
    <mergeCell ref="L3:N3"/>
    <mergeCell ref="L4:N4"/>
    <mergeCell ref="M5:N5"/>
    <mergeCell ref="M6:N6"/>
    <mergeCell ref="M7:N7"/>
    <mergeCell ref="M8:N8"/>
    <mergeCell ref="L9:N9"/>
    <mergeCell ref="L16:P16"/>
    <mergeCell ref="R16:Z16"/>
    <mergeCell ref="AB16:AI16"/>
    <mergeCell ref="L5:L8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N41"/>
  <sheetViews>
    <sheetView topLeftCell="L1" workbookViewId="0">
      <pane ySplit="1" topLeftCell="A2" activePane="bottomLeft" state="frozen"/>
      <selection/>
      <selection pane="bottomLeft" activeCell="AP13" sqref="AP13"/>
    </sheetView>
  </sheetViews>
  <sheetFormatPr defaultColWidth="8.41666666666667" defaultRowHeight="14.25"/>
  <cols>
    <col min="1" max="1" width="39.6666666666667" style="29" customWidth="1"/>
    <col min="2" max="7" width="14.25" style="29" hidden="1" customWidth="1"/>
    <col min="8" max="8" width="13.0833333333333" style="29" customWidth="1"/>
    <col min="9" max="9" width="11.0833333333333" style="29" customWidth="1"/>
    <col min="10" max="10" width="15.0833333333333" style="29" customWidth="1"/>
    <col min="11" max="11" width="11.0833333333333" style="29" hidden="1" customWidth="1"/>
    <col min="12" max="12" width="19.4166666666667" style="30" customWidth="1"/>
    <col min="13" max="14" width="15.0833333333333" style="29" customWidth="1" outlineLevel="1"/>
    <col min="15" max="15" width="16.25" hidden="1" customWidth="1" outlineLevel="1"/>
    <col min="16" max="16" width="11.0833333333333" style="2" customWidth="1" outlineLevel="1"/>
    <col min="17" max="17" width="16.25" style="2" hidden="1" customWidth="1" outlineLevel="1"/>
    <col min="18" max="18" width="17.3333333333333" style="2" customWidth="1" outlineLevel="1"/>
    <col min="19" max="19" width="16.25" hidden="1" customWidth="1" outlineLevel="1"/>
    <col min="20" max="20" width="17.3333333333333" customWidth="1" outlineLevel="1"/>
    <col min="21" max="21" width="16.25" hidden="1" customWidth="1" outlineLevel="1"/>
    <col min="22" max="22" width="13.0833333333333" hidden="1" customWidth="1" outlineLevel="1"/>
    <col min="23" max="23" width="11.0833333333333" hidden="1" customWidth="1" outlineLevel="1"/>
    <col min="24" max="25" width="15.0833333333333" hidden="1" customWidth="1" outlineLevel="1"/>
    <col min="26" max="26" width="11.0833333333333" hidden="1" customWidth="1" outlineLevel="1"/>
    <col min="27" max="27" width="15.0833333333333" hidden="1" customWidth="1" outlineLevel="1"/>
    <col min="28" max="28" width="11.0833333333333" hidden="1" customWidth="1" outlineLevel="1"/>
    <col min="29" max="29" width="21.75" hidden="1" customWidth="1" outlineLevel="1"/>
    <col min="30" max="30" width="24.0833333333333" customWidth="1" outlineLevel="1"/>
    <col min="31" max="31" width="16.25" hidden="1" customWidth="1" outlineLevel="1"/>
    <col min="32" max="32" width="24.0833333333333" customWidth="1" outlineLevel="1"/>
    <col min="33" max="33" width="16.25" hidden="1" customWidth="1" outlineLevel="1"/>
    <col min="34" max="34" width="24.0833333333333" customWidth="1" outlineLevel="1"/>
    <col min="35" max="35" width="16.25" hidden="1" customWidth="1" outlineLevel="1"/>
    <col min="36" max="36" width="11.0833333333333" customWidth="1" outlineLevel="1"/>
    <col min="37" max="37" width="16.25" hidden="1" customWidth="1" outlineLevel="1"/>
    <col min="38" max="38" width="17.3333333333333" style="31" customWidth="1"/>
    <col min="39" max="39" width="15.4166666666667" style="2" customWidth="1"/>
    <col min="40" max="40" width="11.3333333333333" customWidth="1"/>
  </cols>
  <sheetData>
    <row r="1" ht="16.25" customHeight="1" spans="1:40">
      <c r="A1" s="32" t="s">
        <v>442</v>
      </c>
      <c r="B1" s="32" t="s">
        <v>468</v>
      </c>
      <c r="C1" s="32" t="s">
        <v>469</v>
      </c>
      <c r="D1" s="32" t="s">
        <v>470</v>
      </c>
      <c r="E1" s="32" t="s">
        <v>471</v>
      </c>
      <c r="F1" s="32" t="s">
        <v>472</v>
      </c>
      <c r="G1" s="32" t="s">
        <v>473</v>
      </c>
      <c r="H1" s="32" t="s">
        <v>448</v>
      </c>
      <c r="I1" s="32" t="s">
        <v>361</v>
      </c>
      <c r="J1" s="32" t="s">
        <v>36</v>
      </c>
      <c r="K1" s="32" t="s">
        <v>271</v>
      </c>
      <c r="L1" s="33" t="s">
        <v>446</v>
      </c>
      <c r="M1" s="34" t="s">
        <v>57</v>
      </c>
      <c r="N1" s="34" t="s">
        <v>474</v>
      </c>
      <c r="O1" s="34" t="s">
        <v>444</v>
      </c>
      <c r="P1" s="34" t="s">
        <v>67</v>
      </c>
      <c r="Q1" s="35" t="s">
        <v>445</v>
      </c>
      <c r="R1" s="34" t="s">
        <v>68</v>
      </c>
      <c r="S1" s="35" t="s">
        <v>475</v>
      </c>
      <c r="T1" s="34" t="s">
        <v>104</v>
      </c>
      <c r="U1" s="35" t="s">
        <v>476</v>
      </c>
      <c r="V1" s="34" t="s">
        <v>477</v>
      </c>
      <c r="W1" s="34" t="s">
        <v>478</v>
      </c>
      <c r="X1" s="34" t="s">
        <v>479</v>
      </c>
      <c r="Y1" s="34" t="s">
        <v>480</v>
      </c>
      <c r="Z1" s="34" t="s">
        <v>481</v>
      </c>
      <c r="AA1" s="34" t="s">
        <v>482</v>
      </c>
      <c r="AB1" s="34" t="s">
        <v>483</v>
      </c>
      <c r="AC1" s="34" t="s">
        <v>484</v>
      </c>
      <c r="AD1" s="34" t="str">
        <f>【1】定价因子!$C$35</f>
        <v>功能配置（开间）</v>
      </c>
      <c r="AE1" s="35" t="s">
        <v>485</v>
      </c>
      <c r="AF1" s="34" t="str">
        <f>【1】定价因子!$C$47</f>
        <v>功能配置（一居）</v>
      </c>
      <c r="AG1" s="36" t="s">
        <v>486</v>
      </c>
      <c r="AH1" s="34" t="str">
        <f>【1】定价因子!$C$54</f>
        <v>功能配置（二居）</v>
      </c>
      <c r="AI1" s="36" t="s">
        <v>487</v>
      </c>
      <c r="AJ1" s="37" t="s">
        <v>118</v>
      </c>
      <c r="AK1" s="35" t="s">
        <v>488</v>
      </c>
      <c r="AL1" s="38" t="s">
        <v>489</v>
      </c>
      <c r="AM1" s="39" t="s">
        <v>490</v>
      </c>
      <c r="AN1" s="40" t="s">
        <v>491</v>
      </c>
    </row>
    <row r="2" ht="17" customHeight="1" spans="1:40">
      <c r="A2" s="41" t="str">
        <f>'【2】运营中心填-基本信息&amp;审核标准'!$E$2</f>
        <v>福永一队9-16栋</v>
      </c>
      <c r="B2" s="13">
        <f>INT(H2/100)</f>
        <v>1</v>
      </c>
      <c r="C2" s="13">
        <f>COUNTIF($B$2:$B$41,B2)</f>
        <v>5</v>
      </c>
      <c r="D2" s="13">
        <f>COUNTIF(C$2:C$41,C2)</f>
        <v>40</v>
      </c>
      <c r="E2" s="13">
        <f>MAX(D2:D41)</f>
        <v>40</v>
      </c>
      <c r="F2" s="13">
        <f>IF(D2=$E$2,C2,"")</f>
        <v>5</v>
      </c>
      <c r="G2" s="13">
        <f>MAX(F2:F41)</f>
        <v>5</v>
      </c>
      <c r="H2" s="42">
        <v>101</v>
      </c>
      <c r="I2" s="43" t="s">
        <v>492</v>
      </c>
      <c r="J2" s="43" t="s">
        <v>40</v>
      </c>
      <c r="K2" s="13" t="str" cm="1">
        <f t="array" ref="K2">IFERROR(INDEX($J$2:$J$41,MATCH(0,IF(ISBLANK($J$2:$J$41),1,COUNTIF($K$1:K1,$J$2:$J$41)),0)),"")</f>
        <v>开间</v>
      </c>
      <c r="L2" s="44">
        <f>VLOOKUP(J2,'【3】大区填-楼栋基准格局定价'!B:H,7,0)</f>
        <v>1508.936</v>
      </c>
      <c r="M2" s="45" t="str">
        <f>IF(OR(J2="开间",J2="二人宿舍"),IF(N2&lt;10,"很狭小",IF(N2&lt;13,"较狭小",IF(N2&lt;17,"适中",IF(N2&lt;20,"较宽敞","很宽敞")))),IF(OR(J2="一居室",J2="四人宿舍"),IF(N2&lt;20,"很狭小",IF(N2&lt;23,"较狭小",IF(N2&lt;26,"适中",IF(N2&lt;28,"较宽敞","很宽敞")))),IF(OR(J2="二居室",J2="六人宿舍"),IF(N2&lt;30,"很狭小",IF(N2&lt;35,"较狭小",IF(N2&lt;40,"适中",IF(N2&lt;45,"较宽敞","很宽敞")))),"")))</f>
        <v>较狭小</v>
      </c>
      <c r="N2" s="45">
        <v>12.27</v>
      </c>
      <c r="O2" s="46">
        <f>VLOOKUP($M$1&amp;M2,【1】定价因子!E:F,2,0)</f>
        <v>0.95</v>
      </c>
      <c r="P2" s="46" t="str">
        <f>IF(COUNTIFS(户型资产表!E:E,I2,户型资产表!H:H,"阳台门")&gt;0,"有","无")</f>
        <v>无</v>
      </c>
      <c r="Q2" s="46">
        <f>VLOOKUP($P$1&amp;P2,【1】定价因子!E:F,2,0)</f>
        <v>1</v>
      </c>
      <c r="R2" s="46" t="str">
        <f>IF('【2】运营中心填-基本信息&amp;审核标准'!$D$4="是","无",IF(INT(H2/100)&gt;9,"9F",INT(H2/100)&amp;"F"))</f>
        <v>1F</v>
      </c>
      <c r="S2" s="46">
        <f>VLOOKUP(R2,【1】定价因子!D:F,3,0)</f>
        <v>0.91</v>
      </c>
      <c r="T2" s="46" t="str">
        <f>IF('【2】运营中心填-基本信息&amp;审核标准'!$D$4="否","无",IF(INT(H2/100)=1,"1F",IF(AND(INT(H2/100)&gt;=2,INT(H2/100)&lt;=3),"2-3F",IF(INT(H2/100)=4,"4F",IF(AND(INT(H2/100)&gt;=5,INT(H2/100)&lt;=6),"5-6F",IF(AND(INT(H2/100)&gt;=7,INT(H2/100)&lt;=8),"7-8F",IF(AND(INT(H2/100)&gt;=9,INT(H2/100)&lt;=10),"9-10F",IF(AND(INT(H2/100)&gt;=11,INT(H2/100)&lt;=12),"11-12F",IF(INT(H2/100)&gt;=13,"13以上F","")))))))))</f>
        <v>无</v>
      </c>
      <c r="U2" s="46">
        <f>VLOOKUP($T$1&amp;T2,【1】定价因子!E:F,2,0)</f>
        <v>1</v>
      </c>
      <c r="V2" s="46" t="str">
        <f>IF(COUNTIFS(户型资产表!E:E,I2,户型资产表!H:H,"操作台")&gt;0,"有","无")</f>
        <v>有</v>
      </c>
      <c r="W2" s="46" t="str">
        <f>IF(COUNTIFS(户型资产表!E:E,I2,户型资产表!H:H,"书桌")&gt;0,"有","无")</f>
        <v>有</v>
      </c>
      <c r="X2" s="46" t="str" cm="1">
        <f t="array" ref="X2">IF(SUMPRODUCT((户型资产表!E:E=I2)*((户型资产表!I:I="沙发01单人")+(户型资产表!I:I="单人沙发02")))&gt;0,"有","无")</f>
        <v>无</v>
      </c>
      <c r="Y2" s="46" t="str" cm="1">
        <f t="array" ref="Y2">IF(SUMPRODUCT((户型资产表!E:E=I2)*((户型资产表!I:I="沙发02两人")+(户型资产表!I:I="双人沙发01")))&gt;0,"有","无")</f>
        <v>无</v>
      </c>
      <c r="Z2" s="46" t="str">
        <f>IF(COUNTIFS(户型资产表!E:E,I2,户型资产表!H:H,"餐桌")&gt;0,"有","无")</f>
        <v>无</v>
      </c>
      <c r="AA2" s="46" t="str">
        <f>IF(COUNTIFS(户型资产表!E:E,I2,户型资产表!H:H,"吸油烟机")&gt;0,"有","无")</f>
        <v>无</v>
      </c>
      <c r="AB2" s="46" t="str">
        <f>IF(COUNTIFS(户型资产表!E:E,I2,户型资产表!H:H,"冰箱")&gt;0,"有","无")</f>
        <v>无</v>
      </c>
      <c r="AC2" s="46" t="str">
        <f>IF(COUNTIFS(户型资产表!E:E,I2,户型资产表!H:H,"电视柜")&gt;0,"有","无")</f>
        <v>无</v>
      </c>
      <c r="AD2" s="45" t="str">
        <f>IF(J2="开间",IF(AND(V2="无",W2="无"),"缺失",IF(AND(V2="无",W2="有"),"缺失（操作台）",IF(AND(V2="有",W2="无"),"缺失（书桌）",IF(AND(V2="有",W2="有"),IF(OR(AA2="有",Y2="有"),"充足（油烟机/双人沙发）",IF(OR(X2="有",Z2="有"),"充足（单人沙发/餐桌）",IF(AND(OR(X2="有",Y2="有"),Z2="有"),"非常充足","适中"))),"")))),"适中")</f>
        <v>适中</v>
      </c>
      <c r="AE2" s="46">
        <f>VLOOKUP($AD$1&amp;AD2,【1】定价因子!E:F,2,0)</f>
        <v>1</v>
      </c>
      <c r="AF2" s="45" t="str">
        <f>IF(J2="一居室",IF(AND(V2="无",Y2="无",Z2="无"),"缺失",IF(OR(AND(Z2="有",V2="无",Y2="无"),AND(Z2="有",V2="无",Y2="有"),AND(Z2="有",V2="有",Y2="无"),AND(Z2="无",V2="有",Y2="无"),AND(Z2="无",V2="无",Y2="有")),"缺失（操作台/双人沙发）",IF(AND(V2="有",Y2="有",Z2="无"),"缺失（餐桌）",IF(AND(V2="有",Y2="有",Z2="有"),IF(AND(W2="无",AA2="有"),"充配（油烟机）",IF(AND(W2="有",AA2="无"),"充配（书桌）",IF(AND(W2="有",AA2="有"),"非常充配","适中"))),"")))),"适中")</f>
        <v>适中</v>
      </c>
      <c r="AG2" s="46">
        <f>VLOOKUP($AF$1&amp;AF2,【1】定价因子!E:F,2,0)</f>
        <v>1</v>
      </c>
      <c r="AH2" s="45" t="str">
        <f>IF(J2="二居室",IF(AND(Y2="无",Z2="无",AC2="无",V2="无"),"缺失",IF(OR(AND(Y2="无",Z2="无",AC2="有"),AND(Y2="无",Z2="无",V2="有"),AND(Y2="无",Z2="无",AC2="有",V2="有"),AND(Y2="无",Z2="有",AC2="无"),AND(Y2="无",Z2="有",V2="无"),AND(Y2="无",Z2="有",AC2="有"),AND(Y2="无",Z2="有",V2="有"),AND(Y2="有",Z2="无",AC2="无"),AND(Y2="有",Z2="无",V2="无"),AND(Y2="有",Z2="无",AC2="有"),AND(Y2="有",Z2="无",V2="有")),"缺失（沙发/餐桌）",IF(AND(Y2="有",Z2="有",OR(AC2="无",V2="无")),"缺失（电视柜/操作台）",IF(AND(Y2="有",Z2="有",AC2="有",V2="有"),IF(OR(AA2="有",AB2="有"),"充配（油烟机/冰箱）",IF(AND(AA2="无",AB2="无"),"适中","")),"")))),"适中")</f>
        <v>适中</v>
      </c>
      <c r="AI2" s="46">
        <f>VLOOKUP($AH$1&amp;AH2,【1】定价因子!E:F,2,0)</f>
        <v>1</v>
      </c>
      <c r="AJ2" s="46" t="str">
        <f>VLOOKUP(H2,'【3-1】大区填-采光基本要素'!A:H,8,0)</f>
        <v>1</v>
      </c>
      <c r="AK2" s="46">
        <f>VLOOKUP($AJ$1&amp;AJ2,【1】定价因子!E:F,2,0)</f>
        <v>0.91</v>
      </c>
      <c r="AL2" s="47">
        <f>L2*PRODUCT(AG2,AK2,AE2,U2,S2,Q2,O2)</f>
        <v>1187.07240652</v>
      </c>
      <c r="AM2" s="48">
        <v>950</v>
      </c>
      <c r="AN2" s="49">
        <f>AM2/AL2-1</f>
        <v>-0.199711833261289</v>
      </c>
    </row>
    <row r="3" spans="1:40">
      <c r="A3" s="41" t="str">
        <f>'【2】运营中心填-基本信息&amp;审核标准'!$E$2</f>
        <v>福永一队9-16栋</v>
      </c>
      <c r="B3" s="13">
        <f t="shared" ref="B3:B18" si="0">INT(H3/100)</f>
        <v>1</v>
      </c>
      <c r="C3" s="13">
        <f t="shared" ref="C3:C66" si="1">COUNTIF($B$2:$B$41,B3)</f>
        <v>5</v>
      </c>
      <c r="D3" s="13">
        <f t="shared" ref="D3:D66" si="2">COUNTIF(C$2:C$41,C3)</f>
        <v>40</v>
      </c>
      <c r="E3" s="13"/>
      <c r="F3" s="13">
        <f t="shared" ref="F3:F66" si="3">IF(D3=$E$2,C3,"")</f>
        <v>5</v>
      </c>
      <c r="G3" s="13"/>
      <c r="H3" s="42">
        <v>102</v>
      </c>
      <c r="I3" s="43" t="s">
        <v>492</v>
      </c>
      <c r="J3" s="43" t="s">
        <v>40</v>
      </c>
      <c r="K3" s="13" t="str" cm="1">
        <f t="array" ref="K3">IFERROR(INDEX($J$2:$J$41,MATCH(0,IF(ISBLANK($J$2:$J$41),1,COUNTIF($K$1:K2,$J$2:$J$41)),0)),"")</f>
        <v/>
      </c>
      <c r="L3" s="44">
        <f>VLOOKUP(J3,'【3】大区填-楼栋基准格局定价'!B:H,7,0)</f>
        <v>1508.936</v>
      </c>
      <c r="M3" s="45" t="str">
        <f t="shared" ref="M3:M32" si="4">IF(OR(J3="开间",J3="二人宿舍"),IF(N3&lt;10,"很狭小",IF(N3&lt;13,"较狭小",IF(N3&lt;17,"适中",IF(N3&lt;20,"较宽敞","很宽敞")))),IF(OR(J3="一居室",J3="四人宿舍"),IF(N3&lt;20,"很狭小",IF(N3&lt;23,"较狭小",IF(N3&lt;26,"适中",IF(N3&lt;28,"较宽敞","很宽敞")))),IF(OR(J3="二居室",J3="六人宿舍"),IF(N3&lt;30,"很狭小",IF(N3&lt;35,"较狭小",IF(N3&lt;40,"适中",IF(N3&lt;45,"较宽敞","很宽敞")))),"")))</f>
        <v>较狭小</v>
      </c>
      <c r="N3" s="45">
        <v>12.26</v>
      </c>
      <c r="O3" s="46">
        <f>VLOOKUP($M$1&amp;M3,【1】定价因子!E:F,2,0)</f>
        <v>0.95</v>
      </c>
      <c r="P3" s="46" t="str">
        <f>IF(COUNTIFS(户型资产表!E:E,I3,户型资产表!H:H,"阳台门")&gt;0,"有","无")</f>
        <v>无</v>
      </c>
      <c r="Q3" s="46">
        <f>VLOOKUP($P$1&amp;P3,【1】定价因子!E:F,2,0)</f>
        <v>1</v>
      </c>
      <c r="R3" s="46" t="str">
        <f>IF('【2】运营中心填-基本信息&amp;审核标准'!$D$4="是","无",IF(INT(H3/100)&gt;9,"9F",INT(H3/100)&amp;"F"))</f>
        <v>1F</v>
      </c>
      <c r="S3" s="46">
        <f>VLOOKUP(R3,【1】定价因子!D:F,3,0)</f>
        <v>0.91</v>
      </c>
      <c r="T3" s="46" t="str">
        <f>IF('【2】运营中心填-基本信息&amp;审核标准'!$D$4="否","无",IF(INT(H3/100)=1,"1F",IF(AND(INT(H3/100)&gt;=2,INT(H3/100)&lt;=3),"2-3F",IF(INT(H3/100)=4,"4F",IF(AND(INT(H3/100)&gt;=5,INT(H3/100)&lt;=6),"5-6F",IF(AND(INT(H3/100)&gt;=7,INT(H3/100)&lt;=8),"7-8F",IF(AND(INT(H3/100)&gt;=9,INT(H3/100)&lt;=10),"9-10F",IF(AND(INT(H3/100)&gt;=11,INT(H3/100)&lt;=12),"11-12F",IF(INT(H3/100)&gt;=13,"13以上F","")))))))))</f>
        <v>无</v>
      </c>
      <c r="U3" s="46">
        <f>VLOOKUP($T$1&amp;T3,【1】定价因子!E:F,2,0)</f>
        <v>1</v>
      </c>
      <c r="V3" s="46" t="str">
        <f>IF(COUNTIFS(户型资产表!E:E,I3,户型资产表!H:H,"操作台")&gt;0,"有","无")</f>
        <v>有</v>
      </c>
      <c r="W3" s="46" t="str">
        <f>IF(COUNTIFS(户型资产表!E:E,I3,户型资产表!H:H,"书桌")&gt;0,"有","无")</f>
        <v>有</v>
      </c>
      <c r="X3" s="46" t="str" cm="1">
        <f t="array" ref="X3">IF(SUMPRODUCT((户型资产表!E:E=I3)*((户型资产表!I:I="沙发01单人")+(户型资产表!I:I="单人沙发02")))&gt;0,"有","无")</f>
        <v>无</v>
      </c>
      <c r="Y3" s="46" t="str" cm="1">
        <f t="array" ref="Y3">IF(SUMPRODUCT((户型资产表!E:E=I3)*((户型资产表!I:I="沙发02两人")+(户型资产表!I:I="双人沙发01")))&gt;0,"有","无")</f>
        <v>无</v>
      </c>
      <c r="Z3" s="46" t="str">
        <f>IF(COUNTIFS(户型资产表!E:E,I3,户型资产表!H:H,"餐桌")&gt;0,"有","无")</f>
        <v>无</v>
      </c>
      <c r="AA3" s="46" t="str">
        <f>IF(COUNTIFS(户型资产表!E:E,I3,户型资产表!H:H,"吸油烟机")&gt;0,"有","无")</f>
        <v>无</v>
      </c>
      <c r="AB3" s="46" t="str">
        <f>IF(COUNTIFS(户型资产表!E:E,I3,户型资产表!H:H,"冰箱")&gt;0,"有","无")</f>
        <v>无</v>
      </c>
      <c r="AC3" s="46" t="str">
        <f>IF(COUNTIFS(户型资产表!E:E,I3,户型资产表!H:H,"电视柜")&gt;0,"有","无")</f>
        <v>无</v>
      </c>
      <c r="AD3" s="45" t="str">
        <f t="shared" ref="AD3:AD18" si="5">IF(J3="开间",IF(AND(V3="无",W3="无"),"缺失",IF(AND(V3="无",W3="有"),"缺失（操作台）",IF(AND(V3="有",W3="无"),"缺失（书桌）",IF(AND(V3="有",W3="有"),IF(OR(AA3="有",Y3="有"),"充足（油烟机/双人沙发）",IF(OR(X3="有",Z3="有"),"充足（单人沙发/餐桌）",IF(AND(OR(X3="有",Y3="有"),Z3="有"),"非常充足","适中"))),"")))),"适中")</f>
        <v>适中</v>
      </c>
      <c r="AE3" s="46">
        <f>VLOOKUP($AD$1&amp;AD3,【1】定价因子!E:F,2,0)</f>
        <v>1</v>
      </c>
      <c r="AF3" s="45" t="str">
        <f t="shared" ref="AF3:AF18" si="6">IF(J3="一居室",IF(AND(V3="无",Y3="无",Z3="无"),"缺失",IF(OR(AND(Z3="有",V3="无",Y3="无"),AND(Z3="有",V3="无",Y3="有"),AND(Z3="有",V3="有",Y3="无"),AND(Z3="无",V3="有",Y3="无"),AND(Z3="无",V3="无",Y3="有")),"缺失（操作台/双人沙发）",IF(AND(V3="有",Y3="有",Z3="无"),"缺失（餐桌）",IF(AND(V3="有",Y3="有",Z3="有"),IF(AND(W3="无",AA3="有"),"充配（油烟机）",IF(AND(W3="有",AA3="无"),"充配（书桌）",IF(AND(W3="有",AA3="有"),"非常充配","适中"))),"")))),"适中")</f>
        <v>适中</v>
      </c>
      <c r="AG3" s="46">
        <f>VLOOKUP($AF$1&amp;AF3,【1】定价因子!E:F,2,0)</f>
        <v>1</v>
      </c>
      <c r="AH3" s="45" t="str">
        <f t="shared" ref="AH3:AH18" si="7">IF(J3="二居室",IF(AND(Y3="无",Z3="无",AC3="无",V3="无"),"缺失",IF(OR(AND(Y3="无",Z3="无",AC3="有"),AND(Y3="无",Z3="无",V3="有"),AND(Y3="无",Z3="无",AC3="有",V3="有"),AND(Y3="无",Z3="有",AC3="无"),AND(Y3="无",Z3="有",V3="无"),AND(Y3="无",Z3="有",AC3="有"),AND(Y3="无",Z3="有",V3="有"),AND(Y3="有",Z3="无",AC3="无"),AND(Y3="有",Z3="无",V3="无"),AND(Y3="有",Z3="无",AC3="有"),AND(Y3="有",Z3="无",V3="有")),"缺失（沙发/餐桌）",IF(AND(Y3="有",Z3="有",OR(AC3="无",V3="无")),"缺失（电视柜/操作台）",IF(AND(Y3="有",Z3="有",AC3="有",V3="有"),IF(OR(AA3="有",AB3="有"),"充配（油烟机/冰箱）",IF(AND(AA3="无",AB3="无"),"适中","")),"")))),"适中")</f>
        <v>适中</v>
      </c>
      <c r="AI3" s="46">
        <f>VLOOKUP($AH$1&amp;AH3,【1】定价因子!E:F,2,0)</f>
        <v>1</v>
      </c>
      <c r="AJ3" s="46" t="str">
        <f>VLOOKUP(H3,'【3-1】大区填-采光基本要素'!A:H,8,0)</f>
        <v>1</v>
      </c>
      <c r="AK3" s="46">
        <f>VLOOKUP($AJ$1&amp;AJ3,【1】定价因子!E:F,2,0)</f>
        <v>0.91</v>
      </c>
      <c r="AL3" s="47">
        <f t="shared" ref="AL3:AL18" si="8">L3*PRODUCT(AG3,AK3,AE3,U3,S3,Q3,O3)</f>
        <v>1187.07240652</v>
      </c>
      <c r="AM3" s="48">
        <v>950</v>
      </c>
      <c r="AN3" s="49">
        <f t="shared" ref="AN3:AN18" si="9">AM3/AL3-1</f>
        <v>-0.199711833261289</v>
      </c>
    </row>
    <row r="4" spans="1:40">
      <c r="A4" s="41" t="str">
        <f>'【2】运营中心填-基本信息&amp;审核标准'!$E$2</f>
        <v>福永一队9-16栋</v>
      </c>
      <c r="B4" s="13">
        <f t="shared" si="0"/>
        <v>1</v>
      </c>
      <c r="C4" s="13">
        <f t="shared" si="1"/>
        <v>5</v>
      </c>
      <c r="D4" s="13">
        <f t="shared" si="2"/>
        <v>40</v>
      </c>
      <c r="E4" s="13"/>
      <c r="F4" s="13">
        <f t="shared" si="3"/>
        <v>5</v>
      </c>
      <c r="G4" s="13"/>
      <c r="H4" s="42">
        <v>103</v>
      </c>
      <c r="I4" s="43" t="s">
        <v>493</v>
      </c>
      <c r="J4" s="43" t="s">
        <v>40</v>
      </c>
      <c r="K4" s="13" t="str" cm="1">
        <f t="array" ref="K4">IFERROR(INDEX($J$2:$J$41,MATCH(0,IF(ISBLANK($J$2:$J$41),1,COUNTIF($K$1:K3,$J$2:$J$41)),0)),"")</f>
        <v/>
      </c>
      <c r="L4" s="44">
        <f>VLOOKUP(J4,'【3】大区填-楼栋基准格局定价'!B:H,7,0)</f>
        <v>1508.936</v>
      </c>
      <c r="M4" s="45" t="str">
        <f t="shared" si="4"/>
        <v>适中</v>
      </c>
      <c r="N4" s="45">
        <v>13.3</v>
      </c>
      <c r="O4" s="46">
        <f>VLOOKUP($M$1&amp;M4,【1】定价因子!E:F,2,0)</f>
        <v>1</v>
      </c>
      <c r="P4" s="46" t="str">
        <f>IF(COUNTIFS(户型资产表!E:E,I4,户型资产表!H:H,"阳台门")&gt;0,"有","无")</f>
        <v>无</v>
      </c>
      <c r="Q4" s="46">
        <f>VLOOKUP($P$1&amp;P4,【1】定价因子!E:F,2,0)</f>
        <v>1</v>
      </c>
      <c r="R4" s="46" t="str">
        <f>IF('【2】运营中心填-基本信息&amp;审核标准'!$D$4="是","无",IF(INT(H4/100)&gt;9,"9F",INT(H4/100)&amp;"F"))</f>
        <v>1F</v>
      </c>
      <c r="S4" s="46">
        <f>VLOOKUP(R4,【1】定价因子!D:F,3,0)</f>
        <v>0.91</v>
      </c>
      <c r="T4" s="46" t="str">
        <f>IF('【2】运营中心填-基本信息&amp;审核标准'!$D$4="否","无",IF(INT(H4/100)=1,"1F",IF(AND(INT(H4/100)&gt;=2,INT(H4/100)&lt;=3),"2-3F",IF(INT(H4/100)=4,"4F",IF(AND(INT(H4/100)&gt;=5,INT(H4/100)&lt;=6),"5-6F",IF(AND(INT(H4/100)&gt;=7,INT(H4/100)&lt;=8),"7-8F",IF(AND(INT(H4/100)&gt;=9,INT(H4/100)&lt;=10),"9-10F",IF(AND(INT(H4/100)&gt;=11,INT(H4/100)&lt;=12),"11-12F",IF(INT(H4/100)&gt;=13,"13以上F","")))))))))</f>
        <v>无</v>
      </c>
      <c r="U4" s="46">
        <f>VLOOKUP($T$1&amp;T4,【1】定价因子!E:F,2,0)</f>
        <v>1</v>
      </c>
      <c r="V4" s="46" t="str">
        <f>IF(COUNTIFS(户型资产表!E:E,I4,户型资产表!H:H,"操作台")&gt;0,"有","无")</f>
        <v>有</v>
      </c>
      <c r="W4" s="46" t="str">
        <f>IF(COUNTIFS(户型资产表!E:E,I4,户型资产表!H:H,"书桌")&gt;0,"有","无")</f>
        <v>有</v>
      </c>
      <c r="X4" s="46" t="str" cm="1">
        <f t="array" ref="X4">IF(SUMPRODUCT((户型资产表!E:E=I4)*((户型资产表!I:I="沙发01单人")+(户型资产表!I:I="单人沙发02")))&gt;0,"有","无")</f>
        <v>无</v>
      </c>
      <c r="Y4" s="46" t="str" cm="1">
        <f t="array" ref="Y4">IF(SUMPRODUCT((户型资产表!E:E=I4)*((户型资产表!I:I="沙发02两人")+(户型资产表!I:I="双人沙发01")))&gt;0,"有","无")</f>
        <v>无</v>
      </c>
      <c r="Z4" s="46" t="str">
        <f>IF(COUNTIFS(户型资产表!E:E,I4,户型资产表!H:H,"餐桌")&gt;0,"有","无")</f>
        <v>无</v>
      </c>
      <c r="AA4" s="46" t="str">
        <f>IF(COUNTIFS(户型资产表!E:E,I4,户型资产表!H:H,"吸油烟机")&gt;0,"有","无")</f>
        <v>无</v>
      </c>
      <c r="AB4" s="46" t="str">
        <f>IF(COUNTIFS(户型资产表!E:E,I4,户型资产表!H:H,"冰箱")&gt;0,"有","无")</f>
        <v>无</v>
      </c>
      <c r="AC4" s="46" t="str">
        <f>IF(COUNTIFS(户型资产表!E:E,I4,户型资产表!H:H,"电视柜")&gt;0,"有","无")</f>
        <v>无</v>
      </c>
      <c r="AD4" s="45" t="str">
        <f t="shared" si="5"/>
        <v>适中</v>
      </c>
      <c r="AE4" s="46">
        <f>VLOOKUP($AD$1&amp;AD4,【1】定价因子!E:F,2,0)</f>
        <v>1</v>
      </c>
      <c r="AF4" s="45" t="str">
        <f t="shared" si="6"/>
        <v>适中</v>
      </c>
      <c r="AG4" s="46">
        <f>VLOOKUP($AF$1&amp;AF4,【1】定价因子!E:F,2,0)</f>
        <v>1</v>
      </c>
      <c r="AH4" s="45" t="str">
        <f t="shared" si="7"/>
        <v>适中</v>
      </c>
      <c r="AI4" s="46">
        <f>VLOOKUP($AH$1&amp;AH4,【1】定价因子!E:F,2,0)</f>
        <v>1</v>
      </c>
      <c r="AJ4" s="46" t="str">
        <f>VLOOKUP(H4,'【3-1】大区填-采光基本要素'!A:H,8,0)</f>
        <v>1</v>
      </c>
      <c r="AK4" s="46">
        <f>VLOOKUP($AJ$1&amp;AJ4,【1】定价因子!E:F,2,0)</f>
        <v>0.91</v>
      </c>
      <c r="AL4" s="47">
        <f t="shared" si="8"/>
        <v>1249.5499016</v>
      </c>
      <c r="AM4" s="48">
        <v>950</v>
      </c>
      <c r="AN4" s="49">
        <f t="shared" si="9"/>
        <v>-0.239726241598225</v>
      </c>
    </row>
    <row r="5" spans="1:40">
      <c r="A5" s="41" t="str">
        <f>'【2】运营中心填-基本信息&amp;审核标准'!$E$2</f>
        <v>福永一队9-16栋</v>
      </c>
      <c r="B5" s="13">
        <f t="shared" si="0"/>
        <v>1</v>
      </c>
      <c r="C5" s="13">
        <f t="shared" si="1"/>
        <v>5</v>
      </c>
      <c r="D5" s="13">
        <f t="shared" si="2"/>
        <v>40</v>
      </c>
      <c r="E5" s="13"/>
      <c r="F5" s="13">
        <f t="shared" si="3"/>
        <v>5</v>
      </c>
      <c r="G5" s="13"/>
      <c r="H5" s="42">
        <v>104</v>
      </c>
      <c r="I5" s="43" t="s">
        <v>493</v>
      </c>
      <c r="J5" s="43" t="s">
        <v>40</v>
      </c>
      <c r="K5" s="13" t="str" cm="1">
        <f t="array" ref="K5">IFERROR(INDEX($J$2:$J$41,MATCH(0,IF(ISBLANK($J$2:$J$41),1,COUNTIF($K$1:K4,$J$2:$J$41)),0)),"")</f>
        <v/>
      </c>
      <c r="L5" s="44">
        <f>VLOOKUP(J5,'【3】大区填-楼栋基准格局定价'!B:H,7,0)</f>
        <v>1508.936</v>
      </c>
      <c r="M5" s="45" t="str">
        <f t="shared" si="4"/>
        <v>较狭小</v>
      </c>
      <c r="N5" s="45">
        <v>12.39</v>
      </c>
      <c r="O5" s="46">
        <f>VLOOKUP($M$1&amp;M5,【1】定价因子!E:F,2,0)</f>
        <v>0.95</v>
      </c>
      <c r="P5" s="46" t="str">
        <f>IF(COUNTIFS(户型资产表!E:E,I5,户型资产表!H:H,"阳台门")&gt;0,"有","无")</f>
        <v>无</v>
      </c>
      <c r="Q5" s="46">
        <f>VLOOKUP($P$1&amp;P5,【1】定价因子!E:F,2,0)</f>
        <v>1</v>
      </c>
      <c r="R5" s="46" t="str">
        <f>IF('【2】运营中心填-基本信息&amp;审核标准'!$D$4="是","无",IF(INT(H5/100)&gt;9,"9F",INT(H5/100)&amp;"F"))</f>
        <v>1F</v>
      </c>
      <c r="S5" s="46">
        <f>VLOOKUP(R5,【1】定价因子!D:F,3,0)</f>
        <v>0.91</v>
      </c>
      <c r="T5" s="46" t="str">
        <f>IF('【2】运营中心填-基本信息&amp;审核标准'!$D$4="否","无",IF(INT(H5/100)=1,"1F",IF(AND(INT(H5/100)&gt;=2,INT(H5/100)&lt;=3),"2-3F",IF(INT(H5/100)=4,"4F",IF(AND(INT(H5/100)&gt;=5,INT(H5/100)&lt;=6),"5-6F",IF(AND(INT(H5/100)&gt;=7,INT(H5/100)&lt;=8),"7-8F",IF(AND(INT(H5/100)&gt;=9,INT(H5/100)&lt;=10),"9-10F",IF(AND(INT(H5/100)&gt;=11,INT(H5/100)&lt;=12),"11-12F",IF(INT(H5/100)&gt;=13,"13以上F","")))))))))</f>
        <v>无</v>
      </c>
      <c r="U5" s="46">
        <f>VLOOKUP($T$1&amp;T5,【1】定价因子!E:F,2,0)</f>
        <v>1</v>
      </c>
      <c r="V5" s="46" t="str">
        <f>IF(COUNTIFS(户型资产表!E:E,I5,户型资产表!H:H,"操作台")&gt;0,"有","无")</f>
        <v>有</v>
      </c>
      <c r="W5" s="46" t="str">
        <f>IF(COUNTIFS(户型资产表!E:E,I5,户型资产表!H:H,"书桌")&gt;0,"有","无")</f>
        <v>有</v>
      </c>
      <c r="X5" s="46" t="str" cm="1">
        <f t="array" ref="X5">IF(SUMPRODUCT((户型资产表!E:E=I5)*((户型资产表!I:I="沙发01单人")+(户型资产表!I:I="单人沙发02")))&gt;0,"有","无")</f>
        <v>无</v>
      </c>
      <c r="Y5" s="46" t="str" cm="1">
        <f t="array" ref="Y5">IF(SUMPRODUCT((户型资产表!E:E=I5)*((户型资产表!I:I="沙发02两人")+(户型资产表!I:I="双人沙发01")))&gt;0,"有","无")</f>
        <v>无</v>
      </c>
      <c r="Z5" s="46" t="str">
        <f>IF(COUNTIFS(户型资产表!E:E,I5,户型资产表!H:H,"餐桌")&gt;0,"有","无")</f>
        <v>无</v>
      </c>
      <c r="AA5" s="46" t="str">
        <f>IF(COUNTIFS(户型资产表!E:E,I5,户型资产表!H:H,"吸油烟机")&gt;0,"有","无")</f>
        <v>无</v>
      </c>
      <c r="AB5" s="46" t="str">
        <f>IF(COUNTIFS(户型资产表!E:E,I5,户型资产表!H:H,"冰箱")&gt;0,"有","无")</f>
        <v>无</v>
      </c>
      <c r="AC5" s="46" t="str">
        <f>IF(COUNTIFS(户型资产表!E:E,I5,户型资产表!H:H,"电视柜")&gt;0,"有","无")</f>
        <v>无</v>
      </c>
      <c r="AD5" s="45" t="str">
        <f t="shared" si="5"/>
        <v>适中</v>
      </c>
      <c r="AE5" s="46">
        <f>VLOOKUP($AD$1&amp;AD5,【1】定价因子!E:F,2,0)</f>
        <v>1</v>
      </c>
      <c r="AF5" s="45" t="str">
        <f t="shared" si="6"/>
        <v>适中</v>
      </c>
      <c r="AG5" s="46">
        <f>VLOOKUP($AF$1&amp;AF5,【1】定价因子!E:F,2,0)</f>
        <v>1</v>
      </c>
      <c r="AH5" s="45" t="str">
        <f t="shared" si="7"/>
        <v>适中</v>
      </c>
      <c r="AI5" s="46">
        <f>VLOOKUP($AH$1&amp;AH5,【1】定价因子!E:F,2,0)</f>
        <v>1</v>
      </c>
      <c r="AJ5" s="46" t="str">
        <f>VLOOKUP(H5,'【3-1】大区填-采光基本要素'!A:H,8,0)</f>
        <v>1</v>
      </c>
      <c r="AK5" s="46">
        <f>VLOOKUP($AJ$1&amp;AJ5,【1】定价因子!E:F,2,0)</f>
        <v>0.91</v>
      </c>
      <c r="AL5" s="47">
        <f t="shared" si="8"/>
        <v>1187.07240652</v>
      </c>
      <c r="AM5" s="48">
        <v>950</v>
      </c>
      <c r="AN5" s="49">
        <f t="shared" si="9"/>
        <v>-0.199711833261289</v>
      </c>
    </row>
    <row r="6" spans="1:40">
      <c r="A6" s="41" t="str">
        <f>'【2】运营中心填-基本信息&amp;审核标准'!$E$2</f>
        <v>福永一队9-16栋</v>
      </c>
      <c r="B6" s="13">
        <f t="shared" si="0"/>
        <v>1</v>
      </c>
      <c r="C6" s="13">
        <f t="shared" si="1"/>
        <v>5</v>
      </c>
      <c r="D6" s="13">
        <f t="shared" si="2"/>
        <v>40</v>
      </c>
      <c r="E6" s="13"/>
      <c r="F6" s="13">
        <f t="shared" si="3"/>
        <v>5</v>
      </c>
      <c r="G6" s="13"/>
      <c r="H6" s="42">
        <v>105</v>
      </c>
      <c r="I6" s="43" t="s">
        <v>493</v>
      </c>
      <c r="J6" s="43" t="s">
        <v>40</v>
      </c>
      <c r="K6" s="13" t="str" cm="1">
        <f t="array" ref="K6">IFERROR(INDEX($J$2:$J$41,MATCH(0,IF(ISBLANK($J$2:$J$41),1,COUNTIF($K$1:K5,$J$2:$J$41)),0)),"")</f>
        <v/>
      </c>
      <c r="L6" s="44">
        <f>VLOOKUP(J6,'【3】大区填-楼栋基准格局定价'!B:H,7,0)</f>
        <v>1508.936</v>
      </c>
      <c r="M6" s="45" t="str">
        <f t="shared" si="4"/>
        <v>适中</v>
      </c>
      <c r="N6" s="45">
        <v>13</v>
      </c>
      <c r="O6" s="46">
        <f>VLOOKUP($M$1&amp;M6,【1】定价因子!E:F,2,0)</f>
        <v>1</v>
      </c>
      <c r="P6" s="46" t="str">
        <f>IF(COUNTIFS(户型资产表!E:E,I6,户型资产表!H:H,"阳台门")&gt;0,"有","无")</f>
        <v>无</v>
      </c>
      <c r="Q6" s="46">
        <f>VLOOKUP($P$1&amp;P6,【1】定价因子!E:F,2,0)</f>
        <v>1</v>
      </c>
      <c r="R6" s="46" t="str">
        <f>IF('【2】运营中心填-基本信息&amp;审核标准'!$D$4="是","无",IF(INT(H6/100)&gt;9,"9F",INT(H6/100)&amp;"F"))</f>
        <v>1F</v>
      </c>
      <c r="S6" s="46">
        <f>VLOOKUP(R6,【1】定价因子!D:F,3,0)</f>
        <v>0.91</v>
      </c>
      <c r="T6" s="46" t="str">
        <f>IF('【2】运营中心填-基本信息&amp;审核标准'!$D$4="否","无",IF(INT(H6/100)=1,"1F",IF(AND(INT(H6/100)&gt;=2,INT(H6/100)&lt;=3),"2-3F",IF(INT(H6/100)=4,"4F",IF(AND(INT(H6/100)&gt;=5,INT(H6/100)&lt;=6),"5-6F",IF(AND(INT(H6/100)&gt;=7,INT(H6/100)&lt;=8),"7-8F",IF(AND(INT(H6/100)&gt;=9,INT(H6/100)&lt;=10),"9-10F",IF(AND(INT(H6/100)&gt;=11,INT(H6/100)&lt;=12),"11-12F",IF(INT(H6/100)&gt;=13,"13以上F","")))))))))</f>
        <v>无</v>
      </c>
      <c r="U6" s="46">
        <f>VLOOKUP($T$1&amp;T6,【1】定价因子!E:F,2,0)</f>
        <v>1</v>
      </c>
      <c r="V6" s="46" t="str">
        <f>IF(COUNTIFS(户型资产表!E:E,I6,户型资产表!H:H,"操作台")&gt;0,"有","无")</f>
        <v>有</v>
      </c>
      <c r="W6" s="46" t="str">
        <f>IF(COUNTIFS(户型资产表!E:E,I6,户型资产表!H:H,"书桌")&gt;0,"有","无")</f>
        <v>有</v>
      </c>
      <c r="X6" s="46" t="str" cm="1">
        <f t="array" ref="X6">IF(SUMPRODUCT((户型资产表!E:E=I6)*((户型资产表!I:I="沙发01单人")+(户型资产表!I:I="单人沙发02")))&gt;0,"有","无")</f>
        <v>无</v>
      </c>
      <c r="Y6" s="46" t="str" cm="1">
        <f t="array" ref="Y6">IF(SUMPRODUCT((户型资产表!E:E=I6)*((户型资产表!I:I="沙发02两人")+(户型资产表!I:I="双人沙发01")))&gt;0,"有","无")</f>
        <v>无</v>
      </c>
      <c r="Z6" s="46" t="str">
        <f>IF(COUNTIFS(户型资产表!E:E,I6,户型资产表!H:H,"餐桌")&gt;0,"有","无")</f>
        <v>无</v>
      </c>
      <c r="AA6" s="46" t="str">
        <f>IF(COUNTIFS(户型资产表!E:E,I6,户型资产表!H:H,"吸油烟机")&gt;0,"有","无")</f>
        <v>无</v>
      </c>
      <c r="AB6" s="46" t="str">
        <f>IF(COUNTIFS(户型资产表!E:E,I6,户型资产表!H:H,"冰箱")&gt;0,"有","无")</f>
        <v>无</v>
      </c>
      <c r="AC6" s="46" t="str">
        <f>IF(COUNTIFS(户型资产表!E:E,I6,户型资产表!H:H,"电视柜")&gt;0,"有","无")</f>
        <v>无</v>
      </c>
      <c r="AD6" s="45" t="str">
        <f t="shared" si="5"/>
        <v>适中</v>
      </c>
      <c r="AE6" s="46">
        <f>VLOOKUP($AD$1&amp;AD6,【1】定价因子!E:F,2,0)</f>
        <v>1</v>
      </c>
      <c r="AF6" s="45" t="str">
        <f t="shared" si="6"/>
        <v>适中</v>
      </c>
      <c r="AG6" s="46">
        <f>VLOOKUP($AF$1&amp;AF6,【1】定价因子!E:F,2,0)</f>
        <v>1</v>
      </c>
      <c r="AH6" s="45" t="str">
        <f t="shared" si="7"/>
        <v>适中</v>
      </c>
      <c r="AI6" s="46">
        <f>VLOOKUP($AH$1&amp;AH6,【1】定价因子!E:F,2,0)</f>
        <v>1</v>
      </c>
      <c r="AJ6" s="46" t="str">
        <f>VLOOKUP(H6,'【3-1】大区填-采光基本要素'!A:H,8,0)</f>
        <v>1</v>
      </c>
      <c r="AK6" s="46">
        <f>VLOOKUP($AJ$1&amp;AJ6,【1】定价因子!E:F,2,0)</f>
        <v>0.91</v>
      </c>
      <c r="AL6" s="47">
        <f t="shared" si="8"/>
        <v>1249.5499016</v>
      </c>
      <c r="AM6" s="48">
        <v>950</v>
      </c>
      <c r="AN6" s="49">
        <f t="shared" si="9"/>
        <v>-0.239726241598225</v>
      </c>
    </row>
    <row r="7" spans="1:40">
      <c r="A7" s="41" t="str">
        <f>'【2】运营中心填-基本信息&amp;审核标准'!$E$2</f>
        <v>福永一队9-16栋</v>
      </c>
      <c r="B7" s="13">
        <f t="shared" si="0"/>
        <v>2</v>
      </c>
      <c r="C7" s="13">
        <f t="shared" si="1"/>
        <v>5</v>
      </c>
      <c r="D7" s="13">
        <f t="shared" si="2"/>
        <v>40</v>
      </c>
      <c r="E7" s="13"/>
      <c r="F7" s="13">
        <f t="shared" si="3"/>
        <v>5</v>
      </c>
      <c r="G7" s="13"/>
      <c r="H7" s="42">
        <v>201</v>
      </c>
      <c r="I7" s="43" t="s">
        <v>492</v>
      </c>
      <c r="J7" s="43" t="s">
        <v>40</v>
      </c>
      <c r="K7" s="13" t="str" cm="1">
        <f t="array" ref="K7">IFERROR(INDEX($J$2:$J$41,MATCH(0,IF(ISBLANK($J$2:$J$41),1,COUNTIF($K$1:K6,$J$2:$J$41)),0)),"")</f>
        <v/>
      </c>
      <c r="L7" s="44">
        <f>VLOOKUP(J7,'【3】大区填-楼栋基准格局定价'!B:H,7,0)</f>
        <v>1508.936</v>
      </c>
      <c r="M7" s="45" t="str">
        <f t="shared" si="4"/>
        <v>较狭小</v>
      </c>
      <c r="N7" s="45">
        <v>12.27</v>
      </c>
      <c r="O7" s="46">
        <f>VLOOKUP($M$1&amp;M7,【1】定价因子!E:F,2,0)</f>
        <v>0.95</v>
      </c>
      <c r="P7" s="46" t="str">
        <f>IF(COUNTIFS(户型资产表!E:E,I7,户型资产表!H:H,"阳台门")&gt;0,"有","无")</f>
        <v>无</v>
      </c>
      <c r="Q7" s="46">
        <f>VLOOKUP($P$1&amp;P7,【1】定价因子!E:F,2,0)</f>
        <v>1</v>
      </c>
      <c r="R7" s="46" t="str">
        <f>IF('【2】运营中心填-基本信息&amp;审核标准'!$D$4="是","无",IF(INT(H7/100)&gt;9,"9F",INT(H7/100)&amp;"F"))</f>
        <v>2F</v>
      </c>
      <c r="S7" s="46">
        <f>VLOOKUP(R7,【1】定价因子!D:F,3,0)</f>
        <v>1.02</v>
      </c>
      <c r="T7" s="46" t="str">
        <f>IF('【2】运营中心填-基本信息&amp;审核标准'!$D$4="否","无",IF(INT(H7/100)=1,"1F",IF(AND(INT(H7/100)&gt;=2,INT(H7/100)&lt;=3),"2-3F",IF(INT(H7/100)=4,"4F",IF(AND(INT(H7/100)&gt;=5,INT(H7/100)&lt;=6),"5-6F",IF(AND(INT(H7/100)&gt;=7,INT(H7/100)&lt;=8),"7-8F",IF(AND(INT(H7/100)&gt;=9,INT(H7/100)&lt;=10),"9-10F",IF(AND(INT(H7/100)&gt;=11,INT(H7/100)&lt;=12),"11-12F",IF(INT(H7/100)&gt;=13,"13以上F","")))))))))</f>
        <v>无</v>
      </c>
      <c r="U7" s="46">
        <f>VLOOKUP($T$1&amp;T7,【1】定价因子!E:F,2,0)</f>
        <v>1</v>
      </c>
      <c r="V7" s="46" t="str">
        <f>IF(COUNTIFS(户型资产表!E:E,I7,户型资产表!H:H,"操作台")&gt;0,"有","无")</f>
        <v>有</v>
      </c>
      <c r="W7" s="46" t="str">
        <f>IF(COUNTIFS(户型资产表!E:E,I7,户型资产表!H:H,"书桌")&gt;0,"有","无")</f>
        <v>有</v>
      </c>
      <c r="X7" s="46" t="str" cm="1">
        <f t="array" ref="X7">IF(SUMPRODUCT((户型资产表!E:E=I7)*((户型资产表!I:I="沙发01单人")+(户型资产表!I:I="单人沙发02")))&gt;0,"有","无")</f>
        <v>无</v>
      </c>
      <c r="Y7" s="46" t="str" cm="1">
        <f t="array" ref="Y7">IF(SUMPRODUCT((户型资产表!E:E=I7)*((户型资产表!I:I="沙发02两人")+(户型资产表!I:I="双人沙发01")))&gt;0,"有","无")</f>
        <v>无</v>
      </c>
      <c r="Z7" s="46" t="str">
        <f>IF(COUNTIFS(户型资产表!E:E,I7,户型资产表!H:H,"餐桌")&gt;0,"有","无")</f>
        <v>无</v>
      </c>
      <c r="AA7" s="46" t="str">
        <f>IF(COUNTIFS(户型资产表!E:E,I7,户型资产表!H:H,"吸油烟机")&gt;0,"有","无")</f>
        <v>无</v>
      </c>
      <c r="AB7" s="46" t="str">
        <f>IF(COUNTIFS(户型资产表!E:E,I7,户型资产表!H:H,"冰箱")&gt;0,"有","无")</f>
        <v>无</v>
      </c>
      <c r="AC7" s="46" t="str">
        <f>IF(COUNTIFS(户型资产表!E:E,I7,户型资产表!H:H,"电视柜")&gt;0,"有","无")</f>
        <v>无</v>
      </c>
      <c r="AD7" s="45" t="str">
        <f t="shared" si="5"/>
        <v>适中</v>
      </c>
      <c r="AE7" s="46">
        <f>VLOOKUP($AD$1&amp;AD7,【1】定价因子!E:F,2,0)</f>
        <v>1</v>
      </c>
      <c r="AF7" s="45" t="str">
        <f t="shared" si="6"/>
        <v>适中</v>
      </c>
      <c r="AG7" s="46">
        <f>VLOOKUP($AF$1&amp;AF7,【1】定价因子!E:F,2,0)</f>
        <v>1</v>
      </c>
      <c r="AH7" s="45" t="str">
        <f t="shared" si="7"/>
        <v>适中</v>
      </c>
      <c r="AI7" s="46">
        <f>VLOOKUP($AH$1&amp;AH7,【1】定价因子!E:F,2,0)</f>
        <v>1</v>
      </c>
      <c r="AJ7" s="46" t="str">
        <f>VLOOKUP(H7,'【3-1】大区填-采光基本要素'!A:H,8,0)</f>
        <v>2</v>
      </c>
      <c r="AK7" s="46">
        <f>VLOOKUP($AJ$1&amp;AJ7,【1】定价因子!E:F,2,0)</f>
        <v>0.96</v>
      </c>
      <c r="AL7" s="47">
        <f t="shared" si="8"/>
        <v>1403.67262464</v>
      </c>
      <c r="AM7" s="48">
        <f>AL7-75</f>
        <v>1328.67262464</v>
      </c>
      <c r="AN7" s="49">
        <f t="shared" si="9"/>
        <v>-0.0534312621643065</v>
      </c>
    </row>
    <row r="8" spans="1:40">
      <c r="A8" s="41" t="str">
        <f>'【2】运营中心填-基本信息&amp;审核标准'!$E$2</f>
        <v>福永一队9-16栋</v>
      </c>
      <c r="B8" s="13">
        <f t="shared" si="0"/>
        <v>2</v>
      </c>
      <c r="C8" s="13">
        <f t="shared" si="1"/>
        <v>5</v>
      </c>
      <c r="D8" s="13">
        <f t="shared" si="2"/>
        <v>40</v>
      </c>
      <c r="E8" s="13"/>
      <c r="F8" s="13">
        <f t="shared" si="3"/>
        <v>5</v>
      </c>
      <c r="G8" s="13"/>
      <c r="H8" s="42">
        <v>202</v>
      </c>
      <c r="I8" s="43" t="s">
        <v>492</v>
      </c>
      <c r="J8" s="43" t="s">
        <v>40</v>
      </c>
      <c r="K8" s="13" t="str" cm="1">
        <f t="array" ref="K8">IFERROR(INDEX($J$2:$J$41,MATCH(0,IF(ISBLANK($J$2:$J$41),1,COUNTIF($K$1:K7,$J$2:$J$41)),0)),"")</f>
        <v/>
      </c>
      <c r="L8" s="44">
        <f>VLOOKUP(J8,'【3】大区填-楼栋基准格局定价'!B:H,7,0)</f>
        <v>1508.936</v>
      </c>
      <c r="M8" s="45" t="str">
        <f t="shared" si="4"/>
        <v>较狭小</v>
      </c>
      <c r="N8" s="45">
        <v>12.26</v>
      </c>
      <c r="O8" s="46">
        <f>VLOOKUP($M$1&amp;M8,【1】定价因子!E:F,2,0)</f>
        <v>0.95</v>
      </c>
      <c r="P8" s="46" t="str">
        <f>IF(COUNTIFS(户型资产表!E:E,I8,户型资产表!H:H,"阳台门")&gt;0,"有","无")</f>
        <v>无</v>
      </c>
      <c r="Q8" s="46">
        <f>VLOOKUP($P$1&amp;P8,【1】定价因子!E:F,2,0)</f>
        <v>1</v>
      </c>
      <c r="R8" s="46" t="str">
        <f>IF('【2】运营中心填-基本信息&amp;审核标准'!$D$4="是","无",IF(INT(H8/100)&gt;9,"9F",INT(H8/100)&amp;"F"))</f>
        <v>2F</v>
      </c>
      <c r="S8" s="46">
        <f>VLOOKUP(R8,【1】定价因子!D:F,3,0)</f>
        <v>1.02</v>
      </c>
      <c r="T8" s="46" t="str">
        <f>IF('【2】运营中心填-基本信息&amp;审核标准'!$D$4="否","无",IF(INT(H8/100)=1,"1F",IF(AND(INT(H8/100)&gt;=2,INT(H8/100)&lt;=3),"2-3F",IF(INT(H8/100)=4,"4F",IF(AND(INT(H8/100)&gt;=5,INT(H8/100)&lt;=6),"5-6F",IF(AND(INT(H8/100)&gt;=7,INT(H8/100)&lt;=8),"7-8F",IF(AND(INT(H8/100)&gt;=9,INT(H8/100)&lt;=10),"9-10F",IF(AND(INT(H8/100)&gt;=11,INT(H8/100)&lt;=12),"11-12F",IF(INT(H8/100)&gt;=13,"13以上F","")))))))))</f>
        <v>无</v>
      </c>
      <c r="U8" s="46">
        <f>VLOOKUP($T$1&amp;T8,【1】定价因子!E:F,2,0)</f>
        <v>1</v>
      </c>
      <c r="V8" s="46" t="str">
        <f>IF(COUNTIFS(户型资产表!E:E,I8,户型资产表!H:H,"操作台")&gt;0,"有","无")</f>
        <v>有</v>
      </c>
      <c r="W8" s="46" t="str">
        <f>IF(COUNTIFS(户型资产表!E:E,I8,户型资产表!H:H,"书桌")&gt;0,"有","无")</f>
        <v>有</v>
      </c>
      <c r="X8" s="46" t="str" cm="1">
        <f t="array" ref="X8">IF(SUMPRODUCT((户型资产表!E:E=I8)*((户型资产表!I:I="沙发01单人")+(户型资产表!I:I="单人沙发02")))&gt;0,"有","无")</f>
        <v>无</v>
      </c>
      <c r="Y8" s="46" t="str" cm="1">
        <f t="array" ref="Y8">IF(SUMPRODUCT((户型资产表!E:E=I8)*((户型资产表!I:I="沙发02两人")+(户型资产表!I:I="双人沙发01")))&gt;0,"有","无")</f>
        <v>无</v>
      </c>
      <c r="Z8" s="46" t="str">
        <f>IF(COUNTIFS(户型资产表!E:E,I8,户型资产表!H:H,"餐桌")&gt;0,"有","无")</f>
        <v>无</v>
      </c>
      <c r="AA8" s="46" t="str">
        <f>IF(COUNTIFS(户型资产表!E:E,I8,户型资产表!H:H,"吸油烟机")&gt;0,"有","无")</f>
        <v>无</v>
      </c>
      <c r="AB8" s="46" t="str">
        <f>IF(COUNTIFS(户型资产表!E:E,I8,户型资产表!H:H,"冰箱")&gt;0,"有","无")</f>
        <v>无</v>
      </c>
      <c r="AC8" s="46" t="str">
        <f>IF(COUNTIFS(户型资产表!E:E,I8,户型资产表!H:H,"电视柜")&gt;0,"有","无")</f>
        <v>无</v>
      </c>
      <c r="AD8" s="45" t="str">
        <f t="shared" si="5"/>
        <v>适中</v>
      </c>
      <c r="AE8" s="46">
        <f>VLOOKUP($AD$1&amp;AD8,【1】定价因子!E:F,2,0)</f>
        <v>1</v>
      </c>
      <c r="AF8" s="45" t="str">
        <f t="shared" si="6"/>
        <v>适中</v>
      </c>
      <c r="AG8" s="46">
        <f>VLOOKUP($AF$1&amp;AF8,【1】定价因子!E:F,2,0)</f>
        <v>1</v>
      </c>
      <c r="AH8" s="45" t="str">
        <f t="shared" si="7"/>
        <v>适中</v>
      </c>
      <c r="AI8" s="46">
        <f>VLOOKUP($AH$1&amp;AH8,【1】定价因子!E:F,2,0)</f>
        <v>1</v>
      </c>
      <c r="AJ8" s="46" t="str">
        <f>VLOOKUP(H8,'【3-1】大区填-采光基本要素'!A:H,8,0)</f>
        <v>1</v>
      </c>
      <c r="AK8" s="46">
        <f>VLOOKUP($AJ$1&amp;AJ8,【1】定价因子!E:F,2,0)</f>
        <v>0.91</v>
      </c>
      <c r="AL8" s="47">
        <f t="shared" si="8"/>
        <v>1330.56467544</v>
      </c>
      <c r="AM8" s="48">
        <f t="shared" ref="AM8:AM41" si="10">AL8-75</f>
        <v>1255.56467544</v>
      </c>
      <c r="AN8" s="49">
        <f t="shared" si="9"/>
        <v>-0.056367045799708</v>
      </c>
    </row>
    <row r="9" spans="1:40">
      <c r="A9" s="41" t="str">
        <f>'【2】运营中心填-基本信息&amp;审核标准'!$E$2</f>
        <v>福永一队9-16栋</v>
      </c>
      <c r="B9" s="13">
        <f t="shared" si="0"/>
        <v>2</v>
      </c>
      <c r="C9" s="13">
        <f t="shared" si="1"/>
        <v>5</v>
      </c>
      <c r="D9" s="13">
        <f t="shared" si="2"/>
        <v>40</v>
      </c>
      <c r="E9" s="13"/>
      <c r="F9" s="13">
        <f t="shared" si="3"/>
        <v>5</v>
      </c>
      <c r="G9" s="13"/>
      <c r="H9" s="42">
        <v>203</v>
      </c>
      <c r="I9" s="43" t="s">
        <v>493</v>
      </c>
      <c r="J9" s="43" t="s">
        <v>40</v>
      </c>
      <c r="K9" s="13" t="str" cm="1">
        <f t="array" ref="K9">IFERROR(INDEX($J$2:$J$41,MATCH(0,IF(ISBLANK($J$2:$J$41),1,COUNTIF($K$1:K8,$J$2:$J$41)),0)),"")</f>
        <v/>
      </c>
      <c r="L9" s="44">
        <f>VLOOKUP(J9,'【3】大区填-楼栋基准格局定价'!B:H,7,0)</f>
        <v>1508.936</v>
      </c>
      <c r="M9" s="45" t="str">
        <f t="shared" si="4"/>
        <v>适中</v>
      </c>
      <c r="N9" s="45">
        <v>13</v>
      </c>
      <c r="O9" s="46">
        <f>VLOOKUP($M$1&amp;M9,【1】定价因子!E:F,2,0)</f>
        <v>1</v>
      </c>
      <c r="P9" s="46" t="str">
        <f>IF(COUNTIFS(户型资产表!E:E,I9,户型资产表!H:H,"阳台门")&gt;0,"有","无")</f>
        <v>无</v>
      </c>
      <c r="Q9" s="46">
        <f>VLOOKUP($P$1&amp;P9,【1】定价因子!E:F,2,0)</f>
        <v>1</v>
      </c>
      <c r="R9" s="46" t="str">
        <f>IF('【2】运营中心填-基本信息&amp;审核标准'!$D$4="是","无",IF(INT(H9/100)&gt;9,"9F",INT(H9/100)&amp;"F"))</f>
        <v>2F</v>
      </c>
      <c r="S9" s="46">
        <f>VLOOKUP(R9,【1】定价因子!D:F,3,0)</f>
        <v>1.02</v>
      </c>
      <c r="T9" s="46" t="str">
        <f>IF('【2】运营中心填-基本信息&amp;审核标准'!$D$4="否","无",IF(INT(H9/100)=1,"1F",IF(AND(INT(H9/100)&gt;=2,INT(H9/100)&lt;=3),"2-3F",IF(INT(H9/100)=4,"4F",IF(AND(INT(H9/100)&gt;=5,INT(H9/100)&lt;=6),"5-6F",IF(AND(INT(H9/100)&gt;=7,INT(H9/100)&lt;=8),"7-8F",IF(AND(INT(H9/100)&gt;=9,INT(H9/100)&lt;=10),"9-10F",IF(AND(INT(H9/100)&gt;=11,INT(H9/100)&lt;=12),"11-12F",IF(INT(H9/100)&gt;=13,"13以上F","")))))))))</f>
        <v>无</v>
      </c>
      <c r="U9" s="46">
        <f>VLOOKUP($T$1&amp;T9,【1】定价因子!E:F,2,0)</f>
        <v>1</v>
      </c>
      <c r="V9" s="46" t="str">
        <f>IF(COUNTIFS(户型资产表!E:E,I9,户型资产表!H:H,"操作台")&gt;0,"有","无")</f>
        <v>有</v>
      </c>
      <c r="W9" s="46" t="str">
        <f>IF(COUNTIFS(户型资产表!E:E,I9,户型资产表!H:H,"书桌")&gt;0,"有","无")</f>
        <v>有</v>
      </c>
      <c r="X9" s="46" t="str" cm="1">
        <f t="array" ref="X9">IF(SUMPRODUCT((户型资产表!E:E=I9)*((户型资产表!I:I="沙发01单人")+(户型资产表!I:I="单人沙发02")))&gt;0,"有","无")</f>
        <v>无</v>
      </c>
      <c r="Y9" s="46" t="str" cm="1">
        <f t="array" ref="Y9">IF(SUMPRODUCT((户型资产表!E:E=I9)*((户型资产表!I:I="沙发02两人")+(户型资产表!I:I="双人沙发01")))&gt;0,"有","无")</f>
        <v>无</v>
      </c>
      <c r="Z9" s="46" t="str">
        <f>IF(COUNTIFS(户型资产表!E:E,I9,户型资产表!H:H,"餐桌")&gt;0,"有","无")</f>
        <v>无</v>
      </c>
      <c r="AA9" s="46" t="str">
        <f>IF(COUNTIFS(户型资产表!E:E,I9,户型资产表!H:H,"吸油烟机")&gt;0,"有","无")</f>
        <v>无</v>
      </c>
      <c r="AB9" s="46" t="str">
        <f>IF(COUNTIFS(户型资产表!E:E,I9,户型资产表!H:H,"冰箱")&gt;0,"有","无")</f>
        <v>无</v>
      </c>
      <c r="AC9" s="46" t="str">
        <f>IF(COUNTIFS(户型资产表!E:E,I9,户型资产表!H:H,"电视柜")&gt;0,"有","无")</f>
        <v>无</v>
      </c>
      <c r="AD9" s="45" t="str">
        <f t="shared" si="5"/>
        <v>适中</v>
      </c>
      <c r="AE9" s="46">
        <f>VLOOKUP($AD$1&amp;AD9,【1】定价因子!E:F,2,0)</f>
        <v>1</v>
      </c>
      <c r="AF9" s="45" t="str">
        <f t="shared" si="6"/>
        <v>适中</v>
      </c>
      <c r="AG9" s="46">
        <f>VLOOKUP($AF$1&amp;AF9,【1】定价因子!E:F,2,0)</f>
        <v>1</v>
      </c>
      <c r="AH9" s="45" t="str">
        <f t="shared" si="7"/>
        <v>适中</v>
      </c>
      <c r="AI9" s="46">
        <f>VLOOKUP($AH$1&amp;AH9,【1】定价因子!E:F,2,0)</f>
        <v>1</v>
      </c>
      <c r="AJ9" s="46" t="str">
        <f>VLOOKUP(H9,'【3-1】大区填-采光基本要素'!A:H,8,0)</f>
        <v>1</v>
      </c>
      <c r="AK9" s="46">
        <f>VLOOKUP($AJ$1&amp;AJ9,【1】定价因子!E:F,2,0)</f>
        <v>0.91</v>
      </c>
      <c r="AL9" s="47">
        <f t="shared" si="8"/>
        <v>1400.5943952</v>
      </c>
      <c r="AM9" s="48">
        <f>AL9-80</f>
        <v>1320.5943952</v>
      </c>
      <c r="AN9" s="49">
        <f t="shared" si="9"/>
        <v>-0.0571186064103707</v>
      </c>
    </row>
    <row r="10" spans="1:40">
      <c r="A10" s="41" t="str">
        <f>'【2】运营中心填-基本信息&amp;审核标准'!$E$2</f>
        <v>福永一队9-16栋</v>
      </c>
      <c r="B10" s="13">
        <f t="shared" si="0"/>
        <v>2</v>
      </c>
      <c r="C10" s="13">
        <f t="shared" si="1"/>
        <v>5</v>
      </c>
      <c r="D10" s="13">
        <f t="shared" si="2"/>
        <v>40</v>
      </c>
      <c r="E10" s="13"/>
      <c r="F10" s="13">
        <f t="shared" si="3"/>
        <v>5</v>
      </c>
      <c r="G10" s="13"/>
      <c r="H10" s="42">
        <v>204</v>
      </c>
      <c r="I10" s="43" t="s">
        <v>493</v>
      </c>
      <c r="J10" s="43" t="s">
        <v>40</v>
      </c>
      <c r="K10" s="13" t="str" cm="1">
        <f t="array" ref="K10">IFERROR(INDEX($J$2:$J$41,MATCH(0,IF(ISBLANK($J$2:$J$41),1,COUNTIF($K$1:K9,$J$2:$J$41)),0)),"")</f>
        <v/>
      </c>
      <c r="L10" s="44">
        <f>VLOOKUP(J10,'【3】大区填-楼栋基准格局定价'!B:H,7,0)</f>
        <v>1508.936</v>
      </c>
      <c r="M10" s="45" t="str">
        <f t="shared" si="4"/>
        <v>较狭小</v>
      </c>
      <c r="N10" s="45">
        <v>12.39</v>
      </c>
      <c r="O10" s="46">
        <f>VLOOKUP($M$1&amp;M10,【1】定价因子!E:F,2,0)</f>
        <v>0.95</v>
      </c>
      <c r="P10" s="46" t="str">
        <f>IF(COUNTIFS(户型资产表!E:E,I10,户型资产表!H:H,"阳台门")&gt;0,"有","无")</f>
        <v>无</v>
      </c>
      <c r="Q10" s="46">
        <f>VLOOKUP($P$1&amp;P10,【1】定价因子!E:F,2,0)</f>
        <v>1</v>
      </c>
      <c r="R10" s="46" t="str">
        <f>IF('【2】运营中心填-基本信息&amp;审核标准'!$D$4="是","无",IF(INT(H10/100)&gt;9,"9F",INT(H10/100)&amp;"F"))</f>
        <v>2F</v>
      </c>
      <c r="S10" s="46">
        <f>VLOOKUP(R10,【1】定价因子!D:F,3,0)</f>
        <v>1.02</v>
      </c>
      <c r="T10" s="46" t="str">
        <f>IF('【2】运营中心填-基本信息&amp;审核标准'!$D$4="否","无",IF(INT(H10/100)=1,"1F",IF(AND(INT(H10/100)&gt;=2,INT(H10/100)&lt;=3),"2-3F",IF(INT(H10/100)=4,"4F",IF(AND(INT(H10/100)&gt;=5,INT(H10/100)&lt;=6),"5-6F",IF(AND(INT(H10/100)&gt;=7,INT(H10/100)&lt;=8),"7-8F",IF(AND(INT(H10/100)&gt;=9,INT(H10/100)&lt;=10),"9-10F",IF(AND(INT(H10/100)&gt;=11,INT(H10/100)&lt;=12),"11-12F",IF(INT(H10/100)&gt;=13,"13以上F","")))))))))</f>
        <v>无</v>
      </c>
      <c r="U10" s="46">
        <f>VLOOKUP($T$1&amp;T10,【1】定价因子!E:F,2,0)</f>
        <v>1</v>
      </c>
      <c r="V10" s="46" t="str">
        <f>IF(COUNTIFS(户型资产表!E:E,I10,户型资产表!H:H,"操作台")&gt;0,"有","无")</f>
        <v>有</v>
      </c>
      <c r="W10" s="46" t="str">
        <f>IF(COUNTIFS(户型资产表!E:E,I10,户型资产表!H:H,"书桌")&gt;0,"有","无")</f>
        <v>有</v>
      </c>
      <c r="X10" s="46" t="str" cm="1">
        <f t="array" ref="X10">IF(SUMPRODUCT((户型资产表!E:E=I10)*((户型资产表!I:I="沙发01单人")+(户型资产表!I:I="单人沙发02")))&gt;0,"有","无")</f>
        <v>无</v>
      </c>
      <c r="Y10" s="46" t="str" cm="1">
        <f t="array" ref="Y10">IF(SUMPRODUCT((户型资产表!E:E=I10)*((户型资产表!I:I="沙发02两人")+(户型资产表!I:I="双人沙发01")))&gt;0,"有","无")</f>
        <v>无</v>
      </c>
      <c r="Z10" s="46" t="str">
        <f>IF(COUNTIFS(户型资产表!E:E,I10,户型资产表!H:H,"餐桌")&gt;0,"有","无")</f>
        <v>无</v>
      </c>
      <c r="AA10" s="46" t="str">
        <f>IF(COUNTIFS(户型资产表!E:E,I10,户型资产表!H:H,"吸油烟机")&gt;0,"有","无")</f>
        <v>无</v>
      </c>
      <c r="AB10" s="46" t="str">
        <f>IF(COUNTIFS(户型资产表!E:E,I10,户型资产表!H:H,"冰箱")&gt;0,"有","无")</f>
        <v>无</v>
      </c>
      <c r="AC10" s="46" t="str">
        <f>IF(COUNTIFS(户型资产表!E:E,I10,户型资产表!H:H,"电视柜")&gt;0,"有","无")</f>
        <v>无</v>
      </c>
      <c r="AD10" s="45" t="str">
        <f t="shared" si="5"/>
        <v>适中</v>
      </c>
      <c r="AE10" s="46">
        <f>VLOOKUP($AD$1&amp;AD10,【1】定价因子!E:F,2,0)</f>
        <v>1</v>
      </c>
      <c r="AF10" s="45" t="str">
        <f t="shared" si="6"/>
        <v>适中</v>
      </c>
      <c r="AG10" s="46">
        <f>VLOOKUP($AF$1&amp;AF10,【1】定价因子!E:F,2,0)</f>
        <v>1</v>
      </c>
      <c r="AH10" s="45" t="str">
        <f t="shared" si="7"/>
        <v>适中</v>
      </c>
      <c r="AI10" s="46">
        <f>VLOOKUP($AH$1&amp;AH10,【1】定价因子!E:F,2,0)</f>
        <v>1</v>
      </c>
      <c r="AJ10" s="46" t="str">
        <f>VLOOKUP(H10,'【3-1】大区填-采光基本要素'!A:H,8,0)</f>
        <v>2</v>
      </c>
      <c r="AK10" s="46">
        <f>VLOOKUP($AJ$1&amp;AJ10,【1】定价因子!E:F,2,0)</f>
        <v>0.96</v>
      </c>
      <c r="AL10" s="47">
        <f t="shared" si="8"/>
        <v>1403.67262464</v>
      </c>
      <c r="AM10" s="48">
        <f>AL10-90</f>
        <v>1313.67262464</v>
      </c>
      <c r="AN10" s="49">
        <f t="shared" si="9"/>
        <v>-0.0641175145971677</v>
      </c>
    </row>
    <row r="11" spans="1:40">
      <c r="A11" s="41" t="str">
        <f>'【2】运营中心填-基本信息&amp;审核标准'!$E$2</f>
        <v>福永一队9-16栋</v>
      </c>
      <c r="B11" s="13">
        <f t="shared" si="0"/>
        <v>2</v>
      </c>
      <c r="C11" s="13">
        <f t="shared" si="1"/>
        <v>5</v>
      </c>
      <c r="D11" s="13">
        <f t="shared" si="2"/>
        <v>40</v>
      </c>
      <c r="E11" s="13"/>
      <c r="F11" s="13">
        <f t="shared" si="3"/>
        <v>5</v>
      </c>
      <c r="G11" s="13"/>
      <c r="H11" s="42">
        <v>205</v>
      </c>
      <c r="I11" s="43" t="s">
        <v>493</v>
      </c>
      <c r="J11" s="43" t="s">
        <v>40</v>
      </c>
      <c r="K11" s="13" t="str" cm="1">
        <f t="array" ref="K11">IFERROR(INDEX($J$2:$J$41,MATCH(0,IF(ISBLANK($J$2:$J$41),1,COUNTIF($K$1:K10,$J$2:$J$41)),0)),"")</f>
        <v/>
      </c>
      <c r="L11" s="44">
        <f>VLOOKUP(J11,'【3】大区填-楼栋基准格局定价'!B:H,7,0)</f>
        <v>1508.936</v>
      </c>
      <c r="M11" s="45" t="str">
        <f t="shared" si="4"/>
        <v>适中</v>
      </c>
      <c r="N11" s="45">
        <v>13</v>
      </c>
      <c r="O11" s="46">
        <f>VLOOKUP($M$1&amp;M11,【1】定价因子!E:F,2,0)</f>
        <v>1</v>
      </c>
      <c r="P11" s="46" t="str">
        <f>IF(COUNTIFS(户型资产表!E:E,I11,户型资产表!H:H,"阳台门")&gt;0,"有","无")</f>
        <v>无</v>
      </c>
      <c r="Q11" s="46">
        <f>VLOOKUP($P$1&amp;P11,【1】定价因子!E:F,2,0)</f>
        <v>1</v>
      </c>
      <c r="R11" s="46" t="str">
        <f>IF('【2】运营中心填-基本信息&amp;审核标准'!$D$4="是","无",IF(INT(H11/100)&gt;9,"9F",INT(H11/100)&amp;"F"))</f>
        <v>2F</v>
      </c>
      <c r="S11" s="46">
        <f>VLOOKUP(R11,【1】定价因子!D:F,3,0)</f>
        <v>1.02</v>
      </c>
      <c r="T11" s="46" t="str">
        <f>IF('【2】运营中心填-基本信息&amp;审核标准'!$D$4="否","无",IF(INT(H11/100)=1,"1F",IF(AND(INT(H11/100)&gt;=2,INT(H11/100)&lt;=3),"2-3F",IF(INT(H11/100)=4,"4F",IF(AND(INT(H11/100)&gt;=5,INT(H11/100)&lt;=6),"5-6F",IF(AND(INT(H11/100)&gt;=7,INT(H11/100)&lt;=8),"7-8F",IF(AND(INT(H11/100)&gt;=9,INT(H11/100)&lt;=10),"9-10F",IF(AND(INT(H11/100)&gt;=11,INT(H11/100)&lt;=12),"11-12F",IF(INT(H11/100)&gt;=13,"13以上F","")))))))))</f>
        <v>无</v>
      </c>
      <c r="U11" s="46">
        <f>VLOOKUP($T$1&amp;T11,【1】定价因子!E:F,2,0)</f>
        <v>1</v>
      </c>
      <c r="V11" s="46" t="str">
        <f>IF(COUNTIFS(户型资产表!E:E,I11,户型资产表!H:H,"操作台")&gt;0,"有","无")</f>
        <v>有</v>
      </c>
      <c r="W11" s="46" t="str">
        <f>IF(COUNTIFS(户型资产表!E:E,I11,户型资产表!H:H,"书桌")&gt;0,"有","无")</f>
        <v>有</v>
      </c>
      <c r="X11" s="46" t="str" cm="1">
        <f t="array" ref="X11">IF(SUMPRODUCT((户型资产表!E:E=I11)*((户型资产表!I:I="沙发01单人")+(户型资产表!I:I="单人沙发02")))&gt;0,"有","无")</f>
        <v>无</v>
      </c>
      <c r="Y11" s="46" t="str" cm="1">
        <f t="array" ref="Y11">IF(SUMPRODUCT((户型资产表!E:E=I11)*((户型资产表!I:I="沙发02两人")+(户型资产表!I:I="双人沙发01")))&gt;0,"有","无")</f>
        <v>无</v>
      </c>
      <c r="Z11" s="46" t="str">
        <f>IF(COUNTIFS(户型资产表!E:E,I11,户型资产表!H:H,"餐桌")&gt;0,"有","无")</f>
        <v>无</v>
      </c>
      <c r="AA11" s="46" t="str">
        <f>IF(COUNTIFS(户型资产表!E:E,I11,户型资产表!H:H,"吸油烟机")&gt;0,"有","无")</f>
        <v>无</v>
      </c>
      <c r="AB11" s="46" t="str">
        <f>IF(COUNTIFS(户型资产表!E:E,I11,户型资产表!H:H,"冰箱")&gt;0,"有","无")</f>
        <v>无</v>
      </c>
      <c r="AC11" s="46" t="str">
        <f>IF(COUNTIFS(户型资产表!E:E,I11,户型资产表!H:H,"电视柜")&gt;0,"有","无")</f>
        <v>无</v>
      </c>
      <c r="AD11" s="45" t="str">
        <f t="shared" si="5"/>
        <v>适中</v>
      </c>
      <c r="AE11" s="46">
        <f>VLOOKUP($AD$1&amp;AD11,【1】定价因子!E:F,2,0)</f>
        <v>1</v>
      </c>
      <c r="AF11" s="45" t="str">
        <f t="shared" si="6"/>
        <v>适中</v>
      </c>
      <c r="AG11" s="46">
        <f>VLOOKUP($AF$1&amp;AF11,【1】定价因子!E:F,2,0)</f>
        <v>1</v>
      </c>
      <c r="AH11" s="45" t="str">
        <f t="shared" si="7"/>
        <v>适中</v>
      </c>
      <c r="AI11" s="46">
        <f>VLOOKUP($AH$1&amp;AH11,【1】定价因子!E:F,2,0)</f>
        <v>1</v>
      </c>
      <c r="AJ11" s="46" t="str">
        <f>VLOOKUP(H11,'【3-1】大区填-采光基本要素'!A:H,8,0)</f>
        <v>2</v>
      </c>
      <c r="AK11" s="46">
        <f>VLOOKUP($AJ$1&amp;AJ11,【1】定价因子!E:F,2,0)</f>
        <v>0.96</v>
      </c>
      <c r="AL11" s="47">
        <f t="shared" si="8"/>
        <v>1477.5501312</v>
      </c>
      <c r="AM11" s="48">
        <f t="shared" si="10"/>
        <v>1402.5501312</v>
      </c>
      <c r="AN11" s="49">
        <f t="shared" si="9"/>
        <v>-0.0507596990560911</v>
      </c>
    </row>
    <row r="12" spans="1:40">
      <c r="A12" s="41" t="str">
        <f>'【2】运营中心填-基本信息&amp;审核标准'!$E$2</f>
        <v>福永一队9-16栋</v>
      </c>
      <c r="B12" s="13">
        <f t="shared" si="0"/>
        <v>3</v>
      </c>
      <c r="C12" s="13">
        <f t="shared" si="1"/>
        <v>5</v>
      </c>
      <c r="D12" s="13">
        <f t="shared" si="2"/>
        <v>40</v>
      </c>
      <c r="E12" s="13"/>
      <c r="F12" s="13">
        <f t="shared" si="3"/>
        <v>5</v>
      </c>
      <c r="G12" s="13"/>
      <c r="H12" s="42">
        <v>301</v>
      </c>
      <c r="I12" s="43" t="s">
        <v>492</v>
      </c>
      <c r="J12" s="43" t="s">
        <v>40</v>
      </c>
      <c r="K12" s="13" t="str" cm="1">
        <f t="array" ref="K12">IFERROR(INDEX($J$2:$J$41,MATCH(0,IF(ISBLANK($J$2:$J$41),1,COUNTIF($K$1:K11,$J$2:$J$41)),0)),"")</f>
        <v/>
      </c>
      <c r="L12" s="44">
        <f>VLOOKUP(J12,'【3】大区填-楼栋基准格局定价'!B:H,7,0)</f>
        <v>1508.936</v>
      </c>
      <c r="M12" s="45" t="str">
        <f t="shared" si="4"/>
        <v>较狭小</v>
      </c>
      <c r="N12" s="45">
        <v>12.27</v>
      </c>
      <c r="O12" s="46">
        <f>VLOOKUP($M$1&amp;M12,【1】定价因子!E:F,2,0)</f>
        <v>0.95</v>
      </c>
      <c r="P12" s="46" t="str">
        <f>IF(COUNTIFS(户型资产表!E:E,I12,户型资产表!H:H,"阳台门")&gt;0,"有","无")</f>
        <v>无</v>
      </c>
      <c r="Q12" s="46">
        <f>VLOOKUP($P$1&amp;P12,【1】定价因子!E:F,2,0)</f>
        <v>1</v>
      </c>
      <c r="R12" s="46" t="str">
        <f>IF('【2】运营中心填-基本信息&amp;审核标准'!$D$4="是","无",IF(INT(H12/100)&gt;9,"9F",INT(H12/100)&amp;"F"))</f>
        <v>3F</v>
      </c>
      <c r="S12" s="46">
        <f>VLOOKUP(R12,【1】定价因子!D:F,3,0)</f>
        <v>1.01</v>
      </c>
      <c r="T12" s="46" t="str">
        <f>IF('【2】运营中心填-基本信息&amp;审核标准'!$D$4="否","无",IF(INT(H12/100)=1,"1F",IF(AND(INT(H12/100)&gt;=2,INT(H12/100)&lt;=3),"2-3F",IF(INT(H12/100)=4,"4F",IF(AND(INT(H12/100)&gt;=5,INT(H12/100)&lt;=6),"5-6F",IF(AND(INT(H12/100)&gt;=7,INT(H12/100)&lt;=8),"7-8F",IF(AND(INT(H12/100)&gt;=9,INT(H12/100)&lt;=10),"9-10F",IF(AND(INT(H12/100)&gt;=11,INT(H12/100)&lt;=12),"11-12F",IF(INT(H12/100)&gt;=13,"13以上F","")))))))))</f>
        <v>无</v>
      </c>
      <c r="U12" s="46">
        <f>VLOOKUP($T$1&amp;T12,【1】定价因子!E:F,2,0)</f>
        <v>1</v>
      </c>
      <c r="V12" s="46" t="str">
        <f>IF(COUNTIFS(户型资产表!E:E,I12,户型资产表!H:H,"操作台")&gt;0,"有","无")</f>
        <v>有</v>
      </c>
      <c r="W12" s="46" t="str">
        <f>IF(COUNTIFS(户型资产表!E:E,I12,户型资产表!H:H,"书桌")&gt;0,"有","无")</f>
        <v>有</v>
      </c>
      <c r="X12" s="46" t="str" cm="1">
        <f t="array" ref="X12">IF(SUMPRODUCT((户型资产表!E:E=I12)*((户型资产表!I:I="沙发01单人")+(户型资产表!I:I="单人沙发02")))&gt;0,"有","无")</f>
        <v>无</v>
      </c>
      <c r="Y12" s="46" t="str" cm="1">
        <f t="array" ref="Y12">IF(SUMPRODUCT((户型资产表!E:E=I12)*((户型资产表!I:I="沙发02两人")+(户型资产表!I:I="双人沙发01")))&gt;0,"有","无")</f>
        <v>无</v>
      </c>
      <c r="Z12" s="46" t="str">
        <f>IF(COUNTIFS(户型资产表!E:E,I12,户型资产表!H:H,"餐桌")&gt;0,"有","无")</f>
        <v>无</v>
      </c>
      <c r="AA12" s="46" t="str">
        <f>IF(COUNTIFS(户型资产表!E:E,I12,户型资产表!H:H,"吸油烟机")&gt;0,"有","无")</f>
        <v>无</v>
      </c>
      <c r="AB12" s="46" t="str">
        <f>IF(COUNTIFS(户型资产表!E:E,I12,户型资产表!H:H,"冰箱")&gt;0,"有","无")</f>
        <v>无</v>
      </c>
      <c r="AC12" s="46" t="str">
        <f>IF(COUNTIFS(户型资产表!E:E,I12,户型资产表!H:H,"电视柜")&gt;0,"有","无")</f>
        <v>无</v>
      </c>
      <c r="AD12" s="45" t="str">
        <f t="shared" si="5"/>
        <v>适中</v>
      </c>
      <c r="AE12" s="46">
        <f>VLOOKUP($AD$1&amp;AD12,【1】定价因子!E:F,2,0)</f>
        <v>1</v>
      </c>
      <c r="AF12" s="45" t="str">
        <f t="shared" si="6"/>
        <v>适中</v>
      </c>
      <c r="AG12" s="46">
        <f>VLOOKUP($AF$1&amp;AF12,【1】定价因子!E:F,2,0)</f>
        <v>1</v>
      </c>
      <c r="AH12" s="45" t="str">
        <f t="shared" si="7"/>
        <v>适中</v>
      </c>
      <c r="AI12" s="46">
        <f>VLOOKUP($AH$1&amp;AH12,【1】定价因子!E:F,2,0)</f>
        <v>1</v>
      </c>
      <c r="AJ12" s="46" t="str">
        <f>VLOOKUP(H12,'【3-1】大区填-采光基本要素'!A:H,8,0)</f>
        <v>2</v>
      </c>
      <c r="AK12" s="46">
        <f>VLOOKUP($AJ$1&amp;AJ12,【1】定价因子!E:F,2,0)</f>
        <v>0.96</v>
      </c>
      <c r="AL12" s="47">
        <f t="shared" si="8"/>
        <v>1389.91112832</v>
      </c>
      <c r="AM12" s="48">
        <f t="shared" si="10"/>
        <v>1314.91112832</v>
      </c>
      <c r="AN12" s="49">
        <f t="shared" si="9"/>
        <v>-0.0539602845619729</v>
      </c>
    </row>
    <row r="13" spans="1:40">
      <c r="A13" s="41" t="str">
        <f>'【2】运营中心填-基本信息&amp;审核标准'!$E$2</f>
        <v>福永一队9-16栋</v>
      </c>
      <c r="B13" s="13">
        <f t="shared" si="0"/>
        <v>3</v>
      </c>
      <c r="C13" s="13">
        <f t="shared" si="1"/>
        <v>5</v>
      </c>
      <c r="D13" s="13">
        <f t="shared" si="2"/>
        <v>40</v>
      </c>
      <c r="E13" s="13"/>
      <c r="F13" s="13">
        <f t="shared" si="3"/>
        <v>5</v>
      </c>
      <c r="G13" s="13"/>
      <c r="H13" s="42">
        <v>302</v>
      </c>
      <c r="I13" s="43" t="s">
        <v>492</v>
      </c>
      <c r="J13" s="43" t="s">
        <v>40</v>
      </c>
      <c r="K13" s="13" t="str" cm="1">
        <f t="array" ref="K13">IFERROR(INDEX($J$2:$J$41,MATCH(0,IF(ISBLANK($J$2:$J$41),1,COUNTIF($K$1:K12,$J$2:$J$41)),0)),"")</f>
        <v/>
      </c>
      <c r="L13" s="44">
        <f>VLOOKUP(J13,'【3】大区填-楼栋基准格局定价'!B:H,7,0)</f>
        <v>1508.936</v>
      </c>
      <c r="M13" s="45" t="str">
        <f t="shared" si="4"/>
        <v>较狭小</v>
      </c>
      <c r="N13" s="45">
        <v>12.26</v>
      </c>
      <c r="O13" s="46">
        <f>VLOOKUP($M$1&amp;M13,【1】定价因子!E:F,2,0)</f>
        <v>0.95</v>
      </c>
      <c r="P13" s="46" t="str">
        <f>IF(COUNTIFS(户型资产表!E:E,I13,户型资产表!H:H,"阳台门")&gt;0,"有","无")</f>
        <v>无</v>
      </c>
      <c r="Q13" s="46">
        <f>VLOOKUP($P$1&amp;P13,【1】定价因子!E:F,2,0)</f>
        <v>1</v>
      </c>
      <c r="R13" s="46" t="str">
        <f>IF('【2】运营中心填-基本信息&amp;审核标准'!$D$4="是","无",IF(INT(H13/100)&gt;9,"9F",INT(H13/100)&amp;"F"))</f>
        <v>3F</v>
      </c>
      <c r="S13" s="46">
        <f>VLOOKUP(R13,【1】定价因子!D:F,3,0)</f>
        <v>1.01</v>
      </c>
      <c r="T13" s="46" t="str">
        <f>IF('【2】运营中心填-基本信息&amp;审核标准'!$D$4="否","无",IF(INT(H13/100)=1,"1F",IF(AND(INT(H13/100)&gt;=2,INT(H13/100)&lt;=3),"2-3F",IF(INT(H13/100)=4,"4F",IF(AND(INT(H13/100)&gt;=5,INT(H13/100)&lt;=6),"5-6F",IF(AND(INT(H13/100)&gt;=7,INT(H13/100)&lt;=8),"7-8F",IF(AND(INT(H13/100)&gt;=9,INT(H13/100)&lt;=10),"9-10F",IF(AND(INT(H13/100)&gt;=11,INT(H13/100)&lt;=12),"11-12F",IF(INT(H13/100)&gt;=13,"13以上F","")))))))))</f>
        <v>无</v>
      </c>
      <c r="U13" s="46">
        <f>VLOOKUP($T$1&amp;T13,【1】定价因子!E:F,2,0)</f>
        <v>1</v>
      </c>
      <c r="V13" s="46" t="str">
        <f>IF(COUNTIFS(户型资产表!E:E,I13,户型资产表!H:H,"操作台")&gt;0,"有","无")</f>
        <v>有</v>
      </c>
      <c r="W13" s="46" t="str">
        <f>IF(COUNTIFS(户型资产表!E:E,I13,户型资产表!H:H,"书桌")&gt;0,"有","无")</f>
        <v>有</v>
      </c>
      <c r="X13" s="46" t="str" cm="1">
        <f t="array" ref="X13">IF(SUMPRODUCT((户型资产表!E:E=I13)*((户型资产表!I:I="沙发01单人")+(户型资产表!I:I="单人沙发02")))&gt;0,"有","无")</f>
        <v>无</v>
      </c>
      <c r="Y13" s="46" t="str" cm="1">
        <f t="array" ref="Y13">IF(SUMPRODUCT((户型资产表!E:E=I13)*((户型资产表!I:I="沙发02两人")+(户型资产表!I:I="双人沙发01")))&gt;0,"有","无")</f>
        <v>无</v>
      </c>
      <c r="Z13" s="46" t="str">
        <f>IF(COUNTIFS(户型资产表!E:E,I13,户型资产表!H:H,"餐桌")&gt;0,"有","无")</f>
        <v>无</v>
      </c>
      <c r="AA13" s="46" t="str">
        <f>IF(COUNTIFS(户型资产表!E:E,I13,户型资产表!H:H,"吸油烟机")&gt;0,"有","无")</f>
        <v>无</v>
      </c>
      <c r="AB13" s="46" t="str">
        <f>IF(COUNTIFS(户型资产表!E:E,I13,户型资产表!H:H,"冰箱")&gt;0,"有","无")</f>
        <v>无</v>
      </c>
      <c r="AC13" s="46" t="str">
        <f>IF(COUNTIFS(户型资产表!E:E,I13,户型资产表!H:H,"电视柜")&gt;0,"有","无")</f>
        <v>无</v>
      </c>
      <c r="AD13" s="45" t="str">
        <f t="shared" si="5"/>
        <v>适中</v>
      </c>
      <c r="AE13" s="46">
        <f>VLOOKUP($AD$1&amp;AD13,【1】定价因子!E:F,2,0)</f>
        <v>1</v>
      </c>
      <c r="AF13" s="45" t="str">
        <f t="shared" si="6"/>
        <v>适中</v>
      </c>
      <c r="AG13" s="46">
        <f>VLOOKUP($AF$1&amp;AF13,【1】定价因子!E:F,2,0)</f>
        <v>1</v>
      </c>
      <c r="AH13" s="45" t="str">
        <f t="shared" si="7"/>
        <v>适中</v>
      </c>
      <c r="AI13" s="46">
        <f>VLOOKUP($AH$1&amp;AH13,【1】定价因子!E:F,2,0)</f>
        <v>1</v>
      </c>
      <c r="AJ13" s="46" t="str">
        <f>VLOOKUP(H13,'【3-1】大区填-采光基本要素'!A:H,8,0)</f>
        <v>1</v>
      </c>
      <c r="AK13" s="46">
        <f>VLOOKUP($AJ$1&amp;AJ13,【1】定价因子!E:F,2,0)</f>
        <v>0.91</v>
      </c>
      <c r="AL13" s="47">
        <f t="shared" si="8"/>
        <v>1317.51992372</v>
      </c>
      <c r="AM13" s="48">
        <f t="shared" si="10"/>
        <v>1242.51992372</v>
      </c>
      <c r="AN13" s="49">
        <f t="shared" si="9"/>
        <v>-0.0569251353620813</v>
      </c>
    </row>
    <row r="14" spans="1:40">
      <c r="A14" s="41" t="str">
        <f>'【2】运营中心填-基本信息&amp;审核标准'!$E$2</f>
        <v>福永一队9-16栋</v>
      </c>
      <c r="B14" s="13">
        <f t="shared" si="0"/>
        <v>3</v>
      </c>
      <c r="C14" s="13">
        <f t="shared" si="1"/>
        <v>5</v>
      </c>
      <c r="D14" s="13">
        <f t="shared" si="2"/>
        <v>40</v>
      </c>
      <c r="E14" s="13"/>
      <c r="F14" s="13">
        <f t="shared" si="3"/>
        <v>5</v>
      </c>
      <c r="G14" s="13"/>
      <c r="H14" s="42">
        <v>303</v>
      </c>
      <c r="I14" s="43" t="s">
        <v>493</v>
      </c>
      <c r="J14" s="43" t="s">
        <v>40</v>
      </c>
      <c r="K14" s="13" t="str" cm="1">
        <f t="array" ref="K14">IFERROR(INDEX($J$2:$J$41,MATCH(0,IF(ISBLANK($J$2:$J$41),1,COUNTIF($K$1:K13,$J$2:$J$41)),0)),"")</f>
        <v/>
      </c>
      <c r="L14" s="44">
        <f>VLOOKUP(J14,'【3】大区填-楼栋基准格局定价'!B:H,7,0)</f>
        <v>1508.936</v>
      </c>
      <c r="M14" s="45" t="str">
        <f t="shared" si="4"/>
        <v>适中</v>
      </c>
      <c r="N14" s="45">
        <v>13</v>
      </c>
      <c r="O14" s="46">
        <f>VLOOKUP($M$1&amp;M14,【1】定价因子!E:F,2,0)</f>
        <v>1</v>
      </c>
      <c r="P14" s="46" t="str">
        <f>IF(COUNTIFS(户型资产表!E:E,I14,户型资产表!H:H,"阳台门")&gt;0,"有","无")</f>
        <v>无</v>
      </c>
      <c r="Q14" s="46">
        <f>VLOOKUP($P$1&amp;P14,【1】定价因子!E:F,2,0)</f>
        <v>1</v>
      </c>
      <c r="R14" s="46" t="str">
        <f>IF('【2】运营中心填-基本信息&amp;审核标准'!$D$4="是","无",IF(INT(H14/100)&gt;9,"9F",INT(H14/100)&amp;"F"))</f>
        <v>3F</v>
      </c>
      <c r="S14" s="46">
        <f>VLOOKUP(R14,【1】定价因子!D:F,3,0)</f>
        <v>1.01</v>
      </c>
      <c r="T14" s="46" t="str">
        <f>IF('【2】运营中心填-基本信息&amp;审核标准'!$D$4="否","无",IF(INT(H14/100)=1,"1F",IF(AND(INT(H14/100)&gt;=2,INT(H14/100)&lt;=3),"2-3F",IF(INT(H14/100)=4,"4F",IF(AND(INT(H14/100)&gt;=5,INT(H14/100)&lt;=6),"5-6F",IF(AND(INT(H14/100)&gt;=7,INT(H14/100)&lt;=8),"7-8F",IF(AND(INT(H14/100)&gt;=9,INT(H14/100)&lt;=10),"9-10F",IF(AND(INT(H14/100)&gt;=11,INT(H14/100)&lt;=12),"11-12F",IF(INT(H14/100)&gt;=13,"13以上F","")))))))))</f>
        <v>无</v>
      </c>
      <c r="U14" s="46">
        <f>VLOOKUP($T$1&amp;T14,【1】定价因子!E:F,2,0)</f>
        <v>1</v>
      </c>
      <c r="V14" s="46" t="str">
        <f>IF(COUNTIFS(户型资产表!E:E,I14,户型资产表!H:H,"操作台")&gt;0,"有","无")</f>
        <v>有</v>
      </c>
      <c r="W14" s="46" t="str">
        <f>IF(COUNTIFS(户型资产表!E:E,I14,户型资产表!H:H,"书桌")&gt;0,"有","无")</f>
        <v>有</v>
      </c>
      <c r="X14" s="46" t="str" cm="1">
        <f t="array" ref="X14">IF(SUMPRODUCT((户型资产表!E:E=I14)*((户型资产表!I:I="沙发01单人")+(户型资产表!I:I="单人沙发02")))&gt;0,"有","无")</f>
        <v>无</v>
      </c>
      <c r="Y14" s="46" t="str" cm="1">
        <f t="array" ref="Y14">IF(SUMPRODUCT((户型资产表!E:E=I14)*((户型资产表!I:I="沙发02两人")+(户型资产表!I:I="双人沙发01")))&gt;0,"有","无")</f>
        <v>无</v>
      </c>
      <c r="Z14" s="46" t="str">
        <f>IF(COUNTIFS(户型资产表!E:E,I14,户型资产表!H:H,"餐桌")&gt;0,"有","无")</f>
        <v>无</v>
      </c>
      <c r="AA14" s="46" t="str">
        <f>IF(COUNTIFS(户型资产表!E:E,I14,户型资产表!H:H,"吸油烟机")&gt;0,"有","无")</f>
        <v>无</v>
      </c>
      <c r="AB14" s="46" t="str">
        <f>IF(COUNTIFS(户型资产表!E:E,I14,户型资产表!H:H,"冰箱")&gt;0,"有","无")</f>
        <v>无</v>
      </c>
      <c r="AC14" s="46" t="str">
        <f>IF(COUNTIFS(户型资产表!E:E,I14,户型资产表!H:H,"电视柜")&gt;0,"有","无")</f>
        <v>无</v>
      </c>
      <c r="AD14" s="45" t="str">
        <f t="shared" si="5"/>
        <v>适中</v>
      </c>
      <c r="AE14" s="46">
        <f>VLOOKUP($AD$1&amp;AD14,【1】定价因子!E:F,2,0)</f>
        <v>1</v>
      </c>
      <c r="AF14" s="45" t="str">
        <f t="shared" si="6"/>
        <v>适中</v>
      </c>
      <c r="AG14" s="46">
        <f>VLOOKUP($AF$1&amp;AF14,【1】定价因子!E:F,2,0)</f>
        <v>1</v>
      </c>
      <c r="AH14" s="45" t="str">
        <f t="shared" si="7"/>
        <v>适中</v>
      </c>
      <c r="AI14" s="46">
        <f>VLOOKUP($AH$1&amp;AH14,【1】定价因子!E:F,2,0)</f>
        <v>1</v>
      </c>
      <c r="AJ14" s="46" t="str">
        <f>VLOOKUP(H14,'【3-1】大区填-采光基本要素'!A:H,8,0)</f>
        <v>1</v>
      </c>
      <c r="AK14" s="46">
        <f>VLOOKUP($AJ$1&amp;AJ14,【1】定价因子!E:F,2,0)</f>
        <v>0.91</v>
      </c>
      <c r="AL14" s="47">
        <f t="shared" si="8"/>
        <v>1386.8630776</v>
      </c>
      <c r="AM14" s="48">
        <f>AL14-80</f>
        <v>1306.8630776</v>
      </c>
      <c r="AN14" s="49">
        <f t="shared" si="9"/>
        <v>-0.057684137166909</v>
      </c>
    </row>
    <row r="15" spans="1:40">
      <c r="A15" s="41" t="str">
        <f>'【2】运营中心填-基本信息&amp;审核标准'!$E$2</f>
        <v>福永一队9-16栋</v>
      </c>
      <c r="B15" s="13">
        <f t="shared" si="0"/>
        <v>3</v>
      </c>
      <c r="C15" s="13">
        <f t="shared" si="1"/>
        <v>5</v>
      </c>
      <c r="D15" s="13">
        <f t="shared" si="2"/>
        <v>40</v>
      </c>
      <c r="E15" s="13"/>
      <c r="F15" s="13">
        <f t="shared" si="3"/>
        <v>5</v>
      </c>
      <c r="G15" s="13"/>
      <c r="H15" s="42">
        <v>304</v>
      </c>
      <c r="I15" s="43" t="s">
        <v>493</v>
      </c>
      <c r="J15" s="43" t="s">
        <v>40</v>
      </c>
      <c r="K15" s="13" t="str" cm="1">
        <f t="array" ref="K15">IFERROR(INDEX($J$2:$J$41,MATCH(0,IF(ISBLANK($J$2:$J$41),1,COUNTIF($K$1:K14,$J$2:$J$41)),0)),"")</f>
        <v/>
      </c>
      <c r="L15" s="44">
        <f>VLOOKUP(J15,'【3】大区填-楼栋基准格局定价'!B:H,7,0)</f>
        <v>1508.936</v>
      </c>
      <c r="M15" s="45" t="str">
        <f t="shared" si="4"/>
        <v>较狭小</v>
      </c>
      <c r="N15" s="45">
        <v>12.39</v>
      </c>
      <c r="O15" s="46">
        <f>VLOOKUP($M$1&amp;M15,【1】定价因子!E:F,2,0)</f>
        <v>0.95</v>
      </c>
      <c r="P15" s="46" t="str">
        <f>IF(COUNTIFS(户型资产表!E:E,I15,户型资产表!H:H,"阳台门")&gt;0,"有","无")</f>
        <v>无</v>
      </c>
      <c r="Q15" s="46">
        <f>VLOOKUP($P$1&amp;P15,【1】定价因子!E:F,2,0)</f>
        <v>1</v>
      </c>
      <c r="R15" s="46" t="str">
        <f>IF('【2】运营中心填-基本信息&amp;审核标准'!$D$4="是","无",IF(INT(H15/100)&gt;9,"9F",INT(H15/100)&amp;"F"))</f>
        <v>3F</v>
      </c>
      <c r="S15" s="46">
        <f>VLOOKUP(R15,【1】定价因子!D:F,3,0)</f>
        <v>1.01</v>
      </c>
      <c r="T15" s="46" t="str">
        <f>IF('【2】运营中心填-基本信息&amp;审核标准'!$D$4="否","无",IF(INT(H15/100)=1,"1F",IF(AND(INT(H15/100)&gt;=2,INT(H15/100)&lt;=3),"2-3F",IF(INT(H15/100)=4,"4F",IF(AND(INT(H15/100)&gt;=5,INT(H15/100)&lt;=6),"5-6F",IF(AND(INT(H15/100)&gt;=7,INT(H15/100)&lt;=8),"7-8F",IF(AND(INT(H15/100)&gt;=9,INT(H15/100)&lt;=10),"9-10F",IF(AND(INT(H15/100)&gt;=11,INT(H15/100)&lt;=12),"11-12F",IF(INT(H15/100)&gt;=13,"13以上F","")))))))))</f>
        <v>无</v>
      </c>
      <c r="U15" s="46">
        <f>VLOOKUP($T$1&amp;T15,【1】定价因子!E:F,2,0)</f>
        <v>1</v>
      </c>
      <c r="V15" s="46" t="str">
        <f>IF(COUNTIFS(户型资产表!E:E,I15,户型资产表!H:H,"操作台")&gt;0,"有","无")</f>
        <v>有</v>
      </c>
      <c r="W15" s="46" t="str">
        <f>IF(COUNTIFS(户型资产表!E:E,I15,户型资产表!H:H,"书桌")&gt;0,"有","无")</f>
        <v>有</v>
      </c>
      <c r="X15" s="46" t="str" cm="1">
        <f t="array" ref="X15">IF(SUMPRODUCT((户型资产表!E:E=I15)*((户型资产表!I:I="沙发01单人")+(户型资产表!I:I="单人沙发02")))&gt;0,"有","无")</f>
        <v>无</v>
      </c>
      <c r="Y15" s="46" t="str" cm="1">
        <f t="array" ref="Y15">IF(SUMPRODUCT((户型资产表!E:E=I15)*((户型资产表!I:I="沙发02两人")+(户型资产表!I:I="双人沙发01")))&gt;0,"有","无")</f>
        <v>无</v>
      </c>
      <c r="Z15" s="46" t="str">
        <f>IF(COUNTIFS(户型资产表!E:E,I15,户型资产表!H:H,"餐桌")&gt;0,"有","无")</f>
        <v>无</v>
      </c>
      <c r="AA15" s="46" t="str">
        <f>IF(COUNTIFS(户型资产表!E:E,I15,户型资产表!H:H,"吸油烟机")&gt;0,"有","无")</f>
        <v>无</v>
      </c>
      <c r="AB15" s="46" t="str">
        <f>IF(COUNTIFS(户型资产表!E:E,I15,户型资产表!H:H,"冰箱")&gt;0,"有","无")</f>
        <v>无</v>
      </c>
      <c r="AC15" s="46" t="str">
        <f>IF(COUNTIFS(户型资产表!E:E,I15,户型资产表!H:H,"电视柜")&gt;0,"有","无")</f>
        <v>无</v>
      </c>
      <c r="AD15" s="45" t="str">
        <f t="shared" si="5"/>
        <v>适中</v>
      </c>
      <c r="AE15" s="46">
        <f>VLOOKUP($AD$1&amp;AD15,【1】定价因子!E:F,2,0)</f>
        <v>1</v>
      </c>
      <c r="AF15" s="45" t="str">
        <f t="shared" si="6"/>
        <v>适中</v>
      </c>
      <c r="AG15" s="46">
        <f>VLOOKUP($AF$1&amp;AF15,【1】定价因子!E:F,2,0)</f>
        <v>1</v>
      </c>
      <c r="AH15" s="45" t="str">
        <f t="shared" si="7"/>
        <v>适中</v>
      </c>
      <c r="AI15" s="46">
        <f>VLOOKUP($AH$1&amp;AH15,【1】定价因子!E:F,2,0)</f>
        <v>1</v>
      </c>
      <c r="AJ15" s="46" t="str">
        <f>VLOOKUP(H15,'【3-1】大区填-采光基本要素'!A:H,8,0)</f>
        <v>2</v>
      </c>
      <c r="AK15" s="46">
        <f>VLOOKUP($AJ$1&amp;AJ15,【1】定价因子!E:F,2,0)</f>
        <v>0.96</v>
      </c>
      <c r="AL15" s="47">
        <f t="shared" si="8"/>
        <v>1389.91112832</v>
      </c>
      <c r="AM15" s="48">
        <f t="shared" si="10"/>
        <v>1314.91112832</v>
      </c>
      <c r="AN15" s="49">
        <f t="shared" si="9"/>
        <v>-0.0539602845619729</v>
      </c>
    </row>
    <row r="16" spans="1:40">
      <c r="A16" s="41" t="str">
        <f>'【2】运营中心填-基本信息&amp;审核标准'!$E$2</f>
        <v>福永一队9-16栋</v>
      </c>
      <c r="B16" s="13">
        <f t="shared" si="0"/>
        <v>3</v>
      </c>
      <c r="C16" s="13">
        <f t="shared" si="1"/>
        <v>5</v>
      </c>
      <c r="D16" s="13">
        <f t="shared" si="2"/>
        <v>40</v>
      </c>
      <c r="E16" s="13"/>
      <c r="F16" s="13">
        <f t="shared" si="3"/>
        <v>5</v>
      </c>
      <c r="G16" s="13"/>
      <c r="H16" s="42">
        <v>305</v>
      </c>
      <c r="I16" s="43" t="s">
        <v>493</v>
      </c>
      <c r="J16" s="43" t="s">
        <v>40</v>
      </c>
      <c r="K16" s="13" t="str" cm="1">
        <f t="array" ref="K16">IFERROR(INDEX($J$2:$J$41,MATCH(0,IF(ISBLANK($J$2:$J$41),1,COUNTIF($K$1:K15,$J$2:$J$41)),0)),"")</f>
        <v/>
      </c>
      <c r="L16" s="44">
        <f>VLOOKUP(J16,'【3】大区填-楼栋基准格局定价'!B:H,7,0)</f>
        <v>1508.936</v>
      </c>
      <c r="M16" s="45" t="str">
        <f t="shared" si="4"/>
        <v>适中</v>
      </c>
      <c r="N16" s="45">
        <v>13</v>
      </c>
      <c r="O16" s="46">
        <f>VLOOKUP($M$1&amp;M16,【1】定价因子!E:F,2,0)</f>
        <v>1</v>
      </c>
      <c r="P16" s="46" t="str">
        <f>IF(COUNTIFS(户型资产表!E:E,I16,户型资产表!H:H,"阳台门")&gt;0,"有","无")</f>
        <v>无</v>
      </c>
      <c r="Q16" s="46">
        <f>VLOOKUP($P$1&amp;P16,【1】定价因子!E:F,2,0)</f>
        <v>1</v>
      </c>
      <c r="R16" s="46" t="str">
        <f>IF('【2】运营中心填-基本信息&amp;审核标准'!$D$4="是","无",IF(INT(H16/100)&gt;9,"9F",INT(H16/100)&amp;"F"))</f>
        <v>3F</v>
      </c>
      <c r="S16" s="46">
        <f>VLOOKUP(R16,【1】定价因子!D:F,3,0)</f>
        <v>1.01</v>
      </c>
      <c r="T16" s="46" t="str">
        <f>IF('【2】运营中心填-基本信息&amp;审核标准'!$D$4="否","无",IF(INT(H16/100)=1,"1F",IF(AND(INT(H16/100)&gt;=2,INT(H16/100)&lt;=3),"2-3F",IF(INT(H16/100)=4,"4F",IF(AND(INT(H16/100)&gt;=5,INT(H16/100)&lt;=6),"5-6F",IF(AND(INT(H16/100)&gt;=7,INT(H16/100)&lt;=8),"7-8F",IF(AND(INT(H16/100)&gt;=9,INT(H16/100)&lt;=10),"9-10F",IF(AND(INT(H16/100)&gt;=11,INT(H16/100)&lt;=12),"11-12F",IF(INT(H16/100)&gt;=13,"13以上F","")))))))))</f>
        <v>无</v>
      </c>
      <c r="U16" s="46">
        <f>VLOOKUP($T$1&amp;T16,【1】定价因子!E:F,2,0)</f>
        <v>1</v>
      </c>
      <c r="V16" s="46" t="str">
        <f>IF(COUNTIFS(户型资产表!E:E,I16,户型资产表!H:H,"操作台")&gt;0,"有","无")</f>
        <v>有</v>
      </c>
      <c r="W16" s="46" t="str">
        <f>IF(COUNTIFS(户型资产表!E:E,I16,户型资产表!H:H,"书桌")&gt;0,"有","无")</f>
        <v>有</v>
      </c>
      <c r="X16" s="46" t="str" cm="1">
        <f t="array" ref="X16">IF(SUMPRODUCT((户型资产表!E:E=I16)*((户型资产表!I:I="沙发01单人")+(户型资产表!I:I="单人沙发02")))&gt;0,"有","无")</f>
        <v>无</v>
      </c>
      <c r="Y16" s="46" t="str" cm="1">
        <f t="array" ref="Y16">IF(SUMPRODUCT((户型资产表!E:E=I16)*((户型资产表!I:I="沙发02两人")+(户型资产表!I:I="双人沙发01")))&gt;0,"有","无")</f>
        <v>无</v>
      </c>
      <c r="Z16" s="46" t="str">
        <f>IF(COUNTIFS(户型资产表!E:E,I16,户型资产表!H:H,"餐桌")&gt;0,"有","无")</f>
        <v>无</v>
      </c>
      <c r="AA16" s="46" t="str">
        <f>IF(COUNTIFS(户型资产表!E:E,I16,户型资产表!H:H,"吸油烟机")&gt;0,"有","无")</f>
        <v>无</v>
      </c>
      <c r="AB16" s="46" t="str">
        <f>IF(COUNTIFS(户型资产表!E:E,I16,户型资产表!H:H,"冰箱")&gt;0,"有","无")</f>
        <v>无</v>
      </c>
      <c r="AC16" s="46" t="str">
        <f>IF(COUNTIFS(户型资产表!E:E,I16,户型资产表!H:H,"电视柜")&gt;0,"有","无")</f>
        <v>无</v>
      </c>
      <c r="AD16" s="45" t="str">
        <f t="shared" si="5"/>
        <v>适中</v>
      </c>
      <c r="AE16" s="46">
        <f>VLOOKUP($AD$1&amp;AD16,【1】定价因子!E:F,2,0)</f>
        <v>1</v>
      </c>
      <c r="AF16" s="45" t="str">
        <f t="shared" si="6"/>
        <v>适中</v>
      </c>
      <c r="AG16" s="46">
        <f>VLOOKUP($AF$1&amp;AF16,【1】定价因子!E:F,2,0)</f>
        <v>1</v>
      </c>
      <c r="AH16" s="45" t="str">
        <f t="shared" si="7"/>
        <v>适中</v>
      </c>
      <c r="AI16" s="46">
        <f>VLOOKUP($AH$1&amp;AH16,【1】定价因子!E:F,2,0)</f>
        <v>1</v>
      </c>
      <c r="AJ16" s="46" t="str">
        <f>VLOOKUP(H16,'【3-1】大区填-采光基本要素'!A:H,8,0)</f>
        <v>2</v>
      </c>
      <c r="AK16" s="46">
        <f>VLOOKUP($AJ$1&amp;AJ16,【1】定价因子!E:F,2,0)</f>
        <v>0.96</v>
      </c>
      <c r="AL16" s="47">
        <f t="shared" si="8"/>
        <v>1463.0643456</v>
      </c>
      <c r="AM16" s="48">
        <f t="shared" si="10"/>
        <v>1388.0643456</v>
      </c>
      <c r="AN16" s="49">
        <f t="shared" si="9"/>
        <v>-0.0512622703338742</v>
      </c>
    </row>
    <row r="17" spans="1:40">
      <c r="A17" s="41" t="str">
        <f>'【2】运营中心填-基本信息&amp;审核标准'!$E$2</f>
        <v>福永一队9-16栋</v>
      </c>
      <c r="B17" s="13">
        <f t="shared" si="0"/>
        <v>4</v>
      </c>
      <c r="C17" s="13">
        <f t="shared" si="1"/>
        <v>5</v>
      </c>
      <c r="D17" s="13">
        <f t="shared" si="2"/>
        <v>40</v>
      </c>
      <c r="E17" s="13"/>
      <c r="F17" s="13">
        <f t="shared" si="3"/>
        <v>5</v>
      </c>
      <c r="G17" s="13"/>
      <c r="H17" s="42">
        <v>401</v>
      </c>
      <c r="I17" s="43" t="s">
        <v>492</v>
      </c>
      <c r="J17" s="43" t="s">
        <v>40</v>
      </c>
      <c r="K17" s="13" t="str" cm="1">
        <f t="array" ref="K17">IFERROR(INDEX($J$2:$J$41,MATCH(0,IF(ISBLANK($J$2:$J$41),1,COUNTIF($K$1:K16,$J$2:$J$41)),0)),"")</f>
        <v/>
      </c>
      <c r="L17" s="44">
        <f>VLOOKUP(J17,'【3】大区填-楼栋基准格局定价'!B:H,7,0)</f>
        <v>1508.936</v>
      </c>
      <c r="M17" s="45" t="str">
        <f t="shared" si="4"/>
        <v>较狭小</v>
      </c>
      <c r="N17" s="45">
        <v>12.27</v>
      </c>
      <c r="O17" s="46">
        <f>VLOOKUP($M$1&amp;M17,【1】定价因子!E:F,2,0)</f>
        <v>0.95</v>
      </c>
      <c r="P17" s="46" t="str">
        <f>IF(COUNTIFS(户型资产表!E:E,I17,户型资产表!H:H,"阳台门")&gt;0,"有","无")</f>
        <v>无</v>
      </c>
      <c r="Q17" s="46">
        <f>VLOOKUP($P$1&amp;P17,【1】定价因子!E:F,2,0)</f>
        <v>1</v>
      </c>
      <c r="R17" s="46" t="str">
        <f>IF('【2】运营中心填-基本信息&amp;审核标准'!$D$4="是","无",IF(INT(H17/100)&gt;9,"9F",INT(H17/100)&amp;"F"))</f>
        <v>4F</v>
      </c>
      <c r="S17" s="46">
        <f>VLOOKUP(R17,【1】定价因子!D:F,3,0)</f>
        <v>1</v>
      </c>
      <c r="T17" s="46" t="str">
        <f>IF('【2】运营中心填-基本信息&amp;审核标准'!$D$4="否","无",IF(INT(H17/100)=1,"1F",IF(AND(INT(H17/100)&gt;=2,INT(H17/100)&lt;=3),"2-3F",IF(INT(H17/100)=4,"4F",IF(AND(INT(H17/100)&gt;=5,INT(H17/100)&lt;=6),"5-6F",IF(AND(INT(H17/100)&gt;=7,INT(H17/100)&lt;=8),"7-8F",IF(AND(INT(H17/100)&gt;=9,INT(H17/100)&lt;=10),"9-10F",IF(AND(INT(H17/100)&gt;=11,INT(H17/100)&lt;=12),"11-12F",IF(INT(H17/100)&gt;=13,"13以上F","")))))))))</f>
        <v>无</v>
      </c>
      <c r="U17" s="46">
        <f>VLOOKUP($T$1&amp;T17,【1】定价因子!E:F,2,0)</f>
        <v>1</v>
      </c>
      <c r="V17" s="46" t="str">
        <f>IF(COUNTIFS(户型资产表!E:E,I17,户型资产表!H:H,"操作台")&gt;0,"有","无")</f>
        <v>有</v>
      </c>
      <c r="W17" s="46" t="str">
        <f>IF(COUNTIFS(户型资产表!E:E,I17,户型资产表!H:H,"书桌")&gt;0,"有","无")</f>
        <v>有</v>
      </c>
      <c r="X17" s="46" t="str" cm="1">
        <f t="array" ref="X17">IF(SUMPRODUCT((户型资产表!E:E=I17)*((户型资产表!I:I="沙发01单人")+(户型资产表!I:I="单人沙发02")))&gt;0,"有","无")</f>
        <v>无</v>
      </c>
      <c r="Y17" s="46" t="str" cm="1">
        <f t="array" ref="Y17">IF(SUMPRODUCT((户型资产表!E:E=I17)*((户型资产表!I:I="沙发02两人")+(户型资产表!I:I="双人沙发01")))&gt;0,"有","无")</f>
        <v>无</v>
      </c>
      <c r="Z17" s="46" t="str">
        <f>IF(COUNTIFS(户型资产表!E:E,I17,户型资产表!H:H,"餐桌")&gt;0,"有","无")</f>
        <v>无</v>
      </c>
      <c r="AA17" s="46" t="str">
        <f>IF(COUNTIFS(户型资产表!E:E,I17,户型资产表!H:H,"吸油烟机")&gt;0,"有","无")</f>
        <v>无</v>
      </c>
      <c r="AB17" s="46" t="str">
        <f>IF(COUNTIFS(户型资产表!E:E,I17,户型资产表!H:H,"冰箱")&gt;0,"有","无")</f>
        <v>无</v>
      </c>
      <c r="AC17" s="46" t="str">
        <f>IF(COUNTIFS(户型资产表!E:E,I17,户型资产表!H:H,"电视柜")&gt;0,"有","无")</f>
        <v>无</v>
      </c>
      <c r="AD17" s="45" t="str">
        <f t="shared" si="5"/>
        <v>适中</v>
      </c>
      <c r="AE17" s="46">
        <f>VLOOKUP($AD$1&amp;AD17,【1】定价因子!E:F,2,0)</f>
        <v>1</v>
      </c>
      <c r="AF17" s="45" t="str">
        <f t="shared" si="6"/>
        <v>适中</v>
      </c>
      <c r="AG17" s="46">
        <f>VLOOKUP($AF$1&amp;AF17,【1】定价因子!E:F,2,0)</f>
        <v>1</v>
      </c>
      <c r="AH17" s="45" t="str">
        <f t="shared" si="7"/>
        <v>适中</v>
      </c>
      <c r="AI17" s="46">
        <f>VLOOKUP($AH$1&amp;AH17,【1】定价因子!E:F,2,0)</f>
        <v>1</v>
      </c>
      <c r="AJ17" s="46" t="str">
        <f>VLOOKUP(H17,'【3-1】大区填-采光基本要素'!A:H,8,0)</f>
        <v>2</v>
      </c>
      <c r="AK17" s="46">
        <f>VLOOKUP($AJ$1&amp;AJ17,【1】定价因子!E:F,2,0)</f>
        <v>0.96</v>
      </c>
      <c r="AL17" s="47">
        <f t="shared" si="8"/>
        <v>1376.149632</v>
      </c>
      <c r="AM17" s="48">
        <f t="shared" si="10"/>
        <v>1301.149632</v>
      </c>
      <c r="AN17" s="49">
        <f t="shared" si="9"/>
        <v>-0.0544998874075926</v>
      </c>
    </row>
    <row r="18" spans="1:40">
      <c r="A18" s="41" t="str">
        <f>'【2】运营中心填-基本信息&amp;审核标准'!$E$2</f>
        <v>福永一队9-16栋</v>
      </c>
      <c r="B18" s="13">
        <f t="shared" si="0"/>
        <v>4</v>
      </c>
      <c r="C18" s="13">
        <f t="shared" si="1"/>
        <v>5</v>
      </c>
      <c r="D18" s="13">
        <f t="shared" si="2"/>
        <v>40</v>
      </c>
      <c r="E18" s="13"/>
      <c r="F18" s="13">
        <f t="shared" si="3"/>
        <v>5</v>
      </c>
      <c r="G18" s="13"/>
      <c r="H18" s="42">
        <v>402</v>
      </c>
      <c r="I18" s="43" t="s">
        <v>492</v>
      </c>
      <c r="J18" s="43" t="s">
        <v>40</v>
      </c>
      <c r="K18" s="13" t="str" cm="1">
        <f t="array" ref="K18">IFERROR(INDEX($J$2:$J$41,MATCH(0,IF(ISBLANK($J$2:$J$41),1,COUNTIF($K$1:K17,$J$2:$J$41)),0)),"")</f>
        <v/>
      </c>
      <c r="L18" s="44">
        <f>VLOOKUP(J18,'【3】大区填-楼栋基准格局定价'!B:H,7,0)</f>
        <v>1508.936</v>
      </c>
      <c r="M18" s="45" t="str">
        <f t="shared" si="4"/>
        <v>较狭小</v>
      </c>
      <c r="N18" s="45">
        <v>12.26</v>
      </c>
      <c r="O18" s="46">
        <f>VLOOKUP($M$1&amp;M18,【1】定价因子!E:F,2,0)</f>
        <v>0.95</v>
      </c>
      <c r="P18" s="46" t="str">
        <f>IF(COUNTIFS(户型资产表!E:E,I18,户型资产表!H:H,"阳台门")&gt;0,"有","无")</f>
        <v>无</v>
      </c>
      <c r="Q18" s="46">
        <f>VLOOKUP($P$1&amp;P18,【1】定价因子!E:F,2,0)</f>
        <v>1</v>
      </c>
      <c r="R18" s="46" t="str">
        <f>IF('【2】运营中心填-基本信息&amp;审核标准'!$D$4="是","无",IF(INT(H18/100)&gt;9,"9F",INT(H18/100)&amp;"F"))</f>
        <v>4F</v>
      </c>
      <c r="S18" s="46">
        <f>VLOOKUP(R18,【1】定价因子!D:F,3,0)</f>
        <v>1</v>
      </c>
      <c r="T18" s="46" t="str">
        <f>IF('【2】运营中心填-基本信息&amp;审核标准'!$D$4="否","无",IF(INT(H18/100)=1,"1F",IF(AND(INT(H18/100)&gt;=2,INT(H18/100)&lt;=3),"2-3F",IF(INT(H18/100)=4,"4F",IF(AND(INT(H18/100)&gt;=5,INT(H18/100)&lt;=6),"5-6F",IF(AND(INT(H18/100)&gt;=7,INT(H18/100)&lt;=8),"7-8F",IF(AND(INT(H18/100)&gt;=9,INT(H18/100)&lt;=10),"9-10F",IF(AND(INT(H18/100)&gt;=11,INT(H18/100)&lt;=12),"11-12F",IF(INT(H18/100)&gt;=13,"13以上F","")))))))))</f>
        <v>无</v>
      </c>
      <c r="U18" s="46">
        <f>VLOOKUP($T$1&amp;T18,【1】定价因子!E:F,2,0)</f>
        <v>1</v>
      </c>
      <c r="V18" s="46" t="str">
        <f>IF(COUNTIFS(户型资产表!E:E,I18,户型资产表!H:H,"操作台")&gt;0,"有","无")</f>
        <v>有</v>
      </c>
      <c r="W18" s="46" t="str">
        <f>IF(COUNTIFS(户型资产表!E:E,I18,户型资产表!H:H,"书桌")&gt;0,"有","无")</f>
        <v>有</v>
      </c>
      <c r="X18" s="46" t="str" cm="1">
        <f t="array" ref="X18">IF(SUMPRODUCT((户型资产表!E:E=I18)*((户型资产表!I:I="沙发01单人")+(户型资产表!I:I="单人沙发02")))&gt;0,"有","无")</f>
        <v>无</v>
      </c>
      <c r="Y18" s="46" t="str" cm="1">
        <f t="array" ref="Y18">IF(SUMPRODUCT((户型资产表!E:E=I18)*((户型资产表!I:I="沙发02两人")+(户型资产表!I:I="双人沙发01")))&gt;0,"有","无")</f>
        <v>无</v>
      </c>
      <c r="Z18" s="46" t="str">
        <f>IF(COUNTIFS(户型资产表!E:E,I18,户型资产表!H:H,"餐桌")&gt;0,"有","无")</f>
        <v>无</v>
      </c>
      <c r="AA18" s="46" t="str">
        <f>IF(COUNTIFS(户型资产表!E:E,I18,户型资产表!H:H,"吸油烟机")&gt;0,"有","无")</f>
        <v>无</v>
      </c>
      <c r="AB18" s="46" t="str">
        <f>IF(COUNTIFS(户型资产表!E:E,I18,户型资产表!H:H,"冰箱")&gt;0,"有","无")</f>
        <v>无</v>
      </c>
      <c r="AC18" s="46" t="str">
        <f>IF(COUNTIFS(户型资产表!E:E,I18,户型资产表!H:H,"电视柜")&gt;0,"有","无")</f>
        <v>无</v>
      </c>
      <c r="AD18" s="45" t="str">
        <f t="shared" si="5"/>
        <v>适中</v>
      </c>
      <c r="AE18" s="46">
        <f>VLOOKUP($AD$1&amp;AD18,【1】定价因子!E:F,2,0)</f>
        <v>1</v>
      </c>
      <c r="AF18" s="45" t="str">
        <f t="shared" si="6"/>
        <v>适中</v>
      </c>
      <c r="AG18" s="46">
        <f>VLOOKUP($AF$1&amp;AF18,【1】定价因子!E:F,2,0)</f>
        <v>1</v>
      </c>
      <c r="AH18" s="45" t="str">
        <f t="shared" si="7"/>
        <v>适中</v>
      </c>
      <c r="AI18" s="46">
        <f>VLOOKUP($AH$1&amp;AH18,【1】定价因子!E:F,2,0)</f>
        <v>1</v>
      </c>
      <c r="AJ18" s="46" t="str">
        <f>VLOOKUP(H18,'【3-1】大区填-采光基本要素'!A:H,8,0)</f>
        <v>1</v>
      </c>
      <c r="AK18" s="46">
        <f>VLOOKUP($AJ$1&amp;AJ18,【1】定价因子!E:F,2,0)</f>
        <v>0.91</v>
      </c>
      <c r="AL18" s="47">
        <f t="shared" si="8"/>
        <v>1304.475172</v>
      </c>
      <c r="AM18" s="48">
        <f t="shared" si="10"/>
        <v>1229.475172</v>
      </c>
      <c r="AN18" s="49">
        <f t="shared" si="9"/>
        <v>-0.0574943867157021</v>
      </c>
    </row>
    <row r="19" spans="1:40">
      <c r="A19" s="41" t="str">
        <f>'【2】运营中心填-基本信息&amp;审核标准'!$E$2</f>
        <v>福永一队9-16栋</v>
      </c>
      <c r="B19" s="13">
        <f t="shared" ref="B19:B82" si="11">INT(H19/100)</f>
        <v>4</v>
      </c>
      <c r="C19" s="13">
        <f t="shared" si="1"/>
        <v>5</v>
      </c>
      <c r="D19" s="13">
        <f t="shared" si="2"/>
        <v>40</v>
      </c>
      <c r="E19" s="13"/>
      <c r="F19" s="13">
        <f t="shared" si="3"/>
        <v>5</v>
      </c>
      <c r="G19" s="13"/>
      <c r="H19" s="42">
        <v>403</v>
      </c>
      <c r="I19" s="43" t="s">
        <v>493</v>
      </c>
      <c r="J19" s="43" t="s">
        <v>40</v>
      </c>
      <c r="K19" s="13" t="str" cm="1">
        <f t="array" ref="K19">IFERROR(INDEX($J$2:$J$41,MATCH(0,IF(ISBLANK($J$2:$J$41),1,COUNTIF($K$1:K18,$J$2:$J$41)),0)),"")</f>
        <v/>
      </c>
      <c r="L19" s="44">
        <f>VLOOKUP(J19,'【3】大区填-楼栋基准格局定价'!B:H,7,0)</f>
        <v>1508.936</v>
      </c>
      <c r="M19" s="45" t="str">
        <f t="shared" si="4"/>
        <v>适中</v>
      </c>
      <c r="N19" s="45">
        <v>13</v>
      </c>
      <c r="O19" s="46">
        <f>VLOOKUP($M$1&amp;M19,【1】定价因子!E:F,2,0)</f>
        <v>1</v>
      </c>
      <c r="P19" s="46" t="str">
        <f>IF(COUNTIFS(户型资产表!E:E,I19,户型资产表!H:H,"阳台门")&gt;0,"有","无")</f>
        <v>无</v>
      </c>
      <c r="Q19" s="46">
        <f>VLOOKUP($P$1&amp;P19,【1】定价因子!E:F,2,0)</f>
        <v>1</v>
      </c>
      <c r="R19" s="46" t="str">
        <f>IF('【2】运营中心填-基本信息&amp;审核标准'!$D$4="是","无",IF(INT(H19/100)&gt;9,"9F",INT(H19/100)&amp;"F"))</f>
        <v>4F</v>
      </c>
      <c r="S19" s="46">
        <f>VLOOKUP(R19,【1】定价因子!D:F,3,0)</f>
        <v>1</v>
      </c>
      <c r="T19" s="46" t="str">
        <f>IF('【2】运营中心填-基本信息&amp;审核标准'!$D$4="否","无",IF(INT(H19/100)=1,"1F",IF(AND(INT(H19/100)&gt;=2,INT(H19/100)&lt;=3),"2-3F",IF(INT(H19/100)=4,"4F",IF(AND(INT(H19/100)&gt;=5,INT(H19/100)&lt;=6),"5-6F",IF(AND(INT(H19/100)&gt;=7,INT(H19/100)&lt;=8),"7-8F",IF(AND(INT(H19/100)&gt;=9,INT(H19/100)&lt;=10),"9-10F",IF(AND(INT(H19/100)&gt;=11,INT(H19/100)&lt;=12),"11-12F",IF(INT(H19/100)&gt;=13,"13以上F","")))))))))</f>
        <v>无</v>
      </c>
      <c r="U19" s="46">
        <f>VLOOKUP($T$1&amp;T19,【1】定价因子!E:F,2,0)</f>
        <v>1</v>
      </c>
      <c r="V19" s="46" t="str">
        <f>IF(COUNTIFS(户型资产表!E:E,I19,户型资产表!H:H,"操作台")&gt;0,"有","无")</f>
        <v>有</v>
      </c>
      <c r="W19" s="46" t="str">
        <f>IF(COUNTIFS(户型资产表!E:E,I19,户型资产表!H:H,"书桌")&gt;0,"有","无")</f>
        <v>有</v>
      </c>
      <c r="X19" s="46" t="str" cm="1">
        <f t="array" ref="X19">IF(SUMPRODUCT((户型资产表!E:E=I19)*((户型资产表!I:I="沙发01单人")+(户型资产表!I:I="单人沙发02")))&gt;0,"有","无")</f>
        <v>无</v>
      </c>
      <c r="Y19" s="46" t="str" cm="1">
        <f t="array" ref="Y19">IF(SUMPRODUCT((户型资产表!E:E=I19)*((户型资产表!I:I="沙发02两人")+(户型资产表!I:I="双人沙发01")))&gt;0,"有","无")</f>
        <v>无</v>
      </c>
      <c r="Z19" s="46" t="str">
        <f>IF(COUNTIFS(户型资产表!E:E,I19,户型资产表!H:H,"餐桌")&gt;0,"有","无")</f>
        <v>无</v>
      </c>
      <c r="AA19" s="46" t="str">
        <f>IF(COUNTIFS(户型资产表!E:E,I19,户型资产表!H:H,"吸油烟机")&gt;0,"有","无")</f>
        <v>无</v>
      </c>
      <c r="AB19" s="46" t="str">
        <f>IF(COUNTIFS(户型资产表!E:E,I19,户型资产表!H:H,"冰箱")&gt;0,"有","无")</f>
        <v>无</v>
      </c>
      <c r="AC19" s="46" t="str">
        <f>IF(COUNTIFS(户型资产表!E:E,I19,户型资产表!H:H,"电视柜")&gt;0,"有","无")</f>
        <v>无</v>
      </c>
      <c r="AD19" s="45" t="str">
        <f t="shared" ref="AD19:AD32" si="12">IF(J19="开间",IF(AND(V19="无",W19="无"),"缺失",IF(AND(V19="无",W19="有"),"缺失（操作台）",IF(AND(V19="有",W19="无"),"缺失（书桌）",IF(AND(V19="有",W19="有"),IF(OR(AA19="有",Y19="有"),"充足（油烟机/双人沙发）",IF(OR(X19="有",Z19="有"),"充足（单人沙发/餐桌）",IF(AND(OR(X19="有",Y19="有"),Z19="有"),"非常充足","适中"))),"")))),"适中")</f>
        <v>适中</v>
      </c>
      <c r="AE19" s="46">
        <f>VLOOKUP($AD$1&amp;AD19,【1】定价因子!E:F,2,0)</f>
        <v>1</v>
      </c>
      <c r="AF19" s="45" t="str">
        <f t="shared" ref="AF19:AF32" si="13">IF(J19="一居室",IF(AND(V19="无",Y19="无",Z19="无"),"缺失",IF(OR(AND(Z19="有",V19="无",Y19="无"),AND(Z19="有",V19="无",Y19="有"),AND(Z19="有",V19="有",Y19="无"),AND(Z19="无",V19="有",Y19="无"),AND(Z19="无",V19="无",Y19="有")),"缺失（操作台/双人沙发）",IF(AND(V19="有",Y19="有",Z19="无"),"缺失（餐桌）",IF(AND(V19="有",Y19="有",Z19="有"),IF(AND(W19="无",AA19="有"),"充配（油烟机）",IF(AND(W19="有",AA19="无"),"充配（书桌）",IF(AND(W19="有",AA19="有"),"非常充配","适中"))),"")))),"适中")</f>
        <v>适中</v>
      </c>
      <c r="AG19" s="46">
        <f>VLOOKUP($AF$1&amp;AF19,【1】定价因子!E:F,2,0)</f>
        <v>1</v>
      </c>
      <c r="AH19" s="45" t="str">
        <f t="shared" ref="AH19:AH32" si="14">IF(J19="二居室",IF(AND(Y19="无",Z19="无",AC19="无",V19="无"),"缺失",IF(OR(AND(Y19="无",Z19="无",AC19="有"),AND(Y19="无",Z19="无",V19="有"),AND(Y19="无",Z19="无",AC19="有",V19="有"),AND(Y19="无",Z19="有",AC19="无"),AND(Y19="无",Z19="有",V19="无"),AND(Y19="无",Z19="有",AC19="有"),AND(Y19="无",Z19="有",V19="有"),AND(Y19="有",Z19="无",AC19="无"),AND(Y19="有",Z19="无",V19="无"),AND(Y19="有",Z19="无",AC19="有"),AND(Y19="有",Z19="无",V19="有")),"缺失（沙发/餐桌）",IF(AND(Y19="有",Z19="有",OR(AC19="无",V19="无")),"缺失（电视柜/操作台）",IF(AND(Y19="有",Z19="有",AC19="有",V19="有"),IF(OR(AA19="有",AB19="有"),"充配（油烟机/冰箱）",IF(AND(AA19="无",AB19="无"),"适中","")),"")))),"适中")</f>
        <v>适中</v>
      </c>
      <c r="AI19" s="46">
        <f>VLOOKUP($AH$1&amp;AH19,【1】定价因子!E:F,2,0)</f>
        <v>1</v>
      </c>
      <c r="AJ19" s="46" t="str">
        <f>VLOOKUP(H19,'【3-1】大区填-采光基本要素'!A:H,8,0)</f>
        <v>2</v>
      </c>
      <c r="AK19" s="46">
        <f>VLOOKUP($AJ$1&amp;AJ19,【1】定价因子!E:F,2,0)</f>
        <v>0.96</v>
      </c>
      <c r="AL19" s="47">
        <f t="shared" ref="AL19:AL32" si="15">L19*PRODUCT(AG19,AK19,AE19,U19,S19,Q19,O19)</f>
        <v>1448.57856</v>
      </c>
      <c r="AM19" s="48">
        <f>AL19-80</f>
        <v>1368.57856</v>
      </c>
      <c r="AN19" s="49">
        <f t="shared" ref="AN19:AN32" si="16">AM19/AL19-1</f>
        <v>-0.0552265525730272</v>
      </c>
    </row>
    <row r="20" spans="1:40">
      <c r="A20" s="41" t="str">
        <f>'【2】运营中心填-基本信息&amp;审核标准'!$E$2</f>
        <v>福永一队9-16栋</v>
      </c>
      <c r="B20" s="13">
        <f t="shared" si="11"/>
        <v>4</v>
      </c>
      <c r="C20" s="13">
        <f t="shared" si="1"/>
        <v>5</v>
      </c>
      <c r="D20" s="13">
        <f t="shared" si="2"/>
        <v>40</v>
      </c>
      <c r="E20" s="13"/>
      <c r="F20" s="13">
        <f t="shared" si="3"/>
        <v>5</v>
      </c>
      <c r="G20" s="13"/>
      <c r="H20" s="42">
        <v>404</v>
      </c>
      <c r="I20" s="43" t="s">
        <v>493</v>
      </c>
      <c r="J20" s="43" t="s">
        <v>40</v>
      </c>
      <c r="K20" s="13" t="str" cm="1">
        <f t="array" ref="K20">IFERROR(INDEX($J$2:$J$41,MATCH(0,IF(ISBLANK($J$2:$J$41),1,COUNTIF($K$1:K19,$J$2:$J$41)),0)),"")</f>
        <v/>
      </c>
      <c r="L20" s="44">
        <f>VLOOKUP(J20,'【3】大区填-楼栋基准格局定价'!B:H,7,0)</f>
        <v>1508.936</v>
      </c>
      <c r="M20" s="45" t="str">
        <f t="shared" si="4"/>
        <v>较狭小</v>
      </c>
      <c r="N20" s="45">
        <v>12.39</v>
      </c>
      <c r="O20" s="46">
        <f>VLOOKUP($M$1&amp;M20,【1】定价因子!E:F,2,0)</f>
        <v>0.95</v>
      </c>
      <c r="P20" s="46" t="str">
        <f>IF(COUNTIFS(户型资产表!E:E,I20,户型资产表!H:H,"阳台门")&gt;0,"有","无")</f>
        <v>无</v>
      </c>
      <c r="Q20" s="46">
        <f>VLOOKUP($P$1&amp;P20,【1】定价因子!E:F,2,0)</f>
        <v>1</v>
      </c>
      <c r="R20" s="46" t="str">
        <f>IF('【2】运营中心填-基本信息&amp;审核标准'!$D$4="是","无",IF(INT(H20/100)&gt;9,"9F",INT(H20/100)&amp;"F"))</f>
        <v>4F</v>
      </c>
      <c r="S20" s="46">
        <f>VLOOKUP(R20,【1】定价因子!D:F,3,0)</f>
        <v>1</v>
      </c>
      <c r="T20" s="46" t="str">
        <f>IF('【2】运营中心填-基本信息&amp;审核标准'!$D$4="否","无",IF(INT(H20/100)=1,"1F",IF(AND(INT(H20/100)&gt;=2,INT(H20/100)&lt;=3),"2-3F",IF(INT(H20/100)=4,"4F",IF(AND(INT(H20/100)&gt;=5,INT(H20/100)&lt;=6),"5-6F",IF(AND(INT(H20/100)&gt;=7,INT(H20/100)&lt;=8),"7-8F",IF(AND(INT(H20/100)&gt;=9,INT(H20/100)&lt;=10),"9-10F",IF(AND(INT(H20/100)&gt;=11,INT(H20/100)&lt;=12),"11-12F",IF(INT(H20/100)&gt;=13,"13以上F","")))))))))</f>
        <v>无</v>
      </c>
      <c r="U20" s="46">
        <f>VLOOKUP($T$1&amp;T20,【1】定价因子!E:F,2,0)</f>
        <v>1</v>
      </c>
      <c r="V20" s="46" t="str">
        <f>IF(COUNTIFS(户型资产表!E:E,I20,户型资产表!H:H,"操作台")&gt;0,"有","无")</f>
        <v>有</v>
      </c>
      <c r="W20" s="46" t="str">
        <f>IF(COUNTIFS(户型资产表!E:E,I20,户型资产表!H:H,"书桌")&gt;0,"有","无")</f>
        <v>有</v>
      </c>
      <c r="X20" s="46" t="str" cm="1">
        <f t="array" ref="X20">IF(SUMPRODUCT((户型资产表!E:E=I20)*((户型资产表!I:I="沙发01单人")+(户型资产表!I:I="单人沙发02")))&gt;0,"有","无")</f>
        <v>无</v>
      </c>
      <c r="Y20" s="46" t="str" cm="1">
        <f t="array" ref="Y20">IF(SUMPRODUCT((户型资产表!E:E=I20)*((户型资产表!I:I="沙发02两人")+(户型资产表!I:I="双人沙发01")))&gt;0,"有","无")</f>
        <v>无</v>
      </c>
      <c r="Z20" s="46" t="str">
        <f>IF(COUNTIFS(户型资产表!E:E,I20,户型资产表!H:H,"餐桌")&gt;0,"有","无")</f>
        <v>无</v>
      </c>
      <c r="AA20" s="46" t="str">
        <f>IF(COUNTIFS(户型资产表!E:E,I20,户型资产表!H:H,"吸油烟机")&gt;0,"有","无")</f>
        <v>无</v>
      </c>
      <c r="AB20" s="46" t="str">
        <f>IF(COUNTIFS(户型资产表!E:E,I20,户型资产表!H:H,"冰箱")&gt;0,"有","无")</f>
        <v>无</v>
      </c>
      <c r="AC20" s="46" t="str">
        <f>IF(COUNTIFS(户型资产表!E:E,I20,户型资产表!H:H,"电视柜")&gt;0,"有","无")</f>
        <v>无</v>
      </c>
      <c r="AD20" s="45" t="str">
        <f t="shared" si="12"/>
        <v>适中</v>
      </c>
      <c r="AE20" s="46">
        <f>VLOOKUP($AD$1&amp;AD20,【1】定价因子!E:F,2,0)</f>
        <v>1</v>
      </c>
      <c r="AF20" s="45" t="str">
        <f t="shared" si="13"/>
        <v>适中</v>
      </c>
      <c r="AG20" s="46">
        <f>VLOOKUP($AF$1&amp;AF20,【1】定价因子!E:F,2,0)</f>
        <v>1</v>
      </c>
      <c r="AH20" s="45" t="str">
        <f t="shared" si="14"/>
        <v>适中</v>
      </c>
      <c r="AI20" s="46">
        <f>VLOOKUP($AH$1&amp;AH20,【1】定价因子!E:F,2,0)</f>
        <v>1</v>
      </c>
      <c r="AJ20" s="46" t="str">
        <f>VLOOKUP(H20,'【3-1】大区填-采光基本要素'!A:H,8,0)</f>
        <v>3</v>
      </c>
      <c r="AK20" s="46">
        <f>VLOOKUP($AJ$1&amp;AJ20,【1】定价因子!E:F,2,0)</f>
        <v>1</v>
      </c>
      <c r="AL20" s="47">
        <f t="shared" si="15"/>
        <v>1433.4892</v>
      </c>
      <c r="AM20" s="48">
        <f>AL20-80</f>
        <v>1353.4892</v>
      </c>
      <c r="AN20" s="49">
        <f t="shared" si="16"/>
        <v>-0.0558078847053748</v>
      </c>
    </row>
    <row r="21" spans="1:40">
      <c r="A21" s="41" t="str">
        <f>'【2】运营中心填-基本信息&amp;审核标准'!$E$2</f>
        <v>福永一队9-16栋</v>
      </c>
      <c r="B21" s="13">
        <f t="shared" si="11"/>
        <v>4</v>
      </c>
      <c r="C21" s="13">
        <f t="shared" si="1"/>
        <v>5</v>
      </c>
      <c r="D21" s="13">
        <f t="shared" si="2"/>
        <v>40</v>
      </c>
      <c r="E21" s="13"/>
      <c r="F21" s="13">
        <f t="shared" si="3"/>
        <v>5</v>
      </c>
      <c r="G21" s="13"/>
      <c r="H21" s="42">
        <v>405</v>
      </c>
      <c r="I21" s="43" t="s">
        <v>493</v>
      </c>
      <c r="J21" s="43" t="s">
        <v>40</v>
      </c>
      <c r="K21" s="13" t="str" cm="1">
        <f t="array" ref="K21">IFERROR(INDEX($J$2:$J$41,MATCH(0,IF(ISBLANK($J$2:$J$41),1,COUNTIF($K$1:K20,$J$2:$J$41)),0)),"")</f>
        <v/>
      </c>
      <c r="L21" s="44">
        <f>VLOOKUP(J21,'【3】大区填-楼栋基准格局定价'!B:H,7,0)</f>
        <v>1508.936</v>
      </c>
      <c r="M21" s="45" t="str">
        <f t="shared" si="4"/>
        <v>适中</v>
      </c>
      <c r="N21" s="45">
        <v>13</v>
      </c>
      <c r="O21" s="46">
        <f>VLOOKUP($M$1&amp;M21,【1】定价因子!E:F,2,0)</f>
        <v>1</v>
      </c>
      <c r="P21" s="46" t="str">
        <f>IF(COUNTIFS(户型资产表!E:E,I21,户型资产表!H:H,"阳台门")&gt;0,"有","无")</f>
        <v>无</v>
      </c>
      <c r="Q21" s="46">
        <f>VLOOKUP($P$1&amp;P21,【1】定价因子!E:F,2,0)</f>
        <v>1</v>
      </c>
      <c r="R21" s="46" t="str">
        <f>IF('【2】运营中心填-基本信息&amp;审核标准'!$D$4="是","无",IF(INT(H21/100)&gt;9,"9F",INT(H21/100)&amp;"F"))</f>
        <v>4F</v>
      </c>
      <c r="S21" s="46">
        <f>VLOOKUP(R21,【1】定价因子!D:F,3,0)</f>
        <v>1</v>
      </c>
      <c r="T21" s="46" t="str">
        <f>IF('【2】运营中心填-基本信息&amp;审核标准'!$D$4="否","无",IF(INT(H21/100)=1,"1F",IF(AND(INT(H21/100)&gt;=2,INT(H21/100)&lt;=3),"2-3F",IF(INT(H21/100)=4,"4F",IF(AND(INT(H21/100)&gt;=5,INT(H21/100)&lt;=6),"5-6F",IF(AND(INT(H21/100)&gt;=7,INT(H21/100)&lt;=8),"7-8F",IF(AND(INT(H21/100)&gt;=9,INT(H21/100)&lt;=10),"9-10F",IF(AND(INT(H21/100)&gt;=11,INT(H21/100)&lt;=12),"11-12F",IF(INT(H21/100)&gt;=13,"13以上F","")))))))))</f>
        <v>无</v>
      </c>
      <c r="U21" s="46">
        <f>VLOOKUP($T$1&amp;T21,【1】定价因子!E:F,2,0)</f>
        <v>1</v>
      </c>
      <c r="V21" s="46" t="str">
        <f>IF(COUNTIFS(户型资产表!E:E,I21,户型资产表!H:H,"操作台")&gt;0,"有","无")</f>
        <v>有</v>
      </c>
      <c r="W21" s="46" t="str">
        <f>IF(COUNTIFS(户型资产表!E:E,I21,户型资产表!H:H,"书桌")&gt;0,"有","无")</f>
        <v>有</v>
      </c>
      <c r="X21" s="46" t="str" cm="1">
        <f t="array" ref="X21">IF(SUMPRODUCT((户型资产表!E:E=I21)*((户型资产表!I:I="沙发01单人")+(户型资产表!I:I="单人沙发02")))&gt;0,"有","无")</f>
        <v>无</v>
      </c>
      <c r="Y21" s="46" t="str" cm="1">
        <f t="array" ref="Y21">IF(SUMPRODUCT((户型资产表!E:E=I21)*((户型资产表!I:I="沙发02两人")+(户型资产表!I:I="双人沙发01")))&gt;0,"有","无")</f>
        <v>无</v>
      </c>
      <c r="Z21" s="46" t="str">
        <f>IF(COUNTIFS(户型资产表!E:E,I21,户型资产表!H:H,"餐桌")&gt;0,"有","无")</f>
        <v>无</v>
      </c>
      <c r="AA21" s="46" t="str">
        <f>IF(COUNTIFS(户型资产表!E:E,I21,户型资产表!H:H,"吸油烟机")&gt;0,"有","无")</f>
        <v>无</v>
      </c>
      <c r="AB21" s="46" t="str">
        <f>IF(COUNTIFS(户型资产表!E:E,I21,户型资产表!H:H,"冰箱")&gt;0,"有","无")</f>
        <v>无</v>
      </c>
      <c r="AC21" s="46" t="str">
        <f>IF(COUNTIFS(户型资产表!E:E,I21,户型资产表!H:H,"电视柜")&gt;0,"有","无")</f>
        <v>无</v>
      </c>
      <c r="AD21" s="45" t="str">
        <f t="shared" si="12"/>
        <v>适中</v>
      </c>
      <c r="AE21" s="46">
        <f>VLOOKUP($AD$1&amp;AD21,【1】定价因子!E:F,2,0)</f>
        <v>1</v>
      </c>
      <c r="AF21" s="45" t="str">
        <f t="shared" si="13"/>
        <v>适中</v>
      </c>
      <c r="AG21" s="46">
        <f>VLOOKUP($AF$1&amp;AF21,【1】定价因子!E:F,2,0)</f>
        <v>1</v>
      </c>
      <c r="AH21" s="45" t="str">
        <f t="shared" si="14"/>
        <v>适中</v>
      </c>
      <c r="AI21" s="46">
        <f>VLOOKUP($AH$1&amp;AH21,【1】定价因子!E:F,2,0)</f>
        <v>1</v>
      </c>
      <c r="AJ21" s="46" t="str">
        <f>VLOOKUP(H21,'【3-1】大区填-采光基本要素'!A:H,8,0)</f>
        <v>3</v>
      </c>
      <c r="AK21" s="46">
        <f>VLOOKUP($AJ$1&amp;AJ21,【1】定价因子!E:F,2,0)</f>
        <v>1</v>
      </c>
      <c r="AL21" s="47">
        <f t="shared" si="15"/>
        <v>1508.936</v>
      </c>
      <c r="AM21" s="48">
        <f t="shared" si="10"/>
        <v>1433.936</v>
      </c>
      <c r="AN21" s="49">
        <f t="shared" si="16"/>
        <v>-0.0497038973157244</v>
      </c>
    </row>
    <row r="22" spans="1:40">
      <c r="A22" s="41" t="str">
        <f>'【2】运营中心填-基本信息&amp;审核标准'!$E$2</f>
        <v>福永一队9-16栋</v>
      </c>
      <c r="B22" s="13">
        <f t="shared" si="11"/>
        <v>5</v>
      </c>
      <c r="C22" s="13">
        <f t="shared" si="1"/>
        <v>5</v>
      </c>
      <c r="D22" s="13">
        <f t="shared" si="2"/>
        <v>40</v>
      </c>
      <c r="E22" s="13"/>
      <c r="F22" s="13">
        <f t="shared" si="3"/>
        <v>5</v>
      </c>
      <c r="G22" s="13"/>
      <c r="H22" s="42">
        <v>501</v>
      </c>
      <c r="I22" s="43" t="s">
        <v>492</v>
      </c>
      <c r="J22" s="43" t="s">
        <v>40</v>
      </c>
      <c r="K22" s="13" t="str" cm="1">
        <f t="array" ref="K22">IFERROR(INDEX($J$2:$J$41,MATCH(0,IF(ISBLANK($J$2:$J$41),1,COUNTIF($K$1:K21,$J$2:$J$41)),0)),"")</f>
        <v/>
      </c>
      <c r="L22" s="44">
        <f>VLOOKUP(J22,'【3】大区填-楼栋基准格局定价'!B:H,7,0)</f>
        <v>1508.936</v>
      </c>
      <c r="M22" s="45" t="str">
        <f t="shared" si="4"/>
        <v>较狭小</v>
      </c>
      <c r="N22" s="45">
        <v>12.27</v>
      </c>
      <c r="O22" s="46">
        <f>VLOOKUP($M$1&amp;M22,【1】定价因子!E:F,2,0)</f>
        <v>0.95</v>
      </c>
      <c r="P22" s="46" t="str">
        <f>IF(COUNTIFS(户型资产表!E:E,I22,户型资产表!H:H,"阳台门")&gt;0,"有","无")</f>
        <v>无</v>
      </c>
      <c r="Q22" s="46">
        <f>VLOOKUP($P$1&amp;P22,【1】定价因子!E:F,2,0)</f>
        <v>1</v>
      </c>
      <c r="R22" s="46" t="str">
        <f>IF('【2】运营中心填-基本信息&amp;审核标准'!$D$4="是","无",IF(INT(H22/100)&gt;9,"9F",INT(H22/100)&amp;"F"))</f>
        <v>5F</v>
      </c>
      <c r="S22" s="46">
        <f>VLOOKUP(R22,【1】定价因子!D:F,3,0)</f>
        <v>0.99</v>
      </c>
      <c r="T22" s="46" t="str">
        <f>IF('【2】运营中心填-基本信息&amp;审核标准'!$D$4="否","无",IF(INT(H22/100)=1,"1F",IF(AND(INT(H22/100)&gt;=2,INT(H22/100)&lt;=3),"2-3F",IF(INT(H22/100)=4,"4F",IF(AND(INT(H22/100)&gt;=5,INT(H22/100)&lt;=6),"5-6F",IF(AND(INT(H22/100)&gt;=7,INT(H22/100)&lt;=8),"7-8F",IF(AND(INT(H22/100)&gt;=9,INT(H22/100)&lt;=10),"9-10F",IF(AND(INT(H22/100)&gt;=11,INT(H22/100)&lt;=12),"11-12F",IF(INT(H22/100)&gt;=13,"13以上F","")))))))))</f>
        <v>无</v>
      </c>
      <c r="U22" s="46">
        <f>VLOOKUP($T$1&amp;T22,【1】定价因子!E:F,2,0)</f>
        <v>1</v>
      </c>
      <c r="V22" s="46" t="str">
        <f>IF(COUNTIFS(户型资产表!E:E,I22,户型资产表!H:H,"操作台")&gt;0,"有","无")</f>
        <v>有</v>
      </c>
      <c r="W22" s="46" t="str">
        <f>IF(COUNTIFS(户型资产表!E:E,I22,户型资产表!H:H,"书桌")&gt;0,"有","无")</f>
        <v>有</v>
      </c>
      <c r="X22" s="46" t="str" cm="1">
        <f t="array" ref="X22">IF(SUMPRODUCT((户型资产表!E:E=I22)*((户型资产表!I:I="沙发01单人")+(户型资产表!I:I="单人沙发02")))&gt;0,"有","无")</f>
        <v>无</v>
      </c>
      <c r="Y22" s="46" t="str" cm="1">
        <f t="array" ref="Y22">IF(SUMPRODUCT((户型资产表!E:E=I22)*((户型资产表!I:I="沙发02两人")+(户型资产表!I:I="双人沙发01")))&gt;0,"有","无")</f>
        <v>无</v>
      </c>
      <c r="Z22" s="46" t="str">
        <f>IF(COUNTIFS(户型资产表!E:E,I22,户型资产表!H:H,"餐桌")&gt;0,"有","无")</f>
        <v>无</v>
      </c>
      <c r="AA22" s="46" t="str">
        <f>IF(COUNTIFS(户型资产表!E:E,I22,户型资产表!H:H,"吸油烟机")&gt;0,"有","无")</f>
        <v>无</v>
      </c>
      <c r="AB22" s="46" t="str">
        <f>IF(COUNTIFS(户型资产表!E:E,I22,户型资产表!H:H,"冰箱")&gt;0,"有","无")</f>
        <v>无</v>
      </c>
      <c r="AC22" s="46" t="str">
        <f>IF(COUNTIFS(户型资产表!E:E,I22,户型资产表!H:H,"电视柜")&gt;0,"有","无")</f>
        <v>无</v>
      </c>
      <c r="AD22" s="45" t="str">
        <f t="shared" si="12"/>
        <v>适中</v>
      </c>
      <c r="AE22" s="46">
        <f>VLOOKUP($AD$1&amp;AD22,【1】定价因子!E:F,2,0)</f>
        <v>1</v>
      </c>
      <c r="AF22" s="45" t="str">
        <f t="shared" si="13"/>
        <v>适中</v>
      </c>
      <c r="AG22" s="46">
        <f>VLOOKUP($AF$1&amp;AF22,【1】定价因子!E:F,2,0)</f>
        <v>1</v>
      </c>
      <c r="AH22" s="45" t="str">
        <f t="shared" si="14"/>
        <v>适中</v>
      </c>
      <c r="AI22" s="46">
        <f>VLOOKUP($AH$1&amp;AH22,【1】定价因子!E:F,2,0)</f>
        <v>1</v>
      </c>
      <c r="AJ22" s="46" t="str">
        <f>VLOOKUP(H22,'【3-1】大区填-采光基本要素'!A:H,8,0)</f>
        <v>3</v>
      </c>
      <c r="AK22" s="46">
        <f>VLOOKUP($AJ$1&amp;AJ22,【1】定价因子!E:F,2,0)</f>
        <v>1</v>
      </c>
      <c r="AL22" s="47">
        <f t="shared" si="15"/>
        <v>1419.154308</v>
      </c>
      <c r="AM22" s="48">
        <f t="shared" si="10"/>
        <v>1344.154308</v>
      </c>
      <c r="AN22" s="49">
        <f t="shared" si="16"/>
        <v>-0.0528483756679686</v>
      </c>
    </row>
    <row r="23" spans="1:40">
      <c r="A23" s="41" t="str">
        <f>'【2】运营中心填-基本信息&amp;审核标准'!$E$2</f>
        <v>福永一队9-16栋</v>
      </c>
      <c r="B23" s="13">
        <f t="shared" si="11"/>
        <v>5</v>
      </c>
      <c r="C23" s="13">
        <f t="shared" si="1"/>
        <v>5</v>
      </c>
      <c r="D23" s="13">
        <f t="shared" si="2"/>
        <v>40</v>
      </c>
      <c r="E23" s="13"/>
      <c r="F23" s="13">
        <f t="shared" si="3"/>
        <v>5</v>
      </c>
      <c r="G23" s="13"/>
      <c r="H23" s="42">
        <v>502</v>
      </c>
      <c r="I23" s="43" t="s">
        <v>492</v>
      </c>
      <c r="J23" s="43" t="s">
        <v>40</v>
      </c>
      <c r="K23" s="13" t="str" cm="1">
        <f t="array" ref="K23">IFERROR(INDEX($J$2:$J$41,MATCH(0,IF(ISBLANK($J$2:$J$41),1,COUNTIF($K$1:K22,$J$2:$J$41)),0)),"")</f>
        <v/>
      </c>
      <c r="L23" s="44">
        <f>VLOOKUP(J23,'【3】大区填-楼栋基准格局定价'!B:H,7,0)</f>
        <v>1508.936</v>
      </c>
      <c r="M23" s="45" t="str">
        <f t="shared" si="4"/>
        <v>较狭小</v>
      </c>
      <c r="N23" s="45">
        <v>12.26</v>
      </c>
      <c r="O23" s="46">
        <f>VLOOKUP($M$1&amp;M23,【1】定价因子!E:F,2,0)</f>
        <v>0.95</v>
      </c>
      <c r="P23" s="46" t="str">
        <f>IF(COUNTIFS(户型资产表!E:E,I23,户型资产表!H:H,"阳台门")&gt;0,"有","无")</f>
        <v>无</v>
      </c>
      <c r="Q23" s="46">
        <f>VLOOKUP($P$1&amp;P23,【1】定价因子!E:F,2,0)</f>
        <v>1</v>
      </c>
      <c r="R23" s="46" t="str">
        <f>IF('【2】运营中心填-基本信息&amp;审核标准'!$D$4="是","无",IF(INT(H23/100)&gt;9,"9F",INT(H23/100)&amp;"F"))</f>
        <v>5F</v>
      </c>
      <c r="S23" s="46">
        <f>VLOOKUP(R23,【1】定价因子!D:F,3,0)</f>
        <v>0.99</v>
      </c>
      <c r="T23" s="46" t="str">
        <f>IF('【2】运营中心填-基本信息&amp;审核标准'!$D$4="否","无",IF(INT(H23/100)=1,"1F",IF(AND(INT(H23/100)&gt;=2,INT(H23/100)&lt;=3),"2-3F",IF(INT(H23/100)=4,"4F",IF(AND(INT(H23/100)&gt;=5,INT(H23/100)&lt;=6),"5-6F",IF(AND(INT(H23/100)&gt;=7,INT(H23/100)&lt;=8),"7-8F",IF(AND(INT(H23/100)&gt;=9,INT(H23/100)&lt;=10),"9-10F",IF(AND(INT(H23/100)&gt;=11,INT(H23/100)&lt;=12),"11-12F",IF(INT(H23/100)&gt;=13,"13以上F","")))))))))</f>
        <v>无</v>
      </c>
      <c r="U23" s="46">
        <f>VLOOKUP($T$1&amp;T23,【1】定价因子!E:F,2,0)</f>
        <v>1</v>
      </c>
      <c r="V23" s="46" t="str">
        <f>IF(COUNTIFS(户型资产表!E:E,I23,户型资产表!H:H,"操作台")&gt;0,"有","无")</f>
        <v>有</v>
      </c>
      <c r="W23" s="46" t="str">
        <f>IF(COUNTIFS(户型资产表!E:E,I23,户型资产表!H:H,"书桌")&gt;0,"有","无")</f>
        <v>有</v>
      </c>
      <c r="X23" s="46" t="str" cm="1">
        <f t="array" ref="X23">IF(SUMPRODUCT((户型资产表!E:E=I23)*((户型资产表!I:I="沙发01单人")+(户型资产表!I:I="单人沙发02")))&gt;0,"有","无")</f>
        <v>无</v>
      </c>
      <c r="Y23" s="46" t="str" cm="1">
        <f t="array" ref="Y23">IF(SUMPRODUCT((户型资产表!E:E=I23)*((户型资产表!I:I="沙发02两人")+(户型资产表!I:I="双人沙发01")))&gt;0,"有","无")</f>
        <v>无</v>
      </c>
      <c r="Z23" s="46" t="str">
        <f>IF(COUNTIFS(户型资产表!E:E,I23,户型资产表!H:H,"餐桌")&gt;0,"有","无")</f>
        <v>无</v>
      </c>
      <c r="AA23" s="46" t="str">
        <f>IF(COUNTIFS(户型资产表!E:E,I23,户型资产表!H:H,"吸油烟机")&gt;0,"有","无")</f>
        <v>无</v>
      </c>
      <c r="AB23" s="46" t="str">
        <f>IF(COUNTIFS(户型资产表!E:E,I23,户型资产表!H:H,"冰箱")&gt;0,"有","无")</f>
        <v>无</v>
      </c>
      <c r="AC23" s="46" t="str">
        <f>IF(COUNTIFS(户型资产表!E:E,I23,户型资产表!H:H,"电视柜")&gt;0,"有","无")</f>
        <v>无</v>
      </c>
      <c r="AD23" s="45" t="str">
        <f t="shared" si="12"/>
        <v>适中</v>
      </c>
      <c r="AE23" s="46">
        <f>VLOOKUP($AD$1&amp;AD23,【1】定价因子!E:F,2,0)</f>
        <v>1</v>
      </c>
      <c r="AF23" s="45" t="str">
        <f t="shared" si="13"/>
        <v>适中</v>
      </c>
      <c r="AG23" s="46">
        <f>VLOOKUP($AF$1&amp;AF23,【1】定价因子!E:F,2,0)</f>
        <v>1</v>
      </c>
      <c r="AH23" s="45" t="str">
        <f t="shared" si="14"/>
        <v>适中</v>
      </c>
      <c r="AI23" s="46">
        <f>VLOOKUP($AH$1&amp;AH23,【1】定价因子!E:F,2,0)</f>
        <v>1</v>
      </c>
      <c r="AJ23" s="46" t="str">
        <f>VLOOKUP(H23,'【3-1】大区填-采光基本要素'!A:H,8,0)</f>
        <v>3</v>
      </c>
      <c r="AK23" s="46">
        <f>VLOOKUP($AJ$1&amp;AJ23,【1】定价因子!E:F,2,0)</f>
        <v>1</v>
      </c>
      <c r="AL23" s="47">
        <f t="shared" si="15"/>
        <v>1419.154308</v>
      </c>
      <c r="AM23" s="48">
        <f t="shared" si="10"/>
        <v>1344.154308</v>
      </c>
      <c r="AN23" s="49">
        <f t="shared" si="16"/>
        <v>-0.0528483756679686</v>
      </c>
    </row>
    <row r="24" spans="1:40">
      <c r="A24" s="41" t="str">
        <f>'【2】运营中心填-基本信息&amp;审核标准'!$E$2</f>
        <v>福永一队9-16栋</v>
      </c>
      <c r="B24" s="13">
        <f t="shared" si="11"/>
        <v>5</v>
      </c>
      <c r="C24" s="13">
        <f t="shared" si="1"/>
        <v>5</v>
      </c>
      <c r="D24" s="13">
        <f t="shared" si="2"/>
        <v>40</v>
      </c>
      <c r="E24" s="13"/>
      <c r="F24" s="13">
        <f t="shared" si="3"/>
        <v>5</v>
      </c>
      <c r="G24" s="13"/>
      <c r="H24" s="42">
        <v>503</v>
      </c>
      <c r="I24" s="43" t="s">
        <v>493</v>
      </c>
      <c r="J24" s="43" t="s">
        <v>40</v>
      </c>
      <c r="K24" s="13" t="str" cm="1">
        <f t="array" ref="K24">IFERROR(INDEX($J$2:$J$41,MATCH(0,IF(ISBLANK($J$2:$J$41),1,COUNTIF($K$1:K23,$J$2:$J$41)),0)),"")</f>
        <v/>
      </c>
      <c r="L24" s="44">
        <f>VLOOKUP(J24,'【3】大区填-楼栋基准格局定价'!B:H,7,0)</f>
        <v>1508.936</v>
      </c>
      <c r="M24" s="45" t="str">
        <f t="shared" si="4"/>
        <v>适中</v>
      </c>
      <c r="N24" s="45">
        <v>13</v>
      </c>
      <c r="O24" s="46">
        <f>VLOOKUP($M$1&amp;M24,【1】定价因子!E:F,2,0)</f>
        <v>1</v>
      </c>
      <c r="P24" s="46" t="str">
        <f>IF(COUNTIFS(户型资产表!E:E,I24,户型资产表!H:H,"阳台门")&gt;0,"有","无")</f>
        <v>无</v>
      </c>
      <c r="Q24" s="46">
        <f>VLOOKUP($P$1&amp;P24,【1】定价因子!E:F,2,0)</f>
        <v>1</v>
      </c>
      <c r="R24" s="46" t="str">
        <f>IF('【2】运营中心填-基本信息&amp;审核标准'!$D$4="是","无",IF(INT(H24/100)&gt;9,"9F",INT(H24/100)&amp;"F"))</f>
        <v>5F</v>
      </c>
      <c r="S24" s="46">
        <f>VLOOKUP(R24,【1】定价因子!D:F,3,0)</f>
        <v>0.99</v>
      </c>
      <c r="T24" s="46" t="str">
        <f>IF('【2】运营中心填-基本信息&amp;审核标准'!$D$4="否","无",IF(INT(H24/100)=1,"1F",IF(AND(INT(H24/100)&gt;=2,INT(H24/100)&lt;=3),"2-3F",IF(INT(H24/100)=4,"4F",IF(AND(INT(H24/100)&gt;=5,INT(H24/100)&lt;=6),"5-6F",IF(AND(INT(H24/100)&gt;=7,INT(H24/100)&lt;=8),"7-8F",IF(AND(INT(H24/100)&gt;=9,INT(H24/100)&lt;=10),"9-10F",IF(AND(INT(H24/100)&gt;=11,INT(H24/100)&lt;=12),"11-12F",IF(INT(H24/100)&gt;=13,"13以上F","")))))))))</f>
        <v>无</v>
      </c>
      <c r="U24" s="46">
        <f>VLOOKUP($T$1&amp;T24,【1】定价因子!E:F,2,0)</f>
        <v>1</v>
      </c>
      <c r="V24" s="46" t="str">
        <f>IF(COUNTIFS(户型资产表!E:E,I24,户型资产表!H:H,"操作台")&gt;0,"有","无")</f>
        <v>有</v>
      </c>
      <c r="W24" s="46" t="str">
        <f>IF(COUNTIFS(户型资产表!E:E,I24,户型资产表!H:H,"书桌")&gt;0,"有","无")</f>
        <v>有</v>
      </c>
      <c r="X24" s="46" t="str" cm="1">
        <f t="array" ref="X24">IF(SUMPRODUCT((户型资产表!E:E=I24)*((户型资产表!I:I="沙发01单人")+(户型资产表!I:I="单人沙发02")))&gt;0,"有","无")</f>
        <v>无</v>
      </c>
      <c r="Y24" s="46" t="str" cm="1">
        <f t="array" ref="Y24">IF(SUMPRODUCT((户型资产表!E:E=I24)*((户型资产表!I:I="沙发02两人")+(户型资产表!I:I="双人沙发01")))&gt;0,"有","无")</f>
        <v>无</v>
      </c>
      <c r="Z24" s="46" t="str">
        <f>IF(COUNTIFS(户型资产表!E:E,I24,户型资产表!H:H,"餐桌")&gt;0,"有","无")</f>
        <v>无</v>
      </c>
      <c r="AA24" s="46" t="str">
        <f>IF(COUNTIFS(户型资产表!E:E,I24,户型资产表!H:H,"吸油烟机")&gt;0,"有","无")</f>
        <v>无</v>
      </c>
      <c r="AB24" s="46" t="str">
        <f>IF(COUNTIFS(户型资产表!E:E,I24,户型资产表!H:H,"冰箱")&gt;0,"有","无")</f>
        <v>无</v>
      </c>
      <c r="AC24" s="46" t="str">
        <f>IF(COUNTIFS(户型资产表!E:E,I24,户型资产表!H:H,"电视柜")&gt;0,"有","无")</f>
        <v>无</v>
      </c>
      <c r="AD24" s="45" t="str">
        <f t="shared" si="12"/>
        <v>适中</v>
      </c>
      <c r="AE24" s="46">
        <f>VLOOKUP($AD$1&amp;AD24,【1】定价因子!E:F,2,0)</f>
        <v>1</v>
      </c>
      <c r="AF24" s="45" t="str">
        <f t="shared" si="13"/>
        <v>适中</v>
      </c>
      <c r="AG24" s="46">
        <f>VLOOKUP($AF$1&amp;AF24,【1】定价因子!E:F,2,0)</f>
        <v>1</v>
      </c>
      <c r="AH24" s="45" t="str">
        <f t="shared" si="14"/>
        <v>适中</v>
      </c>
      <c r="AI24" s="46">
        <f>VLOOKUP($AH$1&amp;AH24,【1】定价因子!E:F,2,0)</f>
        <v>1</v>
      </c>
      <c r="AJ24" s="46" t="str">
        <f>VLOOKUP(H24,'【3-1】大区填-采光基本要素'!A:H,8,0)</f>
        <v>2</v>
      </c>
      <c r="AK24" s="46">
        <f>VLOOKUP($AJ$1&amp;AJ24,【1】定价因子!E:F,2,0)</f>
        <v>0.96</v>
      </c>
      <c r="AL24" s="47">
        <f t="shared" si="15"/>
        <v>1434.0927744</v>
      </c>
      <c r="AM24" s="48">
        <f>AL24-80</f>
        <v>1354.0927744</v>
      </c>
      <c r="AN24" s="49">
        <f t="shared" si="16"/>
        <v>-0.0557843965384113</v>
      </c>
    </row>
    <row r="25" spans="1:40">
      <c r="A25" s="41" t="str">
        <f>'【2】运营中心填-基本信息&amp;审核标准'!$E$2</f>
        <v>福永一队9-16栋</v>
      </c>
      <c r="B25" s="13">
        <f t="shared" si="11"/>
        <v>5</v>
      </c>
      <c r="C25" s="13">
        <f t="shared" si="1"/>
        <v>5</v>
      </c>
      <c r="D25" s="13">
        <f t="shared" si="2"/>
        <v>40</v>
      </c>
      <c r="E25" s="13"/>
      <c r="F25" s="13">
        <f t="shared" si="3"/>
        <v>5</v>
      </c>
      <c r="G25" s="13"/>
      <c r="H25" s="42">
        <v>504</v>
      </c>
      <c r="I25" s="43" t="s">
        <v>493</v>
      </c>
      <c r="J25" s="43" t="s">
        <v>40</v>
      </c>
      <c r="K25" s="13" t="str" cm="1">
        <f t="array" ref="K25">IFERROR(INDEX($J$2:$J$41,MATCH(0,IF(ISBLANK($J$2:$J$41),1,COUNTIF($K$1:K24,$J$2:$J$41)),0)),"")</f>
        <v/>
      </c>
      <c r="L25" s="44">
        <f>VLOOKUP(J25,'【3】大区填-楼栋基准格局定价'!B:H,7,0)</f>
        <v>1508.936</v>
      </c>
      <c r="M25" s="45" t="str">
        <f t="shared" si="4"/>
        <v>较狭小</v>
      </c>
      <c r="N25" s="45">
        <v>12.39</v>
      </c>
      <c r="O25" s="46">
        <f>VLOOKUP($M$1&amp;M25,【1】定价因子!E:F,2,0)</f>
        <v>0.95</v>
      </c>
      <c r="P25" s="46" t="str">
        <f>IF(COUNTIFS(户型资产表!E:E,I25,户型资产表!H:H,"阳台门")&gt;0,"有","无")</f>
        <v>无</v>
      </c>
      <c r="Q25" s="46">
        <f>VLOOKUP($P$1&amp;P25,【1】定价因子!E:F,2,0)</f>
        <v>1</v>
      </c>
      <c r="R25" s="46" t="str">
        <f>IF('【2】运营中心填-基本信息&amp;审核标准'!$D$4="是","无",IF(INT(H25/100)&gt;9,"9F",INT(H25/100)&amp;"F"))</f>
        <v>5F</v>
      </c>
      <c r="S25" s="46">
        <f>VLOOKUP(R25,【1】定价因子!D:F,3,0)</f>
        <v>0.99</v>
      </c>
      <c r="T25" s="46" t="str">
        <f>IF('【2】运营中心填-基本信息&amp;审核标准'!$D$4="否","无",IF(INT(H25/100)=1,"1F",IF(AND(INT(H25/100)&gt;=2,INT(H25/100)&lt;=3),"2-3F",IF(INT(H25/100)=4,"4F",IF(AND(INT(H25/100)&gt;=5,INT(H25/100)&lt;=6),"5-6F",IF(AND(INT(H25/100)&gt;=7,INT(H25/100)&lt;=8),"7-8F",IF(AND(INT(H25/100)&gt;=9,INT(H25/100)&lt;=10),"9-10F",IF(AND(INT(H25/100)&gt;=11,INT(H25/100)&lt;=12),"11-12F",IF(INT(H25/100)&gt;=13,"13以上F","")))))))))</f>
        <v>无</v>
      </c>
      <c r="U25" s="46">
        <f>VLOOKUP($T$1&amp;T25,【1】定价因子!E:F,2,0)</f>
        <v>1</v>
      </c>
      <c r="V25" s="46" t="str">
        <f>IF(COUNTIFS(户型资产表!E:E,I25,户型资产表!H:H,"操作台")&gt;0,"有","无")</f>
        <v>有</v>
      </c>
      <c r="W25" s="46" t="str">
        <f>IF(COUNTIFS(户型资产表!E:E,I25,户型资产表!H:H,"书桌")&gt;0,"有","无")</f>
        <v>有</v>
      </c>
      <c r="X25" s="46" t="str" cm="1">
        <f t="array" ref="X25">IF(SUMPRODUCT((户型资产表!E:E=I25)*((户型资产表!I:I="沙发01单人")+(户型资产表!I:I="单人沙发02")))&gt;0,"有","无")</f>
        <v>无</v>
      </c>
      <c r="Y25" s="46" t="str" cm="1">
        <f t="array" ref="Y25">IF(SUMPRODUCT((户型资产表!E:E=I25)*((户型资产表!I:I="沙发02两人")+(户型资产表!I:I="双人沙发01")))&gt;0,"有","无")</f>
        <v>无</v>
      </c>
      <c r="Z25" s="46" t="str">
        <f>IF(COUNTIFS(户型资产表!E:E,I25,户型资产表!H:H,"餐桌")&gt;0,"有","无")</f>
        <v>无</v>
      </c>
      <c r="AA25" s="46" t="str">
        <f>IF(COUNTIFS(户型资产表!E:E,I25,户型资产表!H:H,"吸油烟机")&gt;0,"有","无")</f>
        <v>无</v>
      </c>
      <c r="AB25" s="46" t="str">
        <f>IF(COUNTIFS(户型资产表!E:E,I25,户型资产表!H:H,"冰箱")&gt;0,"有","无")</f>
        <v>无</v>
      </c>
      <c r="AC25" s="46" t="str">
        <f>IF(COUNTIFS(户型资产表!E:E,I25,户型资产表!H:H,"电视柜")&gt;0,"有","无")</f>
        <v>无</v>
      </c>
      <c r="AD25" s="45" t="str">
        <f t="shared" si="12"/>
        <v>适中</v>
      </c>
      <c r="AE25" s="46">
        <f>VLOOKUP($AD$1&amp;AD25,【1】定价因子!E:F,2,0)</f>
        <v>1</v>
      </c>
      <c r="AF25" s="45" t="str">
        <f t="shared" si="13"/>
        <v>适中</v>
      </c>
      <c r="AG25" s="46">
        <f>VLOOKUP($AF$1&amp;AF25,【1】定价因子!E:F,2,0)</f>
        <v>1</v>
      </c>
      <c r="AH25" s="45" t="str">
        <f t="shared" si="14"/>
        <v>适中</v>
      </c>
      <c r="AI25" s="46">
        <f>VLOOKUP($AH$1&amp;AH25,【1】定价因子!E:F,2,0)</f>
        <v>1</v>
      </c>
      <c r="AJ25" s="46" t="str">
        <f>VLOOKUP(H25,'【3-1】大区填-采光基本要素'!A:H,8,0)</f>
        <v>3</v>
      </c>
      <c r="AK25" s="46">
        <f>VLOOKUP($AJ$1&amp;AJ25,【1】定价因子!E:F,2,0)</f>
        <v>1</v>
      </c>
      <c r="AL25" s="47">
        <f t="shared" si="15"/>
        <v>1419.154308</v>
      </c>
      <c r="AM25" s="48">
        <f t="shared" si="10"/>
        <v>1344.154308</v>
      </c>
      <c r="AN25" s="49">
        <f t="shared" si="16"/>
        <v>-0.0528483756679686</v>
      </c>
    </row>
    <row r="26" spans="1:40">
      <c r="A26" s="41" t="str">
        <f>'【2】运营中心填-基本信息&amp;审核标准'!$E$2</f>
        <v>福永一队9-16栋</v>
      </c>
      <c r="B26" s="13">
        <f t="shared" si="11"/>
        <v>5</v>
      </c>
      <c r="C26" s="13">
        <f t="shared" si="1"/>
        <v>5</v>
      </c>
      <c r="D26" s="13">
        <f t="shared" si="2"/>
        <v>40</v>
      </c>
      <c r="E26" s="13"/>
      <c r="F26" s="13">
        <f t="shared" si="3"/>
        <v>5</v>
      </c>
      <c r="G26" s="13"/>
      <c r="H26" s="42">
        <v>505</v>
      </c>
      <c r="I26" s="43" t="s">
        <v>493</v>
      </c>
      <c r="J26" s="43" t="s">
        <v>40</v>
      </c>
      <c r="K26" s="13" t="str" cm="1">
        <f t="array" ref="K26">IFERROR(INDEX($J$2:$J$41,MATCH(0,IF(ISBLANK($J$2:$J$41),1,COUNTIF($K$1:K25,$J$2:$J$41)),0)),"")</f>
        <v/>
      </c>
      <c r="L26" s="44">
        <f>VLOOKUP(J26,'【3】大区填-楼栋基准格局定价'!B:H,7,0)</f>
        <v>1508.936</v>
      </c>
      <c r="M26" s="45" t="str">
        <f t="shared" si="4"/>
        <v>适中</v>
      </c>
      <c r="N26" s="45">
        <v>13</v>
      </c>
      <c r="O26" s="46">
        <f>VLOOKUP($M$1&amp;M26,【1】定价因子!E:F,2,0)</f>
        <v>1</v>
      </c>
      <c r="P26" s="46" t="str">
        <f>IF(COUNTIFS(户型资产表!E:E,I26,户型资产表!H:H,"阳台门")&gt;0,"有","无")</f>
        <v>无</v>
      </c>
      <c r="Q26" s="46">
        <f>VLOOKUP($P$1&amp;P26,【1】定价因子!E:F,2,0)</f>
        <v>1</v>
      </c>
      <c r="R26" s="46" t="str">
        <f>IF('【2】运营中心填-基本信息&amp;审核标准'!$D$4="是","无",IF(INT(H26/100)&gt;9,"9F",INT(H26/100)&amp;"F"))</f>
        <v>5F</v>
      </c>
      <c r="S26" s="46">
        <f>VLOOKUP(R26,【1】定价因子!D:F,3,0)</f>
        <v>0.99</v>
      </c>
      <c r="T26" s="46" t="str">
        <f>IF('【2】运营中心填-基本信息&amp;审核标准'!$D$4="否","无",IF(INT(H26/100)=1,"1F",IF(AND(INT(H26/100)&gt;=2,INT(H26/100)&lt;=3),"2-3F",IF(INT(H26/100)=4,"4F",IF(AND(INT(H26/100)&gt;=5,INT(H26/100)&lt;=6),"5-6F",IF(AND(INT(H26/100)&gt;=7,INT(H26/100)&lt;=8),"7-8F",IF(AND(INT(H26/100)&gt;=9,INT(H26/100)&lt;=10),"9-10F",IF(AND(INT(H26/100)&gt;=11,INT(H26/100)&lt;=12),"11-12F",IF(INT(H26/100)&gt;=13,"13以上F","")))))))))</f>
        <v>无</v>
      </c>
      <c r="U26" s="46">
        <f>VLOOKUP($T$1&amp;T26,【1】定价因子!E:F,2,0)</f>
        <v>1</v>
      </c>
      <c r="V26" s="46" t="str">
        <f>IF(COUNTIFS(户型资产表!E:E,I26,户型资产表!H:H,"操作台")&gt;0,"有","无")</f>
        <v>有</v>
      </c>
      <c r="W26" s="46" t="str">
        <f>IF(COUNTIFS(户型资产表!E:E,I26,户型资产表!H:H,"书桌")&gt;0,"有","无")</f>
        <v>有</v>
      </c>
      <c r="X26" s="46" t="str" cm="1">
        <f t="array" ref="X26">IF(SUMPRODUCT((户型资产表!E:E=I26)*((户型资产表!I:I="沙发01单人")+(户型资产表!I:I="单人沙发02")))&gt;0,"有","无")</f>
        <v>无</v>
      </c>
      <c r="Y26" s="46" t="str" cm="1">
        <f t="array" ref="Y26">IF(SUMPRODUCT((户型资产表!E:E=I26)*((户型资产表!I:I="沙发02两人")+(户型资产表!I:I="双人沙发01")))&gt;0,"有","无")</f>
        <v>无</v>
      </c>
      <c r="Z26" s="46" t="str">
        <f>IF(COUNTIFS(户型资产表!E:E,I26,户型资产表!H:H,"餐桌")&gt;0,"有","无")</f>
        <v>无</v>
      </c>
      <c r="AA26" s="46" t="str">
        <f>IF(COUNTIFS(户型资产表!E:E,I26,户型资产表!H:H,"吸油烟机")&gt;0,"有","无")</f>
        <v>无</v>
      </c>
      <c r="AB26" s="46" t="str">
        <f>IF(COUNTIFS(户型资产表!E:E,I26,户型资产表!H:H,"冰箱")&gt;0,"有","无")</f>
        <v>无</v>
      </c>
      <c r="AC26" s="46" t="str">
        <f>IF(COUNTIFS(户型资产表!E:E,I26,户型资产表!H:H,"电视柜")&gt;0,"有","无")</f>
        <v>无</v>
      </c>
      <c r="AD26" s="45" t="str">
        <f t="shared" si="12"/>
        <v>适中</v>
      </c>
      <c r="AE26" s="46">
        <f>VLOOKUP($AD$1&amp;AD26,【1】定价因子!E:F,2,0)</f>
        <v>1</v>
      </c>
      <c r="AF26" s="45" t="str">
        <f t="shared" si="13"/>
        <v>适中</v>
      </c>
      <c r="AG26" s="46">
        <f>VLOOKUP($AF$1&amp;AF26,【1】定价因子!E:F,2,0)</f>
        <v>1</v>
      </c>
      <c r="AH26" s="45" t="str">
        <f t="shared" si="14"/>
        <v>适中</v>
      </c>
      <c r="AI26" s="46">
        <f>VLOOKUP($AH$1&amp;AH26,【1】定价因子!E:F,2,0)</f>
        <v>1</v>
      </c>
      <c r="AJ26" s="46" t="str">
        <f>VLOOKUP(H26,'【3-1】大区填-采光基本要素'!A:H,8,0)</f>
        <v>3</v>
      </c>
      <c r="AK26" s="46">
        <f>VLOOKUP($AJ$1&amp;AJ26,【1】定价因子!E:F,2,0)</f>
        <v>1</v>
      </c>
      <c r="AL26" s="47">
        <f t="shared" si="15"/>
        <v>1493.84664</v>
      </c>
      <c r="AM26" s="48">
        <f t="shared" si="10"/>
        <v>1418.84664</v>
      </c>
      <c r="AN26" s="49">
        <f t="shared" si="16"/>
        <v>-0.0502059568845702</v>
      </c>
    </row>
    <row r="27" spans="1:40">
      <c r="A27" s="41" t="str">
        <f>'【2】运营中心填-基本信息&amp;审核标准'!$E$2</f>
        <v>福永一队9-16栋</v>
      </c>
      <c r="B27" s="13">
        <f t="shared" si="11"/>
        <v>6</v>
      </c>
      <c r="C27" s="13">
        <f t="shared" si="1"/>
        <v>5</v>
      </c>
      <c r="D27" s="13">
        <f t="shared" si="2"/>
        <v>40</v>
      </c>
      <c r="E27" s="13"/>
      <c r="F27" s="13">
        <f t="shared" si="3"/>
        <v>5</v>
      </c>
      <c r="G27" s="13"/>
      <c r="H27" s="42">
        <v>601</v>
      </c>
      <c r="I27" s="43" t="s">
        <v>492</v>
      </c>
      <c r="J27" s="43" t="s">
        <v>40</v>
      </c>
      <c r="K27" s="13" t="str" cm="1">
        <f t="array" ref="K27">IFERROR(INDEX($J$2:$J$41,MATCH(0,IF(ISBLANK($J$2:$J$41),1,COUNTIF($K$1:K26,$J$2:$J$41)),0)),"")</f>
        <v/>
      </c>
      <c r="L27" s="44">
        <f>VLOOKUP(J27,'【3】大区填-楼栋基准格局定价'!B:H,7,0)</f>
        <v>1508.936</v>
      </c>
      <c r="M27" s="45" t="str">
        <f t="shared" si="4"/>
        <v>较狭小</v>
      </c>
      <c r="N27" s="45">
        <v>12.27</v>
      </c>
      <c r="O27" s="46">
        <f>VLOOKUP($M$1&amp;M27,【1】定价因子!E:F,2,0)</f>
        <v>0.95</v>
      </c>
      <c r="P27" s="46" t="str">
        <f>IF(COUNTIFS(户型资产表!E:E,I27,户型资产表!H:H,"阳台门")&gt;0,"有","无")</f>
        <v>无</v>
      </c>
      <c r="Q27" s="46">
        <f>VLOOKUP($P$1&amp;P27,【1】定价因子!E:F,2,0)</f>
        <v>1</v>
      </c>
      <c r="R27" s="46" t="str">
        <f>IF('【2】运营中心填-基本信息&amp;审核标准'!$D$4="是","无",IF(INT(H27/100)&gt;9,"9F",INT(H27/100)&amp;"F"))</f>
        <v>6F</v>
      </c>
      <c r="S27" s="46">
        <f>VLOOKUP(R27,【1】定价因子!D:F,3,0)</f>
        <v>0.98</v>
      </c>
      <c r="T27" s="46" t="str">
        <f>IF('【2】运营中心填-基本信息&amp;审核标准'!$D$4="否","无",IF(INT(H27/100)=1,"1F",IF(AND(INT(H27/100)&gt;=2,INT(H27/100)&lt;=3),"2-3F",IF(INT(H27/100)=4,"4F",IF(AND(INT(H27/100)&gt;=5,INT(H27/100)&lt;=6),"5-6F",IF(AND(INT(H27/100)&gt;=7,INT(H27/100)&lt;=8),"7-8F",IF(AND(INT(H27/100)&gt;=9,INT(H27/100)&lt;=10),"9-10F",IF(AND(INT(H27/100)&gt;=11,INT(H27/100)&lt;=12),"11-12F",IF(INT(H27/100)&gt;=13,"13以上F","")))))))))</f>
        <v>无</v>
      </c>
      <c r="U27" s="46">
        <f>VLOOKUP($T$1&amp;T27,【1】定价因子!E:F,2,0)</f>
        <v>1</v>
      </c>
      <c r="V27" s="46" t="str">
        <f>IF(COUNTIFS(户型资产表!E:E,I27,户型资产表!H:H,"操作台")&gt;0,"有","无")</f>
        <v>有</v>
      </c>
      <c r="W27" s="46" t="str">
        <f>IF(COUNTIFS(户型资产表!E:E,I27,户型资产表!H:H,"书桌")&gt;0,"有","无")</f>
        <v>有</v>
      </c>
      <c r="X27" s="46" t="str" cm="1">
        <f t="array" ref="X27">IF(SUMPRODUCT((户型资产表!E:E=I27)*((户型资产表!I:I="沙发01单人")+(户型资产表!I:I="单人沙发02")))&gt;0,"有","无")</f>
        <v>无</v>
      </c>
      <c r="Y27" s="46" t="str" cm="1">
        <f t="array" ref="Y27">IF(SUMPRODUCT((户型资产表!E:E=I27)*((户型资产表!I:I="沙发02两人")+(户型资产表!I:I="双人沙发01")))&gt;0,"有","无")</f>
        <v>无</v>
      </c>
      <c r="Z27" s="46" t="str">
        <f>IF(COUNTIFS(户型资产表!E:E,I27,户型资产表!H:H,"餐桌")&gt;0,"有","无")</f>
        <v>无</v>
      </c>
      <c r="AA27" s="46" t="str">
        <f>IF(COUNTIFS(户型资产表!E:E,I27,户型资产表!H:H,"吸油烟机")&gt;0,"有","无")</f>
        <v>无</v>
      </c>
      <c r="AB27" s="46" t="str">
        <f>IF(COUNTIFS(户型资产表!E:E,I27,户型资产表!H:H,"冰箱")&gt;0,"有","无")</f>
        <v>无</v>
      </c>
      <c r="AC27" s="46" t="str">
        <f>IF(COUNTIFS(户型资产表!E:E,I27,户型资产表!H:H,"电视柜")&gt;0,"有","无")</f>
        <v>无</v>
      </c>
      <c r="AD27" s="45" t="str">
        <f t="shared" si="12"/>
        <v>适中</v>
      </c>
      <c r="AE27" s="46">
        <f>VLOOKUP($AD$1&amp;AD27,【1】定价因子!E:F,2,0)</f>
        <v>1</v>
      </c>
      <c r="AF27" s="45" t="str">
        <f t="shared" si="13"/>
        <v>适中</v>
      </c>
      <c r="AG27" s="46">
        <f>VLOOKUP($AF$1&amp;AF27,【1】定价因子!E:F,2,0)</f>
        <v>1</v>
      </c>
      <c r="AH27" s="45" t="str">
        <f t="shared" si="14"/>
        <v>适中</v>
      </c>
      <c r="AI27" s="46">
        <f>VLOOKUP($AH$1&amp;AH27,【1】定价因子!E:F,2,0)</f>
        <v>1</v>
      </c>
      <c r="AJ27" s="46" t="str">
        <f>VLOOKUP(H27,'【3-1】大区填-采光基本要素'!A:H,8,0)</f>
        <v>3</v>
      </c>
      <c r="AK27" s="46">
        <f>VLOOKUP($AJ$1&amp;AJ27,【1】定价因子!E:F,2,0)</f>
        <v>1</v>
      </c>
      <c r="AL27" s="47">
        <f t="shared" si="15"/>
        <v>1404.819416</v>
      </c>
      <c r="AM27" s="48">
        <f t="shared" si="10"/>
        <v>1329.819416</v>
      </c>
      <c r="AN27" s="49">
        <f t="shared" si="16"/>
        <v>-0.0533876448074376</v>
      </c>
    </row>
    <row r="28" spans="1:40">
      <c r="A28" s="41" t="str">
        <f>'【2】运营中心填-基本信息&amp;审核标准'!$E$2</f>
        <v>福永一队9-16栋</v>
      </c>
      <c r="B28" s="13">
        <f t="shared" si="11"/>
        <v>6</v>
      </c>
      <c r="C28" s="13">
        <f t="shared" si="1"/>
        <v>5</v>
      </c>
      <c r="D28" s="13">
        <f t="shared" si="2"/>
        <v>40</v>
      </c>
      <c r="E28" s="13"/>
      <c r="F28" s="13">
        <f t="shared" si="3"/>
        <v>5</v>
      </c>
      <c r="G28" s="13"/>
      <c r="H28" s="42">
        <v>602</v>
      </c>
      <c r="I28" s="43" t="s">
        <v>492</v>
      </c>
      <c r="J28" s="43" t="s">
        <v>40</v>
      </c>
      <c r="K28" s="13" t="str" cm="1">
        <f t="array" ref="K28">IFERROR(INDEX($J$2:$J$41,MATCH(0,IF(ISBLANK($J$2:$J$41),1,COUNTIF($K$1:K27,$J$2:$J$41)),0)),"")</f>
        <v/>
      </c>
      <c r="L28" s="44">
        <f>VLOOKUP(J28,'【3】大区填-楼栋基准格局定价'!B:H,7,0)</f>
        <v>1508.936</v>
      </c>
      <c r="M28" s="45" t="str">
        <f t="shared" si="4"/>
        <v>较狭小</v>
      </c>
      <c r="N28" s="45">
        <v>12.26</v>
      </c>
      <c r="O28" s="46">
        <f>VLOOKUP($M$1&amp;M28,【1】定价因子!E:F,2,0)</f>
        <v>0.95</v>
      </c>
      <c r="P28" s="46" t="str">
        <f>IF(COUNTIFS(户型资产表!E:E,I28,户型资产表!H:H,"阳台门")&gt;0,"有","无")</f>
        <v>无</v>
      </c>
      <c r="Q28" s="46">
        <f>VLOOKUP($P$1&amp;P28,【1】定价因子!E:F,2,0)</f>
        <v>1</v>
      </c>
      <c r="R28" s="46" t="str">
        <f>IF('【2】运营中心填-基本信息&amp;审核标准'!$D$4="是","无",IF(INT(H28/100)&gt;9,"9F",INT(H28/100)&amp;"F"))</f>
        <v>6F</v>
      </c>
      <c r="S28" s="46">
        <f>VLOOKUP(R28,【1】定价因子!D:F,3,0)</f>
        <v>0.98</v>
      </c>
      <c r="T28" s="46" t="str">
        <f>IF('【2】运营中心填-基本信息&amp;审核标准'!$D$4="否","无",IF(INT(H28/100)=1,"1F",IF(AND(INT(H28/100)&gt;=2,INT(H28/100)&lt;=3),"2-3F",IF(INT(H28/100)=4,"4F",IF(AND(INT(H28/100)&gt;=5,INT(H28/100)&lt;=6),"5-6F",IF(AND(INT(H28/100)&gt;=7,INT(H28/100)&lt;=8),"7-8F",IF(AND(INT(H28/100)&gt;=9,INT(H28/100)&lt;=10),"9-10F",IF(AND(INT(H28/100)&gt;=11,INT(H28/100)&lt;=12),"11-12F",IF(INT(H28/100)&gt;=13,"13以上F","")))))))))</f>
        <v>无</v>
      </c>
      <c r="U28" s="46">
        <f>VLOOKUP($T$1&amp;T28,【1】定价因子!E:F,2,0)</f>
        <v>1</v>
      </c>
      <c r="V28" s="46" t="str">
        <f>IF(COUNTIFS(户型资产表!E:E,I28,户型资产表!H:H,"操作台")&gt;0,"有","无")</f>
        <v>有</v>
      </c>
      <c r="W28" s="46" t="str">
        <f>IF(COUNTIFS(户型资产表!E:E,I28,户型资产表!H:H,"书桌")&gt;0,"有","无")</f>
        <v>有</v>
      </c>
      <c r="X28" s="46" t="str" cm="1">
        <f t="array" ref="X28">IF(SUMPRODUCT((户型资产表!E:E=I28)*((户型资产表!I:I="沙发01单人")+(户型资产表!I:I="单人沙发02")))&gt;0,"有","无")</f>
        <v>无</v>
      </c>
      <c r="Y28" s="46" t="str" cm="1">
        <f t="array" ref="Y28">IF(SUMPRODUCT((户型资产表!E:E=I28)*((户型资产表!I:I="沙发02两人")+(户型资产表!I:I="双人沙发01")))&gt;0,"有","无")</f>
        <v>无</v>
      </c>
      <c r="Z28" s="46" t="str">
        <f>IF(COUNTIFS(户型资产表!E:E,I28,户型资产表!H:H,"餐桌")&gt;0,"有","无")</f>
        <v>无</v>
      </c>
      <c r="AA28" s="46" t="str">
        <f>IF(COUNTIFS(户型资产表!E:E,I28,户型资产表!H:H,"吸油烟机")&gt;0,"有","无")</f>
        <v>无</v>
      </c>
      <c r="AB28" s="46" t="str">
        <f>IF(COUNTIFS(户型资产表!E:E,I28,户型资产表!H:H,"冰箱")&gt;0,"有","无")</f>
        <v>无</v>
      </c>
      <c r="AC28" s="46" t="str">
        <f>IF(COUNTIFS(户型资产表!E:E,I28,户型资产表!H:H,"电视柜")&gt;0,"有","无")</f>
        <v>无</v>
      </c>
      <c r="AD28" s="45" t="str">
        <f t="shared" si="12"/>
        <v>适中</v>
      </c>
      <c r="AE28" s="46">
        <f>VLOOKUP($AD$1&amp;AD28,【1】定价因子!E:F,2,0)</f>
        <v>1</v>
      </c>
      <c r="AF28" s="45" t="str">
        <f t="shared" si="13"/>
        <v>适中</v>
      </c>
      <c r="AG28" s="46">
        <f>VLOOKUP($AF$1&amp;AF28,【1】定价因子!E:F,2,0)</f>
        <v>1</v>
      </c>
      <c r="AH28" s="45" t="str">
        <f t="shared" si="14"/>
        <v>适中</v>
      </c>
      <c r="AI28" s="46">
        <f>VLOOKUP($AH$1&amp;AH28,【1】定价因子!E:F,2,0)</f>
        <v>1</v>
      </c>
      <c r="AJ28" s="46" t="str">
        <f>VLOOKUP(H28,'【3-1】大区填-采光基本要素'!A:H,8,0)</f>
        <v>3</v>
      </c>
      <c r="AK28" s="46">
        <f>VLOOKUP($AJ$1&amp;AJ28,【1】定价因子!E:F,2,0)</f>
        <v>1</v>
      </c>
      <c r="AL28" s="47">
        <f t="shared" si="15"/>
        <v>1404.819416</v>
      </c>
      <c r="AM28" s="48">
        <f t="shared" si="10"/>
        <v>1329.819416</v>
      </c>
      <c r="AN28" s="49">
        <f t="shared" si="16"/>
        <v>-0.0533876448074376</v>
      </c>
    </row>
    <row r="29" spans="1:40">
      <c r="A29" s="41" t="str">
        <f>'【2】运营中心填-基本信息&amp;审核标准'!$E$2</f>
        <v>福永一队9-16栋</v>
      </c>
      <c r="B29" s="13">
        <f t="shared" si="11"/>
        <v>6</v>
      </c>
      <c r="C29" s="13">
        <f t="shared" si="1"/>
        <v>5</v>
      </c>
      <c r="D29" s="13">
        <f t="shared" si="2"/>
        <v>40</v>
      </c>
      <c r="E29" s="13"/>
      <c r="F29" s="13">
        <f t="shared" si="3"/>
        <v>5</v>
      </c>
      <c r="G29" s="13"/>
      <c r="H29" s="42">
        <v>603</v>
      </c>
      <c r="I29" s="43" t="s">
        <v>493</v>
      </c>
      <c r="J29" s="43" t="s">
        <v>40</v>
      </c>
      <c r="K29" s="13" t="str" cm="1">
        <f t="array" ref="K29">IFERROR(INDEX($J$2:$J$41,MATCH(0,IF(ISBLANK($J$2:$J$41),1,COUNTIF($K$1:K28,$J$2:$J$41)),0)),"")</f>
        <v/>
      </c>
      <c r="L29" s="44">
        <f>VLOOKUP(J29,'【3】大区填-楼栋基准格局定价'!B:H,7,0)</f>
        <v>1508.936</v>
      </c>
      <c r="M29" s="45" t="str">
        <f t="shared" si="4"/>
        <v>适中</v>
      </c>
      <c r="N29" s="45">
        <v>13</v>
      </c>
      <c r="O29" s="46">
        <f>VLOOKUP($M$1&amp;M29,【1】定价因子!E:F,2,0)</f>
        <v>1</v>
      </c>
      <c r="P29" s="46" t="str">
        <f>IF(COUNTIFS(户型资产表!E:E,I29,户型资产表!H:H,"阳台门")&gt;0,"有","无")</f>
        <v>无</v>
      </c>
      <c r="Q29" s="46">
        <f>VLOOKUP($P$1&amp;P29,【1】定价因子!E:F,2,0)</f>
        <v>1</v>
      </c>
      <c r="R29" s="46" t="str">
        <f>IF('【2】运营中心填-基本信息&amp;审核标准'!$D$4="是","无",IF(INT(H29/100)&gt;9,"9F",INT(H29/100)&amp;"F"))</f>
        <v>6F</v>
      </c>
      <c r="S29" s="46">
        <f>VLOOKUP(R29,【1】定价因子!D:F,3,0)</f>
        <v>0.98</v>
      </c>
      <c r="T29" s="46" t="str">
        <f>IF('【2】运营中心填-基本信息&amp;审核标准'!$D$4="否","无",IF(INT(H29/100)=1,"1F",IF(AND(INT(H29/100)&gt;=2,INT(H29/100)&lt;=3),"2-3F",IF(INT(H29/100)=4,"4F",IF(AND(INT(H29/100)&gt;=5,INT(H29/100)&lt;=6),"5-6F",IF(AND(INT(H29/100)&gt;=7,INT(H29/100)&lt;=8),"7-8F",IF(AND(INT(H29/100)&gt;=9,INT(H29/100)&lt;=10),"9-10F",IF(AND(INT(H29/100)&gt;=11,INT(H29/100)&lt;=12),"11-12F",IF(INT(H29/100)&gt;=13,"13以上F","")))))))))</f>
        <v>无</v>
      </c>
      <c r="U29" s="46">
        <f>VLOOKUP($T$1&amp;T29,【1】定价因子!E:F,2,0)</f>
        <v>1</v>
      </c>
      <c r="V29" s="46" t="str">
        <f>IF(COUNTIFS(户型资产表!E:E,I29,户型资产表!H:H,"操作台")&gt;0,"有","无")</f>
        <v>有</v>
      </c>
      <c r="W29" s="46" t="str">
        <f>IF(COUNTIFS(户型资产表!E:E,I29,户型资产表!H:H,"书桌")&gt;0,"有","无")</f>
        <v>有</v>
      </c>
      <c r="X29" s="46" t="str" cm="1">
        <f t="array" ref="X29">IF(SUMPRODUCT((户型资产表!E:E=I29)*((户型资产表!I:I="沙发01单人")+(户型资产表!I:I="单人沙发02")))&gt;0,"有","无")</f>
        <v>无</v>
      </c>
      <c r="Y29" s="46" t="str" cm="1">
        <f t="array" ref="Y29">IF(SUMPRODUCT((户型资产表!E:E=I29)*((户型资产表!I:I="沙发02两人")+(户型资产表!I:I="双人沙发01")))&gt;0,"有","无")</f>
        <v>无</v>
      </c>
      <c r="Z29" s="46" t="str">
        <f>IF(COUNTIFS(户型资产表!E:E,I29,户型资产表!H:H,"餐桌")&gt;0,"有","无")</f>
        <v>无</v>
      </c>
      <c r="AA29" s="46" t="str">
        <f>IF(COUNTIFS(户型资产表!E:E,I29,户型资产表!H:H,"吸油烟机")&gt;0,"有","无")</f>
        <v>无</v>
      </c>
      <c r="AB29" s="46" t="str">
        <f>IF(COUNTIFS(户型资产表!E:E,I29,户型资产表!H:H,"冰箱")&gt;0,"有","无")</f>
        <v>无</v>
      </c>
      <c r="AC29" s="46" t="str">
        <f>IF(COUNTIFS(户型资产表!E:E,I29,户型资产表!H:H,"电视柜")&gt;0,"有","无")</f>
        <v>无</v>
      </c>
      <c r="AD29" s="45" t="str">
        <f t="shared" si="12"/>
        <v>适中</v>
      </c>
      <c r="AE29" s="46">
        <f>VLOOKUP($AD$1&amp;AD29,【1】定价因子!E:F,2,0)</f>
        <v>1</v>
      </c>
      <c r="AF29" s="45" t="str">
        <f t="shared" si="13"/>
        <v>适中</v>
      </c>
      <c r="AG29" s="46">
        <f>VLOOKUP($AF$1&amp;AF29,【1】定价因子!E:F,2,0)</f>
        <v>1</v>
      </c>
      <c r="AH29" s="45" t="str">
        <f t="shared" si="14"/>
        <v>适中</v>
      </c>
      <c r="AI29" s="46">
        <f>VLOOKUP($AH$1&amp;AH29,【1】定价因子!E:F,2,0)</f>
        <v>1</v>
      </c>
      <c r="AJ29" s="46" t="str">
        <f>VLOOKUP(H29,'【3-1】大区填-采光基本要素'!A:H,8,0)</f>
        <v>2</v>
      </c>
      <c r="AK29" s="46">
        <f>VLOOKUP($AJ$1&amp;AJ29,【1】定价因子!E:F,2,0)</f>
        <v>0.96</v>
      </c>
      <c r="AL29" s="47">
        <f t="shared" si="15"/>
        <v>1419.6069888</v>
      </c>
      <c r="AM29" s="48">
        <f>AL29-80</f>
        <v>1339.6069888</v>
      </c>
      <c r="AN29" s="49">
        <f t="shared" si="16"/>
        <v>-0.0563536250745176</v>
      </c>
    </row>
    <row r="30" spans="1:40">
      <c r="A30" s="41" t="str">
        <f>'【2】运营中心填-基本信息&amp;审核标准'!$E$2</f>
        <v>福永一队9-16栋</v>
      </c>
      <c r="B30" s="13">
        <f t="shared" si="11"/>
        <v>6</v>
      </c>
      <c r="C30" s="13">
        <f t="shared" si="1"/>
        <v>5</v>
      </c>
      <c r="D30" s="13">
        <f t="shared" si="2"/>
        <v>40</v>
      </c>
      <c r="E30" s="13"/>
      <c r="F30" s="13">
        <f t="shared" si="3"/>
        <v>5</v>
      </c>
      <c r="G30" s="13"/>
      <c r="H30" s="42">
        <v>604</v>
      </c>
      <c r="I30" s="43" t="s">
        <v>493</v>
      </c>
      <c r="J30" s="43" t="s">
        <v>40</v>
      </c>
      <c r="K30" s="13" t="str" cm="1">
        <f t="array" ref="K30">IFERROR(INDEX($J$2:$J$41,MATCH(0,IF(ISBLANK($J$2:$J$41),1,COUNTIF($K$1:K29,$J$2:$J$41)),0)),"")</f>
        <v/>
      </c>
      <c r="L30" s="44">
        <f>VLOOKUP(J30,'【3】大区填-楼栋基准格局定价'!B:H,7,0)</f>
        <v>1508.936</v>
      </c>
      <c r="M30" s="45" t="str">
        <f t="shared" si="4"/>
        <v>较狭小</v>
      </c>
      <c r="N30" s="45">
        <v>12.39</v>
      </c>
      <c r="O30" s="46">
        <f>VLOOKUP($M$1&amp;M30,【1】定价因子!E:F,2,0)</f>
        <v>0.95</v>
      </c>
      <c r="P30" s="46" t="str">
        <f>IF(COUNTIFS(户型资产表!E:E,I30,户型资产表!H:H,"阳台门")&gt;0,"有","无")</f>
        <v>无</v>
      </c>
      <c r="Q30" s="46">
        <f>VLOOKUP($P$1&amp;P30,【1】定价因子!E:F,2,0)</f>
        <v>1</v>
      </c>
      <c r="R30" s="46" t="str">
        <f>IF('【2】运营中心填-基本信息&amp;审核标准'!$D$4="是","无",IF(INT(H30/100)&gt;9,"9F",INT(H30/100)&amp;"F"))</f>
        <v>6F</v>
      </c>
      <c r="S30" s="46">
        <f>VLOOKUP(R30,【1】定价因子!D:F,3,0)</f>
        <v>0.98</v>
      </c>
      <c r="T30" s="46" t="str">
        <f>IF('【2】运营中心填-基本信息&amp;审核标准'!$D$4="否","无",IF(INT(H30/100)=1,"1F",IF(AND(INT(H30/100)&gt;=2,INT(H30/100)&lt;=3),"2-3F",IF(INT(H30/100)=4,"4F",IF(AND(INT(H30/100)&gt;=5,INT(H30/100)&lt;=6),"5-6F",IF(AND(INT(H30/100)&gt;=7,INT(H30/100)&lt;=8),"7-8F",IF(AND(INT(H30/100)&gt;=9,INT(H30/100)&lt;=10),"9-10F",IF(AND(INT(H30/100)&gt;=11,INT(H30/100)&lt;=12),"11-12F",IF(INT(H30/100)&gt;=13,"13以上F","")))))))))</f>
        <v>无</v>
      </c>
      <c r="U30" s="46">
        <f>VLOOKUP($T$1&amp;T30,【1】定价因子!E:F,2,0)</f>
        <v>1</v>
      </c>
      <c r="V30" s="46" t="str">
        <f>IF(COUNTIFS(户型资产表!E:E,I30,户型资产表!H:H,"操作台")&gt;0,"有","无")</f>
        <v>有</v>
      </c>
      <c r="W30" s="46" t="str">
        <f>IF(COUNTIFS(户型资产表!E:E,I30,户型资产表!H:H,"书桌")&gt;0,"有","无")</f>
        <v>有</v>
      </c>
      <c r="X30" s="46" t="str" cm="1">
        <f t="array" ref="X30">IF(SUMPRODUCT((户型资产表!E:E=I30)*((户型资产表!I:I="沙发01单人")+(户型资产表!I:I="单人沙发02")))&gt;0,"有","无")</f>
        <v>无</v>
      </c>
      <c r="Y30" s="46" t="str" cm="1">
        <f t="array" ref="Y30">IF(SUMPRODUCT((户型资产表!E:E=I30)*((户型资产表!I:I="沙发02两人")+(户型资产表!I:I="双人沙发01")))&gt;0,"有","无")</f>
        <v>无</v>
      </c>
      <c r="Z30" s="46" t="str">
        <f>IF(COUNTIFS(户型资产表!E:E,I30,户型资产表!H:H,"餐桌")&gt;0,"有","无")</f>
        <v>无</v>
      </c>
      <c r="AA30" s="46" t="str">
        <f>IF(COUNTIFS(户型资产表!E:E,I30,户型资产表!H:H,"吸油烟机")&gt;0,"有","无")</f>
        <v>无</v>
      </c>
      <c r="AB30" s="46" t="str">
        <f>IF(COUNTIFS(户型资产表!E:E,I30,户型资产表!H:H,"冰箱")&gt;0,"有","无")</f>
        <v>无</v>
      </c>
      <c r="AC30" s="46" t="str">
        <f>IF(COUNTIFS(户型资产表!E:E,I30,户型资产表!H:H,"电视柜")&gt;0,"有","无")</f>
        <v>无</v>
      </c>
      <c r="AD30" s="45" t="str">
        <f t="shared" si="12"/>
        <v>适中</v>
      </c>
      <c r="AE30" s="46">
        <f>VLOOKUP($AD$1&amp;AD30,【1】定价因子!E:F,2,0)</f>
        <v>1</v>
      </c>
      <c r="AF30" s="45" t="str">
        <f t="shared" si="13"/>
        <v>适中</v>
      </c>
      <c r="AG30" s="46">
        <f>VLOOKUP($AF$1&amp;AF30,【1】定价因子!E:F,2,0)</f>
        <v>1</v>
      </c>
      <c r="AH30" s="45" t="str">
        <f t="shared" si="14"/>
        <v>适中</v>
      </c>
      <c r="AI30" s="46">
        <f>VLOOKUP($AH$1&amp;AH30,【1】定价因子!E:F,2,0)</f>
        <v>1</v>
      </c>
      <c r="AJ30" s="46" t="str">
        <f>VLOOKUP(H30,'【3-1】大区填-采光基本要素'!A:H,8,0)</f>
        <v>3</v>
      </c>
      <c r="AK30" s="46">
        <f>VLOOKUP($AJ$1&amp;AJ30,【1】定价因子!E:F,2,0)</f>
        <v>1</v>
      </c>
      <c r="AL30" s="47">
        <f t="shared" si="15"/>
        <v>1404.819416</v>
      </c>
      <c r="AM30" s="48">
        <f t="shared" si="10"/>
        <v>1329.819416</v>
      </c>
      <c r="AN30" s="49">
        <f t="shared" si="16"/>
        <v>-0.0533876448074376</v>
      </c>
    </row>
    <row r="31" spans="1:40">
      <c r="A31" s="41" t="str">
        <f>'【2】运营中心填-基本信息&amp;审核标准'!$E$2</f>
        <v>福永一队9-16栋</v>
      </c>
      <c r="B31" s="13">
        <f t="shared" si="11"/>
        <v>6</v>
      </c>
      <c r="C31" s="13">
        <f t="shared" si="1"/>
        <v>5</v>
      </c>
      <c r="D31" s="13">
        <f t="shared" si="2"/>
        <v>40</v>
      </c>
      <c r="E31" s="13"/>
      <c r="F31" s="13">
        <f t="shared" si="3"/>
        <v>5</v>
      </c>
      <c r="G31" s="13"/>
      <c r="H31" s="42">
        <v>605</v>
      </c>
      <c r="I31" s="43" t="s">
        <v>493</v>
      </c>
      <c r="J31" s="43" t="s">
        <v>40</v>
      </c>
      <c r="K31" s="13" t="str" cm="1">
        <f t="array" ref="K31">IFERROR(INDEX($J$2:$J$41,MATCH(0,IF(ISBLANK($J$2:$J$41),1,COUNTIF($K$1:K30,$J$2:$J$41)),0)),"")</f>
        <v/>
      </c>
      <c r="L31" s="44">
        <f>VLOOKUP(J31,'【3】大区填-楼栋基准格局定价'!B:H,7,0)</f>
        <v>1508.936</v>
      </c>
      <c r="M31" s="45" t="str">
        <f t="shared" si="4"/>
        <v>适中</v>
      </c>
      <c r="N31" s="45">
        <v>13</v>
      </c>
      <c r="O31" s="46">
        <f>VLOOKUP($M$1&amp;M31,【1】定价因子!E:F,2,0)</f>
        <v>1</v>
      </c>
      <c r="P31" s="46" t="str">
        <f>IF(COUNTIFS(户型资产表!E:E,I31,户型资产表!H:H,"阳台门")&gt;0,"有","无")</f>
        <v>无</v>
      </c>
      <c r="Q31" s="46">
        <f>VLOOKUP($P$1&amp;P31,【1】定价因子!E:F,2,0)</f>
        <v>1</v>
      </c>
      <c r="R31" s="46" t="str">
        <f>IF('【2】运营中心填-基本信息&amp;审核标准'!$D$4="是","无",IF(INT(H31/100)&gt;9,"9F",INT(H31/100)&amp;"F"))</f>
        <v>6F</v>
      </c>
      <c r="S31" s="46">
        <f>VLOOKUP(R31,【1】定价因子!D:F,3,0)</f>
        <v>0.98</v>
      </c>
      <c r="T31" s="46" t="str">
        <f>IF('【2】运营中心填-基本信息&amp;审核标准'!$D$4="否","无",IF(INT(H31/100)=1,"1F",IF(AND(INT(H31/100)&gt;=2,INT(H31/100)&lt;=3),"2-3F",IF(INT(H31/100)=4,"4F",IF(AND(INT(H31/100)&gt;=5,INT(H31/100)&lt;=6),"5-6F",IF(AND(INT(H31/100)&gt;=7,INT(H31/100)&lt;=8),"7-8F",IF(AND(INT(H31/100)&gt;=9,INT(H31/100)&lt;=10),"9-10F",IF(AND(INT(H31/100)&gt;=11,INT(H31/100)&lt;=12),"11-12F",IF(INT(H31/100)&gt;=13,"13以上F","")))))))))</f>
        <v>无</v>
      </c>
      <c r="U31" s="46">
        <f>VLOOKUP($T$1&amp;T31,【1】定价因子!E:F,2,0)</f>
        <v>1</v>
      </c>
      <c r="V31" s="46" t="str">
        <f>IF(COUNTIFS(户型资产表!E:E,I31,户型资产表!H:H,"操作台")&gt;0,"有","无")</f>
        <v>有</v>
      </c>
      <c r="W31" s="46" t="str">
        <f>IF(COUNTIFS(户型资产表!E:E,I31,户型资产表!H:H,"书桌")&gt;0,"有","无")</f>
        <v>有</v>
      </c>
      <c r="X31" s="46" t="str" cm="1">
        <f t="array" ref="X31">IF(SUMPRODUCT((户型资产表!E:E=I31)*((户型资产表!I:I="沙发01单人")+(户型资产表!I:I="单人沙发02")))&gt;0,"有","无")</f>
        <v>无</v>
      </c>
      <c r="Y31" s="46" t="str" cm="1">
        <f t="array" ref="Y31">IF(SUMPRODUCT((户型资产表!E:E=I31)*((户型资产表!I:I="沙发02两人")+(户型资产表!I:I="双人沙发01")))&gt;0,"有","无")</f>
        <v>无</v>
      </c>
      <c r="Z31" s="46" t="str">
        <f>IF(COUNTIFS(户型资产表!E:E,I31,户型资产表!H:H,"餐桌")&gt;0,"有","无")</f>
        <v>无</v>
      </c>
      <c r="AA31" s="46" t="str">
        <f>IF(COUNTIFS(户型资产表!E:E,I31,户型资产表!H:H,"吸油烟机")&gt;0,"有","无")</f>
        <v>无</v>
      </c>
      <c r="AB31" s="46" t="str">
        <f>IF(COUNTIFS(户型资产表!E:E,I31,户型资产表!H:H,"冰箱")&gt;0,"有","无")</f>
        <v>无</v>
      </c>
      <c r="AC31" s="46" t="str">
        <f>IF(COUNTIFS(户型资产表!E:E,I31,户型资产表!H:H,"电视柜")&gt;0,"有","无")</f>
        <v>无</v>
      </c>
      <c r="AD31" s="45" t="str">
        <f t="shared" si="12"/>
        <v>适中</v>
      </c>
      <c r="AE31" s="46">
        <f>VLOOKUP($AD$1&amp;AD31,【1】定价因子!E:F,2,0)</f>
        <v>1</v>
      </c>
      <c r="AF31" s="45" t="str">
        <f t="shared" si="13"/>
        <v>适中</v>
      </c>
      <c r="AG31" s="46">
        <f>VLOOKUP($AF$1&amp;AF31,【1】定价因子!E:F,2,0)</f>
        <v>1</v>
      </c>
      <c r="AH31" s="45" t="str">
        <f t="shared" si="14"/>
        <v>适中</v>
      </c>
      <c r="AI31" s="46">
        <f>VLOOKUP($AH$1&amp;AH31,【1】定价因子!E:F,2,0)</f>
        <v>1</v>
      </c>
      <c r="AJ31" s="46" t="str">
        <f>VLOOKUP(H31,'【3-1】大区填-采光基本要素'!A:H,8,0)</f>
        <v>3</v>
      </c>
      <c r="AK31" s="46">
        <f>VLOOKUP($AJ$1&amp;AJ31,【1】定价因子!E:F,2,0)</f>
        <v>1</v>
      </c>
      <c r="AL31" s="47">
        <f t="shared" si="15"/>
        <v>1478.75728</v>
      </c>
      <c r="AM31" s="48">
        <f t="shared" si="10"/>
        <v>1403.75728</v>
      </c>
      <c r="AN31" s="49">
        <f t="shared" si="16"/>
        <v>-0.0507182625670658</v>
      </c>
    </row>
    <row r="32" spans="1:40">
      <c r="A32" s="41" t="str">
        <f>'【2】运营中心填-基本信息&amp;审核标准'!$E$2</f>
        <v>福永一队9-16栋</v>
      </c>
      <c r="B32" s="13">
        <f t="shared" si="11"/>
        <v>7</v>
      </c>
      <c r="C32" s="13">
        <f t="shared" si="1"/>
        <v>5</v>
      </c>
      <c r="D32" s="13">
        <f t="shared" si="2"/>
        <v>40</v>
      </c>
      <c r="E32" s="13"/>
      <c r="F32" s="13">
        <f t="shared" si="3"/>
        <v>5</v>
      </c>
      <c r="G32" s="13"/>
      <c r="H32" s="42">
        <v>701</v>
      </c>
      <c r="I32" s="43" t="s">
        <v>492</v>
      </c>
      <c r="J32" s="43" t="s">
        <v>40</v>
      </c>
      <c r="K32" s="13" t="str" cm="1">
        <f t="array" ref="K32">IFERROR(INDEX($J$2:$J$41,MATCH(0,IF(ISBLANK($J$2:$J$41),1,COUNTIF($K$1:K31,$J$2:$J$41)),0)),"")</f>
        <v/>
      </c>
      <c r="L32" s="44">
        <f>VLOOKUP(J32,'【3】大区填-楼栋基准格局定价'!B:H,7,0)</f>
        <v>1508.936</v>
      </c>
      <c r="M32" s="45" t="str">
        <f t="shared" si="4"/>
        <v>较狭小</v>
      </c>
      <c r="N32" s="45">
        <v>12.27</v>
      </c>
      <c r="O32" s="46">
        <f>VLOOKUP($M$1&amp;M32,【1】定价因子!E:F,2,0)</f>
        <v>0.95</v>
      </c>
      <c r="P32" s="46" t="str">
        <f>IF(COUNTIFS(户型资产表!E:E,I32,户型资产表!H:H,"阳台门")&gt;0,"有","无")</f>
        <v>无</v>
      </c>
      <c r="Q32" s="46">
        <f>VLOOKUP($P$1&amp;P32,【1】定价因子!E:F,2,0)</f>
        <v>1</v>
      </c>
      <c r="R32" s="46" t="str">
        <f>IF('【2】运营中心填-基本信息&amp;审核标准'!$D$4="是","无",IF(INT(H32/100)&gt;9,"9F",INT(H32/100)&amp;"F"))</f>
        <v>7F</v>
      </c>
      <c r="S32" s="46">
        <f>VLOOKUP(R32,【1】定价因子!D:F,3,0)</f>
        <v>0.96</v>
      </c>
      <c r="T32" s="46" t="str">
        <f>IF('【2】运营中心填-基本信息&amp;审核标准'!$D$4="否","无",IF(INT(H32/100)=1,"1F",IF(AND(INT(H32/100)&gt;=2,INT(H32/100)&lt;=3),"2-3F",IF(INT(H32/100)=4,"4F",IF(AND(INT(H32/100)&gt;=5,INT(H32/100)&lt;=6),"5-6F",IF(AND(INT(H32/100)&gt;=7,INT(H32/100)&lt;=8),"7-8F",IF(AND(INT(H32/100)&gt;=9,INT(H32/100)&lt;=10),"9-10F",IF(AND(INT(H32/100)&gt;=11,INT(H32/100)&lt;=12),"11-12F",IF(INT(H32/100)&gt;=13,"13以上F","")))))))))</f>
        <v>无</v>
      </c>
      <c r="U32" s="46">
        <f>VLOOKUP($T$1&amp;T32,【1】定价因子!E:F,2,0)</f>
        <v>1</v>
      </c>
      <c r="V32" s="46" t="str">
        <f>IF(COUNTIFS(户型资产表!E:E,I32,户型资产表!H:H,"操作台")&gt;0,"有","无")</f>
        <v>有</v>
      </c>
      <c r="W32" s="46" t="str">
        <f>IF(COUNTIFS(户型资产表!E:E,I32,户型资产表!H:H,"书桌")&gt;0,"有","无")</f>
        <v>有</v>
      </c>
      <c r="X32" s="46" t="str" cm="1">
        <f t="array" ref="X32">IF(SUMPRODUCT((户型资产表!E:E=I32)*((户型资产表!I:I="沙发01单人")+(户型资产表!I:I="单人沙发02")))&gt;0,"有","无")</f>
        <v>无</v>
      </c>
      <c r="Y32" s="46" t="str" cm="1">
        <f t="array" ref="Y32">IF(SUMPRODUCT((户型资产表!E:E=I32)*((户型资产表!I:I="沙发02两人")+(户型资产表!I:I="双人沙发01")))&gt;0,"有","无")</f>
        <v>无</v>
      </c>
      <c r="Z32" s="46" t="str">
        <f>IF(COUNTIFS(户型资产表!E:E,I32,户型资产表!H:H,"餐桌")&gt;0,"有","无")</f>
        <v>无</v>
      </c>
      <c r="AA32" s="46" t="str">
        <f>IF(COUNTIFS(户型资产表!E:E,I32,户型资产表!H:H,"吸油烟机")&gt;0,"有","无")</f>
        <v>无</v>
      </c>
      <c r="AB32" s="46" t="str">
        <f>IF(COUNTIFS(户型资产表!E:E,I32,户型资产表!H:H,"冰箱")&gt;0,"有","无")</f>
        <v>无</v>
      </c>
      <c r="AC32" s="46" t="str">
        <f>IF(COUNTIFS(户型资产表!E:E,I32,户型资产表!H:H,"电视柜")&gt;0,"有","无")</f>
        <v>无</v>
      </c>
      <c r="AD32" s="45" t="str">
        <f t="shared" si="12"/>
        <v>适中</v>
      </c>
      <c r="AE32" s="46">
        <f>VLOOKUP($AD$1&amp;AD32,【1】定价因子!E:F,2,0)</f>
        <v>1</v>
      </c>
      <c r="AF32" s="45" t="str">
        <f t="shared" si="13"/>
        <v>适中</v>
      </c>
      <c r="AG32" s="46">
        <f>VLOOKUP($AF$1&amp;AF32,【1】定价因子!E:F,2,0)</f>
        <v>1</v>
      </c>
      <c r="AH32" s="45" t="str">
        <f t="shared" si="14"/>
        <v>适中</v>
      </c>
      <c r="AI32" s="46">
        <f>VLOOKUP($AH$1&amp;AH32,【1】定价因子!E:F,2,0)</f>
        <v>1</v>
      </c>
      <c r="AJ32" s="46" t="str">
        <f>VLOOKUP(H32,'【3-1】大区填-采光基本要素'!A:H,8,0)</f>
        <v>3</v>
      </c>
      <c r="AK32" s="46">
        <f>VLOOKUP($AJ$1&amp;AJ32,【1】定价因子!E:F,2,0)</f>
        <v>1</v>
      </c>
      <c r="AL32" s="47">
        <f t="shared" si="15"/>
        <v>1376.149632</v>
      </c>
      <c r="AM32" s="48">
        <f t="shared" si="10"/>
        <v>1301.149632</v>
      </c>
      <c r="AN32" s="49">
        <f t="shared" si="16"/>
        <v>-0.0544998874075926</v>
      </c>
    </row>
    <row r="33" spans="1:40">
      <c r="A33" s="41" t="str">
        <f>'【2】运营中心填-基本信息&amp;审核标准'!$E$2</f>
        <v>福永一队9-16栋</v>
      </c>
      <c r="B33" s="13">
        <f t="shared" si="11"/>
        <v>7</v>
      </c>
      <c r="C33" s="13">
        <f t="shared" si="1"/>
        <v>5</v>
      </c>
      <c r="D33" s="13">
        <f t="shared" si="2"/>
        <v>40</v>
      </c>
      <c r="E33" s="13"/>
      <c r="F33" s="13">
        <f t="shared" si="3"/>
        <v>5</v>
      </c>
      <c r="G33" s="13"/>
      <c r="H33" s="42">
        <v>702</v>
      </c>
      <c r="I33" s="43" t="s">
        <v>492</v>
      </c>
      <c r="J33" s="43" t="s">
        <v>40</v>
      </c>
      <c r="K33" s="13" t="str" cm="1">
        <f t="array" ref="K33">IFERROR(INDEX($J$2:$J$41,MATCH(0,IF(ISBLANK($J$2:$J$41),1,COUNTIF($K$1:K32,$J$2:$J$41)),0)),"")</f>
        <v/>
      </c>
      <c r="L33" s="44">
        <f>VLOOKUP(J33,'【3】大区填-楼栋基准格局定价'!B:H,7,0)</f>
        <v>1508.936</v>
      </c>
      <c r="M33" s="45" t="str">
        <f t="shared" ref="M33:M83" si="17">IF(OR(J33="开间",J33="二人宿舍"),IF(N33&lt;10,"很狭小",IF(N33&lt;13,"较狭小",IF(N33&lt;17,"适中",IF(N33&lt;20,"较宽敞","很宽敞")))),IF(OR(J33="一居室",J33="四人宿舍"),IF(N33&lt;20,"很狭小",IF(N33&lt;23,"较狭小",IF(N33&lt;26,"适中",IF(N33&lt;28,"较宽敞","很宽敞")))),IF(OR(J33="二居室",J33="六人宿舍"),IF(N33&lt;30,"很狭小",IF(N33&lt;35,"较狭小",IF(N33&lt;40,"适中",IF(N33&lt;45,"较宽敞","很宽敞")))),"")))</f>
        <v>较狭小</v>
      </c>
      <c r="N33" s="45">
        <v>12.26</v>
      </c>
      <c r="O33" s="46">
        <f>VLOOKUP($M$1&amp;M33,【1】定价因子!E:F,2,0)</f>
        <v>0.95</v>
      </c>
      <c r="P33" s="46" t="str">
        <f>IF(COUNTIFS(户型资产表!E:E,I33,户型资产表!H:H,"阳台门")&gt;0,"有","无")</f>
        <v>无</v>
      </c>
      <c r="Q33" s="46">
        <f>VLOOKUP($P$1&amp;P33,【1】定价因子!E:F,2,0)</f>
        <v>1</v>
      </c>
      <c r="R33" s="46" t="str">
        <f>IF('【2】运营中心填-基本信息&amp;审核标准'!$D$4="是","无",IF(INT(H33/100)&gt;9,"9F",INT(H33/100)&amp;"F"))</f>
        <v>7F</v>
      </c>
      <c r="S33" s="46">
        <f>VLOOKUP(R33,【1】定价因子!D:F,3,0)</f>
        <v>0.96</v>
      </c>
      <c r="T33" s="46" t="str">
        <f>IF('【2】运营中心填-基本信息&amp;审核标准'!$D$4="否","无",IF(INT(H33/100)=1,"1F",IF(AND(INT(H33/100)&gt;=2,INT(H33/100)&lt;=3),"2-3F",IF(INT(H33/100)=4,"4F",IF(AND(INT(H33/100)&gt;=5,INT(H33/100)&lt;=6),"5-6F",IF(AND(INT(H33/100)&gt;=7,INT(H33/100)&lt;=8),"7-8F",IF(AND(INT(H33/100)&gt;=9,INT(H33/100)&lt;=10),"9-10F",IF(AND(INT(H33/100)&gt;=11,INT(H33/100)&lt;=12),"11-12F",IF(INT(H33/100)&gt;=13,"13以上F","")))))))))</f>
        <v>无</v>
      </c>
      <c r="U33" s="46">
        <f>VLOOKUP($T$1&amp;T33,【1】定价因子!E:F,2,0)</f>
        <v>1</v>
      </c>
      <c r="V33" s="46" t="str">
        <f>IF(COUNTIFS(户型资产表!E:E,I33,户型资产表!H:H,"操作台")&gt;0,"有","无")</f>
        <v>有</v>
      </c>
      <c r="W33" s="46" t="str">
        <f>IF(COUNTIFS(户型资产表!E:E,I33,户型资产表!H:H,"书桌")&gt;0,"有","无")</f>
        <v>有</v>
      </c>
      <c r="X33" s="46" t="str" cm="1">
        <f t="array" ref="X33">IF(SUMPRODUCT((户型资产表!E:E=I33)*((户型资产表!I:I="沙发01单人")+(户型资产表!I:I="单人沙发02")))&gt;0,"有","无")</f>
        <v>无</v>
      </c>
      <c r="Y33" s="46" t="str" cm="1">
        <f t="array" ref="Y33">IF(SUMPRODUCT((户型资产表!E:E=I33)*((户型资产表!I:I="沙发02两人")+(户型资产表!I:I="双人沙发01")))&gt;0,"有","无")</f>
        <v>无</v>
      </c>
      <c r="Z33" s="46" t="str">
        <f>IF(COUNTIFS(户型资产表!E:E,I33,户型资产表!H:H,"餐桌")&gt;0,"有","无")</f>
        <v>无</v>
      </c>
      <c r="AA33" s="46" t="str">
        <f>IF(COUNTIFS(户型资产表!E:E,I33,户型资产表!H:H,"吸油烟机")&gt;0,"有","无")</f>
        <v>无</v>
      </c>
      <c r="AB33" s="46" t="str">
        <f>IF(COUNTIFS(户型资产表!E:E,I33,户型资产表!H:H,"冰箱")&gt;0,"有","无")</f>
        <v>无</v>
      </c>
      <c r="AC33" s="46" t="str">
        <f>IF(COUNTIFS(户型资产表!E:E,I33,户型资产表!H:H,"电视柜")&gt;0,"有","无")</f>
        <v>无</v>
      </c>
      <c r="AD33" s="45" t="str">
        <f t="shared" ref="AD33:AD83" si="18">IF(J33="开间",IF(AND(V33="无",W33="无"),"缺失",IF(AND(V33="无",W33="有"),"缺失（操作台）",IF(AND(V33="有",W33="无"),"缺失（书桌）",IF(AND(V33="有",W33="有"),IF(OR(AA33="有",Y33="有"),"充足（油烟机/双人沙发）",IF(OR(X33="有",Z33="有"),"充足（单人沙发/餐桌）",IF(AND(OR(X33="有",Y33="有"),Z33="有"),"非常充足","适中"))),"")))),"适中")</f>
        <v>适中</v>
      </c>
      <c r="AE33" s="46">
        <f>VLOOKUP($AD$1&amp;AD33,【1】定价因子!E:F,2,0)</f>
        <v>1</v>
      </c>
      <c r="AF33" s="45" t="str">
        <f t="shared" ref="AF33:AF83" si="19">IF(J33="一居室",IF(AND(V33="无",Y33="无",Z33="无"),"缺失",IF(OR(AND(Z33="有",V33="无",Y33="无"),AND(Z33="有",V33="无",Y33="有"),AND(Z33="有",V33="有",Y33="无"),AND(Z33="无",V33="有",Y33="无"),AND(Z33="无",V33="无",Y33="有")),"缺失（操作台/双人沙发）",IF(AND(V33="有",Y33="有",Z33="无"),"缺失（餐桌）",IF(AND(V33="有",Y33="有",Z33="有"),IF(AND(W33="无",AA33="有"),"充配（油烟机）",IF(AND(W33="有",AA33="无"),"充配（书桌）",IF(AND(W33="有",AA33="有"),"非常充配","适中"))),"")))),"适中")</f>
        <v>适中</v>
      </c>
      <c r="AG33" s="46">
        <f>VLOOKUP($AF$1&amp;AF33,【1】定价因子!E:F,2,0)</f>
        <v>1</v>
      </c>
      <c r="AH33" s="45" t="str">
        <f t="shared" ref="AH33:AH83" si="20">IF(J33="二居室",IF(AND(Y33="无",Z33="无",AC33="无",V33="无"),"缺失",IF(OR(AND(Y33="无",Z33="无",AC33="有"),AND(Y33="无",Z33="无",V33="有"),AND(Y33="无",Z33="无",AC33="有",V33="有"),AND(Y33="无",Z33="有",AC33="无"),AND(Y33="无",Z33="有",V33="无"),AND(Y33="无",Z33="有",AC33="有"),AND(Y33="无",Z33="有",V33="有"),AND(Y33="有",Z33="无",AC33="无"),AND(Y33="有",Z33="无",V33="无"),AND(Y33="有",Z33="无",AC33="有"),AND(Y33="有",Z33="无",V33="有")),"缺失（沙发/餐桌）",IF(AND(Y33="有",Z33="有",OR(AC33="无",V33="无")),"缺失（电视柜/操作台）",IF(AND(Y33="有",Z33="有",AC33="有",V33="有"),IF(OR(AA33="有",AB33="有"),"充配（油烟机/冰箱）",IF(AND(AA33="无",AB33="无"),"适中","")),"")))),"适中")</f>
        <v>适中</v>
      </c>
      <c r="AI33" s="46">
        <f>VLOOKUP($AH$1&amp;AH33,【1】定价因子!E:F,2,0)</f>
        <v>1</v>
      </c>
      <c r="AJ33" s="46" t="str">
        <f>VLOOKUP(H33,'【3-1】大区填-采光基本要素'!A:H,8,0)</f>
        <v>3</v>
      </c>
      <c r="AK33" s="46">
        <f>VLOOKUP($AJ$1&amp;AJ33,【1】定价因子!E:F,2,0)</f>
        <v>1</v>
      </c>
      <c r="AL33" s="47">
        <f t="shared" ref="AL33:AL83" si="21">L33*PRODUCT(AG33,AK33,AE33,U33,S33,Q33,O33)</f>
        <v>1376.149632</v>
      </c>
      <c r="AM33" s="48">
        <f t="shared" si="10"/>
        <v>1301.149632</v>
      </c>
      <c r="AN33" s="49">
        <f t="shared" ref="AN33:AN83" si="22">AM33/AL33-1</f>
        <v>-0.0544998874075926</v>
      </c>
    </row>
    <row r="34" spans="1:40">
      <c r="A34" s="41" t="str">
        <f>'【2】运营中心填-基本信息&amp;审核标准'!$E$2</f>
        <v>福永一队9-16栋</v>
      </c>
      <c r="B34" s="13">
        <f t="shared" si="11"/>
        <v>7</v>
      </c>
      <c r="C34" s="13">
        <f t="shared" si="1"/>
        <v>5</v>
      </c>
      <c r="D34" s="13">
        <f t="shared" si="2"/>
        <v>40</v>
      </c>
      <c r="E34" s="13"/>
      <c r="F34" s="13">
        <f t="shared" si="3"/>
        <v>5</v>
      </c>
      <c r="G34" s="13"/>
      <c r="H34" s="42">
        <v>703</v>
      </c>
      <c r="I34" s="43" t="s">
        <v>493</v>
      </c>
      <c r="J34" s="43" t="s">
        <v>40</v>
      </c>
      <c r="K34" s="13" t="str" cm="1">
        <f t="array" ref="K34">IFERROR(INDEX($J$2:$J$41,MATCH(0,IF(ISBLANK($J$2:$J$41),1,COUNTIF($K$1:K33,$J$2:$J$41)),0)),"")</f>
        <v/>
      </c>
      <c r="L34" s="44">
        <f>VLOOKUP(J34,'【3】大区填-楼栋基准格局定价'!B:H,7,0)</f>
        <v>1508.936</v>
      </c>
      <c r="M34" s="45" t="str">
        <f t="shared" si="17"/>
        <v>适中</v>
      </c>
      <c r="N34" s="45">
        <v>13</v>
      </c>
      <c r="O34" s="46">
        <f>VLOOKUP($M$1&amp;M34,【1】定价因子!E:F,2,0)</f>
        <v>1</v>
      </c>
      <c r="P34" s="46" t="str">
        <f>IF(COUNTIFS(户型资产表!E:E,I34,户型资产表!H:H,"阳台门")&gt;0,"有","无")</f>
        <v>无</v>
      </c>
      <c r="Q34" s="46">
        <f>VLOOKUP($P$1&amp;P34,【1】定价因子!E:F,2,0)</f>
        <v>1</v>
      </c>
      <c r="R34" s="46" t="str">
        <f>IF('【2】运营中心填-基本信息&amp;审核标准'!$D$4="是","无",IF(INT(H34/100)&gt;9,"9F",INT(H34/100)&amp;"F"))</f>
        <v>7F</v>
      </c>
      <c r="S34" s="46">
        <f>VLOOKUP(R34,【1】定价因子!D:F,3,0)</f>
        <v>0.96</v>
      </c>
      <c r="T34" s="46" t="str">
        <f>IF('【2】运营中心填-基本信息&amp;审核标准'!$D$4="否","无",IF(INT(H34/100)=1,"1F",IF(AND(INT(H34/100)&gt;=2,INT(H34/100)&lt;=3),"2-3F",IF(INT(H34/100)=4,"4F",IF(AND(INT(H34/100)&gt;=5,INT(H34/100)&lt;=6),"5-6F",IF(AND(INT(H34/100)&gt;=7,INT(H34/100)&lt;=8),"7-8F",IF(AND(INT(H34/100)&gt;=9,INT(H34/100)&lt;=10),"9-10F",IF(AND(INT(H34/100)&gt;=11,INT(H34/100)&lt;=12),"11-12F",IF(INT(H34/100)&gt;=13,"13以上F","")))))))))</f>
        <v>无</v>
      </c>
      <c r="U34" s="46">
        <f>VLOOKUP($T$1&amp;T34,【1】定价因子!E:F,2,0)</f>
        <v>1</v>
      </c>
      <c r="V34" s="46" t="str">
        <f>IF(COUNTIFS(户型资产表!E:E,I34,户型资产表!H:H,"操作台")&gt;0,"有","无")</f>
        <v>有</v>
      </c>
      <c r="W34" s="46" t="str">
        <f>IF(COUNTIFS(户型资产表!E:E,I34,户型资产表!H:H,"书桌")&gt;0,"有","无")</f>
        <v>有</v>
      </c>
      <c r="X34" s="46" t="str" cm="1">
        <f t="array" ref="X34">IF(SUMPRODUCT((户型资产表!E:E=I34)*((户型资产表!I:I="沙发01单人")+(户型资产表!I:I="单人沙发02")))&gt;0,"有","无")</f>
        <v>无</v>
      </c>
      <c r="Y34" s="46" t="str" cm="1">
        <f t="array" ref="Y34">IF(SUMPRODUCT((户型资产表!E:E=I34)*((户型资产表!I:I="沙发02两人")+(户型资产表!I:I="双人沙发01")))&gt;0,"有","无")</f>
        <v>无</v>
      </c>
      <c r="Z34" s="46" t="str">
        <f>IF(COUNTIFS(户型资产表!E:E,I34,户型资产表!H:H,"餐桌")&gt;0,"有","无")</f>
        <v>无</v>
      </c>
      <c r="AA34" s="46" t="str">
        <f>IF(COUNTIFS(户型资产表!E:E,I34,户型资产表!H:H,"吸油烟机")&gt;0,"有","无")</f>
        <v>无</v>
      </c>
      <c r="AB34" s="46" t="str">
        <f>IF(COUNTIFS(户型资产表!E:E,I34,户型资产表!H:H,"冰箱")&gt;0,"有","无")</f>
        <v>无</v>
      </c>
      <c r="AC34" s="46" t="str">
        <f>IF(COUNTIFS(户型资产表!E:E,I34,户型资产表!H:H,"电视柜")&gt;0,"有","无")</f>
        <v>无</v>
      </c>
      <c r="AD34" s="45" t="str">
        <f t="shared" si="18"/>
        <v>适中</v>
      </c>
      <c r="AE34" s="46">
        <f>VLOOKUP($AD$1&amp;AD34,【1】定价因子!E:F,2,0)</f>
        <v>1</v>
      </c>
      <c r="AF34" s="45" t="str">
        <f t="shared" si="19"/>
        <v>适中</v>
      </c>
      <c r="AG34" s="46">
        <f>VLOOKUP($AF$1&amp;AF34,【1】定价因子!E:F,2,0)</f>
        <v>1</v>
      </c>
      <c r="AH34" s="45" t="str">
        <f t="shared" si="20"/>
        <v>适中</v>
      </c>
      <c r="AI34" s="46">
        <f>VLOOKUP($AH$1&amp;AH34,【1】定价因子!E:F,2,0)</f>
        <v>1</v>
      </c>
      <c r="AJ34" s="46" t="str">
        <f>VLOOKUP(H34,'【3-1】大区填-采光基本要素'!A:H,8,0)</f>
        <v>2</v>
      </c>
      <c r="AK34" s="46">
        <f>VLOOKUP($AJ$1&amp;AJ34,【1】定价因子!E:F,2,0)</f>
        <v>0.96</v>
      </c>
      <c r="AL34" s="47">
        <f t="shared" si="21"/>
        <v>1390.6354176</v>
      </c>
      <c r="AM34" s="48">
        <f>AL34-80</f>
        <v>1310.6354176</v>
      </c>
      <c r="AN34" s="49">
        <f t="shared" si="22"/>
        <v>-0.0575276589302366</v>
      </c>
    </row>
    <row r="35" spans="1:40">
      <c r="A35" s="41" t="str">
        <f>'【2】运营中心填-基本信息&amp;审核标准'!$E$2</f>
        <v>福永一队9-16栋</v>
      </c>
      <c r="B35" s="13">
        <f t="shared" si="11"/>
        <v>7</v>
      </c>
      <c r="C35" s="13">
        <f t="shared" si="1"/>
        <v>5</v>
      </c>
      <c r="D35" s="13">
        <f t="shared" si="2"/>
        <v>40</v>
      </c>
      <c r="E35" s="13"/>
      <c r="F35" s="13">
        <f t="shared" si="3"/>
        <v>5</v>
      </c>
      <c r="G35" s="13"/>
      <c r="H35" s="42">
        <v>704</v>
      </c>
      <c r="I35" s="43" t="s">
        <v>493</v>
      </c>
      <c r="J35" s="43" t="s">
        <v>40</v>
      </c>
      <c r="K35" s="13" t="str" cm="1">
        <f t="array" ref="K35">IFERROR(INDEX($J$2:$J$41,MATCH(0,IF(ISBLANK($J$2:$J$41),1,COUNTIF($K$1:K34,$J$2:$J$41)),0)),"")</f>
        <v/>
      </c>
      <c r="L35" s="44">
        <f>VLOOKUP(J35,'【3】大区填-楼栋基准格局定价'!B:H,7,0)</f>
        <v>1508.936</v>
      </c>
      <c r="M35" s="45" t="str">
        <f t="shared" si="17"/>
        <v>较狭小</v>
      </c>
      <c r="N35" s="45">
        <v>12.39</v>
      </c>
      <c r="O35" s="46">
        <f>VLOOKUP($M$1&amp;M35,【1】定价因子!E:F,2,0)</f>
        <v>0.95</v>
      </c>
      <c r="P35" s="46" t="str">
        <f>IF(COUNTIFS(户型资产表!E:E,I35,户型资产表!H:H,"阳台门")&gt;0,"有","无")</f>
        <v>无</v>
      </c>
      <c r="Q35" s="46">
        <f>VLOOKUP($P$1&amp;P35,【1】定价因子!E:F,2,0)</f>
        <v>1</v>
      </c>
      <c r="R35" s="46" t="str">
        <f>IF('【2】运营中心填-基本信息&amp;审核标准'!$D$4="是","无",IF(INT(H35/100)&gt;9,"9F",INT(H35/100)&amp;"F"))</f>
        <v>7F</v>
      </c>
      <c r="S35" s="46">
        <f>VLOOKUP(R35,【1】定价因子!D:F,3,0)</f>
        <v>0.96</v>
      </c>
      <c r="T35" s="46" t="str">
        <f>IF('【2】运营中心填-基本信息&amp;审核标准'!$D$4="否","无",IF(INT(H35/100)=1,"1F",IF(AND(INT(H35/100)&gt;=2,INT(H35/100)&lt;=3),"2-3F",IF(INT(H35/100)=4,"4F",IF(AND(INT(H35/100)&gt;=5,INT(H35/100)&lt;=6),"5-6F",IF(AND(INT(H35/100)&gt;=7,INT(H35/100)&lt;=8),"7-8F",IF(AND(INT(H35/100)&gt;=9,INT(H35/100)&lt;=10),"9-10F",IF(AND(INT(H35/100)&gt;=11,INT(H35/100)&lt;=12),"11-12F",IF(INT(H35/100)&gt;=13,"13以上F","")))))))))</f>
        <v>无</v>
      </c>
      <c r="U35" s="46">
        <f>VLOOKUP($T$1&amp;T35,【1】定价因子!E:F,2,0)</f>
        <v>1</v>
      </c>
      <c r="V35" s="46" t="str">
        <f>IF(COUNTIFS(户型资产表!E:E,I35,户型资产表!H:H,"操作台")&gt;0,"有","无")</f>
        <v>有</v>
      </c>
      <c r="W35" s="46" t="str">
        <f>IF(COUNTIFS(户型资产表!E:E,I35,户型资产表!H:H,"书桌")&gt;0,"有","无")</f>
        <v>有</v>
      </c>
      <c r="X35" s="46" t="str" cm="1">
        <f t="array" ref="X35">IF(SUMPRODUCT((户型资产表!E:E=I35)*((户型资产表!I:I="沙发01单人")+(户型资产表!I:I="单人沙发02")))&gt;0,"有","无")</f>
        <v>无</v>
      </c>
      <c r="Y35" s="46" t="str" cm="1">
        <f t="array" ref="Y35">IF(SUMPRODUCT((户型资产表!E:E=I35)*((户型资产表!I:I="沙发02两人")+(户型资产表!I:I="双人沙发01")))&gt;0,"有","无")</f>
        <v>无</v>
      </c>
      <c r="Z35" s="46" t="str">
        <f>IF(COUNTIFS(户型资产表!E:E,I35,户型资产表!H:H,"餐桌")&gt;0,"有","无")</f>
        <v>无</v>
      </c>
      <c r="AA35" s="46" t="str">
        <f>IF(COUNTIFS(户型资产表!E:E,I35,户型资产表!H:H,"吸油烟机")&gt;0,"有","无")</f>
        <v>无</v>
      </c>
      <c r="AB35" s="46" t="str">
        <f>IF(COUNTIFS(户型资产表!E:E,I35,户型资产表!H:H,"冰箱")&gt;0,"有","无")</f>
        <v>无</v>
      </c>
      <c r="AC35" s="46" t="str">
        <f>IF(COUNTIFS(户型资产表!E:E,I35,户型资产表!H:H,"电视柜")&gt;0,"有","无")</f>
        <v>无</v>
      </c>
      <c r="AD35" s="45" t="str">
        <f t="shared" si="18"/>
        <v>适中</v>
      </c>
      <c r="AE35" s="46">
        <f>VLOOKUP($AD$1&amp;AD35,【1】定价因子!E:F,2,0)</f>
        <v>1</v>
      </c>
      <c r="AF35" s="45" t="str">
        <f t="shared" si="19"/>
        <v>适中</v>
      </c>
      <c r="AG35" s="46">
        <f>VLOOKUP($AF$1&amp;AF35,【1】定价因子!E:F,2,0)</f>
        <v>1</v>
      </c>
      <c r="AH35" s="45" t="str">
        <f t="shared" si="20"/>
        <v>适中</v>
      </c>
      <c r="AI35" s="46">
        <f>VLOOKUP($AH$1&amp;AH35,【1】定价因子!E:F,2,0)</f>
        <v>1</v>
      </c>
      <c r="AJ35" s="46" t="str">
        <f>VLOOKUP(H35,'【3-1】大区填-采光基本要素'!A:H,8,0)</f>
        <v>3</v>
      </c>
      <c r="AK35" s="46">
        <f>VLOOKUP($AJ$1&amp;AJ35,【1】定价因子!E:F,2,0)</f>
        <v>1</v>
      </c>
      <c r="AL35" s="47">
        <f t="shared" si="21"/>
        <v>1376.149632</v>
      </c>
      <c r="AM35" s="48">
        <f t="shared" si="10"/>
        <v>1301.149632</v>
      </c>
      <c r="AN35" s="49">
        <f t="shared" si="22"/>
        <v>-0.0544998874075926</v>
      </c>
    </row>
    <row r="36" spans="1:40">
      <c r="A36" s="41" t="str">
        <f>'【2】运营中心填-基本信息&amp;审核标准'!$E$2</f>
        <v>福永一队9-16栋</v>
      </c>
      <c r="B36" s="13">
        <f t="shared" si="11"/>
        <v>7</v>
      </c>
      <c r="C36" s="13">
        <f t="shared" si="1"/>
        <v>5</v>
      </c>
      <c r="D36" s="13">
        <f t="shared" si="2"/>
        <v>40</v>
      </c>
      <c r="E36" s="13"/>
      <c r="F36" s="13">
        <f t="shared" si="3"/>
        <v>5</v>
      </c>
      <c r="G36" s="13"/>
      <c r="H36" s="42">
        <v>705</v>
      </c>
      <c r="I36" s="43" t="s">
        <v>493</v>
      </c>
      <c r="J36" s="43" t="s">
        <v>40</v>
      </c>
      <c r="K36" s="13" t="str" cm="1">
        <f t="array" ref="K36">IFERROR(INDEX($J$2:$J$41,MATCH(0,IF(ISBLANK($J$2:$J$41),1,COUNTIF($K$1:K35,$J$2:$J$41)),0)),"")</f>
        <v/>
      </c>
      <c r="L36" s="44">
        <f>VLOOKUP(J36,'【3】大区填-楼栋基准格局定价'!B:H,7,0)</f>
        <v>1508.936</v>
      </c>
      <c r="M36" s="45" t="str">
        <f t="shared" si="17"/>
        <v>适中</v>
      </c>
      <c r="N36" s="45">
        <v>13</v>
      </c>
      <c r="O36" s="46">
        <f>VLOOKUP($M$1&amp;M36,【1】定价因子!E:F,2,0)</f>
        <v>1</v>
      </c>
      <c r="P36" s="46" t="str">
        <f>IF(COUNTIFS(户型资产表!E:E,I36,户型资产表!H:H,"阳台门")&gt;0,"有","无")</f>
        <v>无</v>
      </c>
      <c r="Q36" s="46">
        <f>VLOOKUP($P$1&amp;P36,【1】定价因子!E:F,2,0)</f>
        <v>1</v>
      </c>
      <c r="R36" s="46" t="str">
        <f>IF('【2】运营中心填-基本信息&amp;审核标准'!$D$4="是","无",IF(INT(H36/100)&gt;9,"9F",INT(H36/100)&amp;"F"))</f>
        <v>7F</v>
      </c>
      <c r="S36" s="46">
        <f>VLOOKUP(R36,【1】定价因子!D:F,3,0)</f>
        <v>0.96</v>
      </c>
      <c r="T36" s="46" t="str">
        <f>IF('【2】运营中心填-基本信息&amp;审核标准'!$D$4="否","无",IF(INT(H36/100)=1,"1F",IF(AND(INT(H36/100)&gt;=2,INT(H36/100)&lt;=3),"2-3F",IF(INT(H36/100)=4,"4F",IF(AND(INT(H36/100)&gt;=5,INT(H36/100)&lt;=6),"5-6F",IF(AND(INT(H36/100)&gt;=7,INT(H36/100)&lt;=8),"7-8F",IF(AND(INT(H36/100)&gt;=9,INT(H36/100)&lt;=10),"9-10F",IF(AND(INT(H36/100)&gt;=11,INT(H36/100)&lt;=12),"11-12F",IF(INT(H36/100)&gt;=13,"13以上F","")))))))))</f>
        <v>无</v>
      </c>
      <c r="U36" s="46">
        <f>VLOOKUP($T$1&amp;T36,【1】定价因子!E:F,2,0)</f>
        <v>1</v>
      </c>
      <c r="V36" s="46" t="str">
        <f>IF(COUNTIFS(户型资产表!E:E,I36,户型资产表!H:H,"操作台")&gt;0,"有","无")</f>
        <v>有</v>
      </c>
      <c r="W36" s="46" t="str">
        <f>IF(COUNTIFS(户型资产表!E:E,I36,户型资产表!H:H,"书桌")&gt;0,"有","无")</f>
        <v>有</v>
      </c>
      <c r="X36" s="46" t="str" cm="1">
        <f t="array" ref="X36">IF(SUMPRODUCT((户型资产表!E:E=I36)*((户型资产表!I:I="沙发01单人")+(户型资产表!I:I="单人沙发02")))&gt;0,"有","无")</f>
        <v>无</v>
      </c>
      <c r="Y36" s="46" t="str" cm="1">
        <f t="array" ref="Y36">IF(SUMPRODUCT((户型资产表!E:E=I36)*((户型资产表!I:I="沙发02两人")+(户型资产表!I:I="双人沙发01")))&gt;0,"有","无")</f>
        <v>无</v>
      </c>
      <c r="Z36" s="46" t="str">
        <f>IF(COUNTIFS(户型资产表!E:E,I36,户型资产表!H:H,"餐桌")&gt;0,"有","无")</f>
        <v>无</v>
      </c>
      <c r="AA36" s="46" t="str">
        <f>IF(COUNTIFS(户型资产表!E:E,I36,户型资产表!H:H,"吸油烟机")&gt;0,"有","无")</f>
        <v>无</v>
      </c>
      <c r="AB36" s="46" t="str">
        <f>IF(COUNTIFS(户型资产表!E:E,I36,户型资产表!H:H,"冰箱")&gt;0,"有","无")</f>
        <v>无</v>
      </c>
      <c r="AC36" s="46" t="str">
        <f>IF(COUNTIFS(户型资产表!E:E,I36,户型资产表!H:H,"电视柜")&gt;0,"有","无")</f>
        <v>无</v>
      </c>
      <c r="AD36" s="45" t="str">
        <f t="shared" si="18"/>
        <v>适中</v>
      </c>
      <c r="AE36" s="46">
        <f>VLOOKUP($AD$1&amp;AD36,【1】定价因子!E:F,2,0)</f>
        <v>1</v>
      </c>
      <c r="AF36" s="45" t="str">
        <f t="shared" si="19"/>
        <v>适中</v>
      </c>
      <c r="AG36" s="46">
        <f>VLOOKUP($AF$1&amp;AF36,【1】定价因子!E:F,2,0)</f>
        <v>1</v>
      </c>
      <c r="AH36" s="45" t="str">
        <f t="shared" si="20"/>
        <v>适中</v>
      </c>
      <c r="AI36" s="46">
        <f>VLOOKUP($AH$1&amp;AH36,【1】定价因子!E:F,2,0)</f>
        <v>1</v>
      </c>
      <c r="AJ36" s="46" t="str">
        <f>VLOOKUP(H36,'【3-1】大区填-采光基本要素'!A:H,8,0)</f>
        <v>3</v>
      </c>
      <c r="AK36" s="46">
        <f>VLOOKUP($AJ$1&amp;AJ36,【1】定价因子!E:F,2,0)</f>
        <v>1</v>
      </c>
      <c r="AL36" s="47">
        <f t="shared" si="21"/>
        <v>1448.57856</v>
      </c>
      <c r="AM36" s="48">
        <f t="shared" si="10"/>
        <v>1373.57856</v>
      </c>
      <c r="AN36" s="49">
        <f t="shared" si="22"/>
        <v>-0.0517748930372129</v>
      </c>
    </row>
    <row r="37" spans="1:40">
      <c r="A37" s="41" t="str">
        <f>'【2】运营中心填-基本信息&amp;审核标准'!$E$2</f>
        <v>福永一队9-16栋</v>
      </c>
      <c r="B37" s="13">
        <f t="shared" si="11"/>
        <v>8</v>
      </c>
      <c r="C37" s="13">
        <f t="shared" si="1"/>
        <v>5</v>
      </c>
      <c r="D37" s="13">
        <f t="shared" si="2"/>
        <v>40</v>
      </c>
      <c r="E37" s="13"/>
      <c r="F37" s="13">
        <f t="shared" si="3"/>
        <v>5</v>
      </c>
      <c r="G37" s="13"/>
      <c r="H37" s="42">
        <v>801</v>
      </c>
      <c r="I37" s="43" t="s">
        <v>492</v>
      </c>
      <c r="J37" s="43" t="s">
        <v>40</v>
      </c>
      <c r="K37" s="13" t="str" cm="1">
        <f t="array" ref="K37">IFERROR(INDEX($J$2:$J$41,MATCH(0,IF(ISBLANK($J$2:$J$41),1,COUNTIF($K$1:K36,$J$2:$J$41)),0)),"")</f>
        <v/>
      </c>
      <c r="L37" s="44">
        <f>VLOOKUP(J37,'【3】大区填-楼栋基准格局定价'!B:H,7,0)</f>
        <v>1508.936</v>
      </c>
      <c r="M37" s="45" t="str">
        <f t="shared" si="17"/>
        <v>较狭小</v>
      </c>
      <c r="N37" s="45">
        <v>12.27</v>
      </c>
      <c r="O37" s="46">
        <f>VLOOKUP($M$1&amp;M37,【1】定价因子!E:F,2,0)</f>
        <v>0.95</v>
      </c>
      <c r="P37" s="46" t="str">
        <f>IF(COUNTIFS(户型资产表!E:E,I37,户型资产表!H:H,"阳台门")&gt;0,"有","无")</f>
        <v>无</v>
      </c>
      <c r="Q37" s="46">
        <f>VLOOKUP($P$1&amp;P37,【1】定价因子!E:F,2,0)</f>
        <v>1</v>
      </c>
      <c r="R37" s="46" t="str">
        <f>IF('【2】运营中心填-基本信息&amp;审核标准'!$D$4="是","无",IF(INT(H37/100)&gt;9,"9F",INT(H37/100)&amp;"F"))</f>
        <v>8F</v>
      </c>
      <c r="S37" s="46">
        <f>VLOOKUP(R37,【1】定价因子!D:F,3,0)</f>
        <v>0.93</v>
      </c>
      <c r="T37" s="46" t="str">
        <f>IF('【2】运营中心填-基本信息&amp;审核标准'!$D$4="否","无",IF(INT(H37/100)=1,"1F",IF(AND(INT(H37/100)&gt;=2,INT(H37/100)&lt;=3),"2-3F",IF(INT(H37/100)=4,"4F",IF(AND(INT(H37/100)&gt;=5,INT(H37/100)&lt;=6),"5-6F",IF(AND(INT(H37/100)&gt;=7,INT(H37/100)&lt;=8),"7-8F",IF(AND(INT(H37/100)&gt;=9,INT(H37/100)&lt;=10),"9-10F",IF(AND(INT(H37/100)&gt;=11,INT(H37/100)&lt;=12),"11-12F",IF(INT(H37/100)&gt;=13,"13以上F","")))))))))</f>
        <v>无</v>
      </c>
      <c r="U37" s="46">
        <f>VLOOKUP($T$1&amp;T37,【1】定价因子!E:F,2,0)</f>
        <v>1</v>
      </c>
      <c r="V37" s="46" t="str">
        <f>IF(COUNTIFS(户型资产表!E:E,I37,户型资产表!H:H,"操作台")&gt;0,"有","无")</f>
        <v>有</v>
      </c>
      <c r="W37" s="46" t="str">
        <f>IF(COUNTIFS(户型资产表!E:E,I37,户型资产表!H:H,"书桌")&gt;0,"有","无")</f>
        <v>有</v>
      </c>
      <c r="X37" s="46" t="str" cm="1">
        <f t="array" ref="X37">IF(SUMPRODUCT((户型资产表!E:E=I37)*((户型资产表!I:I="沙发01单人")+(户型资产表!I:I="单人沙发02")))&gt;0,"有","无")</f>
        <v>无</v>
      </c>
      <c r="Y37" s="46" t="str" cm="1">
        <f t="array" ref="Y37">IF(SUMPRODUCT((户型资产表!E:E=I37)*((户型资产表!I:I="沙发02两人")+(户型资产表!I:I="双人沙发01")))&gt;0,"有","无")</f>
        <v>无</v>
      </c>
      <c r="Z37" s="46" t="str">
        <f>IF(COUNTIFS(户型资产表!E:E,I37,户型资产表!H:H,"餐桌")&gt;0,"有","无")</f>
        <v>无</v>
      </c>
      <c r="AA37" s="46" t="str">
        <f>IF(COUNTIFS(户型资产表!E:E,I37,户型资产表!H:H,"吸油烟机")&gt;0,"有","无")</f>
        <v>无</v>
      </c>
      <c r="AB37" s="46" t="str">
        <f>IF(COUNTIFS(户型资产表!E:E,I37,户型资产表!H:H,"冰箱")&gt;0,"有","无")</f>
        <v>无</v>
      </c>
      <c r="AC37" s="46" t="str">
        <f>IF(COUNTIFS(户型资产表!E:E,I37,户型资产表!H:H,"电视柜")&gt;0,"有","无")</f>
        <v>无</v>
      </c>
      <c r="AD37" s="45" t="str">
        <f t="shared" si="18"/>
        <v>适中</v>
      </c>
      <c r="AE37" s="46">
        <f>VLOOKUP($AD$1&amp;AD37,【1】定价因子!E:F,2,0)</f>
        <v>1</v>
      </c>
      <c r="AF37" s="45" t="str">
        <f t="shared" si="19"/>
        <v>适中</v>
      </c>
      <c r="AG37" s="46">
        <f>VLOOKUP($AF$1&amp;AF37,【1】定价因子!E:F,2,0)</f>
        <v>1</v>
      </c>
      <c r="AH37" s="45" t="str">
        <f t="shared" si="20"/>
        <v>适中</v>
      </c>
      <c r="AI37" s="46">
        <f>VLOOKUP($AH$1&amp;AH37,【1】定价因子!E:F,2,0)</f>
        <v>1</v>
      </c>
      <c r="AJ37" s="46" t="str">
        <f>VLOOKUP(H37,'【3-1】大区填-采光基本要素'!A:H,8,0)</f>
        <v>3</v>
      </c>
      <c r="AK37" s="46">
        <f>VLOOKUP($AJ$1&amp;AJ37,【1】定价因子!E:F,2,0)</f>
        <v>1</v>
      </c>
      <c r="AL37" s="47">
        <f t="shared" si="21"/>
        <v>1333.144956</v>
      </c>
      <c r="AM37" s="48">
        <f t="shared" si="10"/>
        <v>1258.144956</v>
      </c>
      <c r="AN37" s="49">
        <f t="shared" si="22"/>
        <v>-0.0562579482917085</v>
      </c>
    </row>
    <row r="38" spans="1:40">
      <c r="A38" s="41" t="str">
        <f>'【2】运营中心填-基本信息&amp;审核标准'!$E$2</f>
        <v>福永一队9-16栋</v>
      </c>
      <c r="B38" s="13">
        <f t="shared" si="11"/>
        <v>8</v>
      </c>
      <c r="C38" s="13">
        <f t="shared" si="1"/>
        <v>5</v>
      </c>
      <c r="D38" s="13">
        <f t="shared" si="2"/>
        <v>40</v>
      </c>
      <c r="E38" s="13"/>
      <c r="F38" s="13">
        <f t="shared" si="3"/>
        <v>5</v>
      </c>
      <c r="G38" s="13"/>
      <c r="H38" s="42">
        <v>802</v>
      </c>
      <c r="I38" s="43" t="s">
        <v>492</v>
      </c>
      <c r="J38" s="43" t="s">
        <v>40</v>
      </c>
      <c r="K38" s="13" t="str" cm="1">
        <f t="array" ref="K38">IFERROR(INDEX($J$2:$J$41,MATCH(0,IF(ISBLANK($J$2:$J$41),1,COUNTIF($K$1:K37,$J$2:$J$41)),0)),"")</f>
        <v/>
      </c>
      <c r="L38" s="44">
        <f>VLOOKUP(J38,'【3】大区填-楼栋基准格局定价'!B:H,7,0)</f>
        <v>1508.936</v>
      </c>
      <c r="M38" s="45" t="str">
        <f t="shared" si="17"/>
        <v>较狭小</v>
      </c>
      <c r="N38" s="45">
        <v>12.26</v>
      </c>
      <c r="O38" s="46">
        <f>VLOOKUP($M$1&amp;M38,【1】定价因子!E:F,2,0)</f>
        <v>0.95</v>
      </c>
      <c r="P38" s="46" t="str">
        <f>IF(COUNTIFS(户型资产表!E:E,I38,户型资产表!H:H,"阳台门")&gt;0,"有","无")</f>
        <v>无</v>
      </c>
      <c r="Q38" s="46">
        <f>VLOOKUP($P$1&amp;P38,【1】定价因子!E:F,2,0)</f>
        <v>1</v>
      </c>
      <c r="R38" s="46" t="str">
        <f>IF('【2】运营中心填-基本信息&amp;审核标准'!$D$4="是","无",IF(INT(H38/100)&gt;9,"9F",INT(H38/100)&amp;"F"))</f>
        <v>8F</v>
      </c>
      <c r="S38" s="46">
        <f>VLOOKUP(R38,【1】定价因子!D:F,3,0)</f>
        <v>0.93</v>
      </c>
      <c r="T38" s="46" t="str">
        <f>IF('【2】运营中心填-基本信息&amp;审核标准'!$D$4="否","无",IF(INT(H38/100)=1,"1F",IF(AND(INT(H38/100)&gt;=2,INT(H38/100)&lt;=3),"2-3F",IF(INT(H38/100)=4,"4F",IF(AND(INT(H38/100)&gt;=5,INT(H38/100)&lt;=6),"5-6F",IF(AND(INT(H38/100)&gt;=7,INT(H38/100)&lt;=8),"7-8F",IF(AND(INT(H38/100)&gt;=9,INT(H38/100)&lt;=10),"9-10F",IF(AND(INT(H38/100)&gt;=11,INT(H38/100)&lt;=12),"11-12F",IF(INT(H38/100)&gt;=13,"13以上F","")))))))))</f>
        <v>无</v>
      </c>
      <c r="U38" s="46">
        <f>VLOOKUP($T$1&amp;T38,【1】定价因子!E:F,2,0)</f>
        <v>1</v>
      </c>
      <c r="V38" s="46" t="str">
        <f>IF(COUNTIFS(户型资产表!E:E,I38,户型资产表!H:H,"操作台")&gt;0,"有","无")</f>
        <v>有</v>
      </c>
      <c r="W38" s="46" t="str">
        <f>IF(COUNTIFS(户型资产表!E:E,I38,户型资产表!H:H,"书桌")&gt;0,"有","无")</f>
        <v>有</v>
      </c>
      <c r="X38" s="46" t="str" cm="1">
        <f t="array" ref="X38">IF(SUMPRODUCT((户型资产表!E:E=I38)*((户型资产表!I:I="沙发01单人")+(户型资产表!I:I="单人沙发02")))&gt;0,"有","无")</f>
        <v>无</v>
      </c>
      <c r="Y38" s="46" t="str" cm="1">
        <f t="array" ref="Y38">IF(SUMPRODUCT((户型资产表!E:E=I38)*((户型资产表!I:I="沙发02两人")+(户型资产表!I:I="双人沙发01")))&gt;0,"有","无")</f>
        <v>无</v>
      </c>
      <c r="Z38" s="46" t="str">
        <f>IF(COUNTIFS(户型资产表!E:E,I38,户型资产表!H:H,"餐桌")&gt;0,"有","无")</f>
        <v>无</v>
      </c>
      <c r="AA38" s="46" t="str">
        <f>IF(COUNTIFS(户型资产表!E:E,I38,户型资产表!H:H,"吸油烟机")&gt;0,"有","无")</f>
        <v>无</v>
      </c>
      <c r="AB38" s="46" t="str">
        <f>IF(COUNTIFS(户型资产表!E:E,I38,户型资产表!H:H,"冰箱")&gt;0,"有","无")</f>
        <v>无</v>
      </c>
      <c r="AC38" s="46" t="str">
        <f>IF(COUNTIFS(户型资产表!E:E,I38,户型资产表!H:H,"电视柜")&gt;0,"有","无")</f>
        <v>无</v>
      </c>
      <c r="AD38" s="45" t="str">
        <f t="shared" si="18"/>
        <v>适中</v>
      </c>
      <c r="AE38" s="46">
        <f>VLOOKUP($AD$1&amp;AD38,【1】定价因子!E:F,2,0)</f>
        <v>1</v>
      </c>
      <c r="AF38" s="45" t="str">
        <f t="shared" si="19"/>
        <v>适中</v>
      </c>
      <c r="AG38" s="46">
        <f>VLOOKUP($AF$1&amp;AF38,【1】定价因子!E:F,2,0)</f>
        <v>1</v>
      </c>
      <c r="AH38" s="45" t="str">
        <f t="shared" si="20"/>
        <v>适中</v>
      </c>
      <c r="AI38" s="46">
        <f>VLOOKUP($AH$1&amp;AH38,【1】定价因子!E:F,2,0)</f>
        <v>1</v>
      </c>
      <c r="AJ38" s="46" t="str">
        <f>VLOOKUP(H38,'【3-1】大区填-采光基本要素'!A:H,8,0)</f>
        <v>3</v>
      </c>
      <c r="AK38" s="46">
        <f>VLOOKUP($AJ$1&amp;AJ38,【1】定价因子!E:F,2,0)</f>
        <v>1</v>
      </c>
      <c r="AL38" s="47">
        <f t="shared" si="21"/>
        <v>1333.144956</v>
      </c>
      <c r="AM38" s="48">
        <f t="shared" si="10"/>
        <v>1258.144956</v>
      </c>
      <c r="AN38" s="49">
        <f t="shared" si="22"/>
        <v>-0.0562579482917085</v>
      </c>
    </row>
    <row r="39" spans="1:40">
      <c r="A39" s="41" t="str">
        <f>'【2】运营中心填-基本信息&amp;审核标准'!$E$2</f>
        <v>福永一队9-16栋</v>
      </c>
      <c r="B39" s="13">
        <f t="shared" si="11"/>
        <v>8</v>
      </c>
      <c r="C39" s="13">
        <f t="shared" si="1"/>
        <v>5</v>
      </c>
      <c r="D39" s="13">
        <f t="shared" si="2"/>
        <v>40</v>
      </c>
      <c r="E39" s="13"/>
      <c r="F39" s="13">
        <f t="shared" si="3"/>
        <v>5</v>
      </c>
      <c r="G39" s="13"/>
      <c r="H39" s="42">
        <v>803</v>
      </c>
      <c r="I39" s="43" t="s">
        <v>493</v>
      </c>
      <c r="J39" s="43" t="s">
        <v>40</v>
      </c>
      <c r="K39" s="13" t="str" cm="1">
        <f t="array" ref="K39">IFERROR(INDEX($J$2:$J$41,MATCH(0,IF(ISBLANK($J$2:$J$41),1,COUNTIF($K$1:K38,$J$2:$J$41)),0)),"")</f>
        <v/>
      </c>
      <c r="L39" s="44">
        <f>VLOOKUP(J39,'【3】大区填-楼栋基准格局定价'!B:H,7,0)</f>
        <v>1508.936</v>
      </c>
      <c r="M39" s="45" t="str">
        <f t="shared" si="17"/>
        <v>适中</v>
      </c>
      <c r="N39" s="45">
        <v>13</v>
      </c>
      <c r="O39" s="46">
        <f>VLOOKUP($M$1&amp;M39,【1】定价因子!E:F,2,0)</f>
        <v>1</v>
      </c>
      <c r="P39" s="46" t="str">
        <f>IF(COUNTIFS(户型资产表!E:E,I39,户型资产表!H:H,"阳台门")&gt;0,"有","无")</f>
        <v>无</v>
      </c>
      <c r="Q39" s="46">
        <f>VLOOKUP($P$1&amp;P39,【1】定价因子!E:F,2,0)</f>
        <v>1</v>
      </c>
      <c r="R39" s="46" t="str">
        <f>IF('【2】运营中心填-基本信息&amp;审核标准'!$D$4="是","无",IF(INT(H39/100)&gt;9,"9F",INT(H39/100)&amp;"F"))</f>
        <v>8F</v>
      </c>
      <c r="S39" s="46">
        <f>VLOOKUP(R39,【1】定价因子!D:F,3,0)</f>
        <v>0.93</v>
      </c>
      <c r="T39" s="46" t="str">
        <f>IF('【2】运营中心填-基本信息&amp;审核标准'!$D$4="否","无",IF(INT(H39/100)=1,"1F",IF(AND(INT(H39/100)&gt;=2,INT(H39/100)&lt;=3),"2-3F",IF(INT(H39/100)=4,"4F",IF(AND(INT(H39/100)&gt;=5,INT(H39/100)&lt;=6),"5-6F",IF(AND(INT(H39/100)&gt;=7,INT(H39/100)&lt;=8),"7-8F",IF(AND(INT(H39/100)&gt;=9,INT(H39/100)&lt;=10),"9-10F",IF(AND(INT(H39/100)&gt;=11,INT(H39/100)&lt;=12),"11-12F",IF(INT(H39/100)&gt;=13,"13以上F","")))))))))</f>
        <v>无</v>
      </c>
      <c r="U39" s="46">
        <f>VLOOKUP($T$1&amp;T39,【1】定价因子!E:F,2,0)</f>
        <v>1</v>
      </c>
      <c r="V39" s="46" t="str">
        <f>IF(COUNTIFS(户型资产表!E:E,I39,户型资产表!H:H,"操作台")&gt;0,"有","无")</f>
        <v>有</v>
      </c>
      <c r="W39" s="46" t="str">
        <f>IF(COUNTIFS(户型资产表!E:E,I39,户型资产表!H:H,"书桌")&gt;0,"有","无")</f>
        <v>有</v>
      </c>
      <c r="X39" s="46" t="str" cm="1">
        <f t="array" ref="X39">IF(SUMPRODUCT((户型资产表!E:E=I39)*((户型资产表!I:I="沙发01单人")+(户型资产表!I:I="单人沙发02")))&gt;0,"有","无")</f>
        <v>无</v>
      </c>
      <c r="Y39" s="46" t="str" cm="1">
        <f t="array" ref="Y39">IF(SUMPRODUCT((户型资产表!E:E=I39)*((户型资产表!I:I="沙发02两人")+(户型资产表!I:I="双人沙发01")))&gt;0,"有","无")</f>
        <v>无</v>
      </c>
      <c r="Z39" s="46" t="str">
        <f>IF(COUNTIFS(户型资产表!E:E,I39,户型资产表!H:H,"餐桌")&gt;0,"有","无")</f>
        <v>无</v>
      </c>
      <c r="AA39" s="46" t="str">
        <f>IF(COUNTIFS(户型资产表!E:E,I39,户型资产表!H:H,"吸油烟机")&gt;0,"有","无")</f>
        <v>无</v>
      </c>
      <c r="AB39" s="46" t="str">
        <f>IF(COUNTIFS(户型资产表!E:E,I39,户型资产表!H:H,"冰箱")&gt;0,"有","无")</f>
        <v>无</v>
      </c>
      <c r="AC39" s="46" t="str">
        <f>IF(COUNTIFS(户型资产表!E:E,I39,户型资产表!H:H,"电视柜")&gt;0,"有","无")</f>
        <v>无</v>
      </c>
      <c r="AD39" s="45" t="str">
        <f t="shared" si="18"/>
        <v>适中</v>
      </c>
      <c r="AE39" s="46">
        <f>VLOOKUP($AD$1&amp;AD39,【1】定价因子!E:F,2,0)</f>
        <v>1</v>
      </c>
      <c r="AF39" s="45" t="str">
        <f t="shared" si="19"/>
        <v>适中</v>
      </c>
      <c r="AG39" s="46">
        <f>VLOOKUP($AF$1&amp;AF39,【1】定价因子!E:F,2,0)</f>
        <v>1</v>
      </c>
      <c r="AH39" s="45" t="str">
        <f t="shared" si="20"/>
        <v>适中</v>
      </c>
      <c r="AI39" s="46">
        <f>VLOOKUP($AH$1&amp;AH39,【1】定价因子!E:F,2,0)</f>
        <v>1</v>
      </c>
      <c r="AJ39" s="46" t="str">
        <f>VLOOKUP(H39,'【3-1】大区填-采光基本要素'!A:H,8,0)</f>
        <v>2</v>
      </c>
      <c r="AK39" s="46">
        <f>VLOOKUP($AJ$1&amp;AJ39,【1】定价因子!E:F,2,0)</f>
        <v>0.96</v>
      </c>
      <c r="AL39" s="47">
        <f t="shared" si="21"/>
        <v>1347.1780608</v>
      </c>
      <c r="AM39" s="48">
        <f>AL39-80</f>
        <v>1267.1780608</v>
      </c>
      <c r="AN39" s="49">
        <f t="shared" si="22"/>
        <v>-0.0593833898634701</v>
      </c>
    </row>
    <row r="40" spans="1:40">
      <c r="A40" s="41" t="str">
        <f>'【2】运营中心填-基本信息&amp;审核标准'!$E$2</f>
        <v>福永一队9-16栋</v>
      </c>
      <c r="B40" s="13">
        <f t="shared" si="11"/>
        <v>8</v>
      </c>
      <c r="C40" s="13">
        <f t="shared" si="1"/>
        <v>5</v>
      </c>
      <c r="D40" s="13">
        <f t="shared" si="2"/>
        <v>40</v>
      </c>
      <c r="E40" s="13"/>
      <c r="F40" s="13">
        <f t="shared" si="3"/>
        <v>5</v>
      </c>
      <c r="G40" s="13"/>
      <c r="H40" s="42">
        <v>804</v>
      </c>
      <c r="I40" s="43" t="s">
        <v>493</v>
      </c>
      <c r="J40" s="43" t="s">
        <v>40</v>
      </c>
      <c r="K40" s="13" t="str" cm="1">
        <f t="array" ref="K40">IFERROR(INDEX($J$2:$J$41,MATCH(0,IF(ISBLANK($J$2:$J$41),1,COUNTIF($K$1:K39,$J$2:$J$41)),0)),"")</f>
        <v/>
      </c>
      <c r="L40" s="44">
        <f>VLOOKUP(J40,'【3】大区填-楼栋基准格局定价'!B:H,7,0)</f>
        <v>1508.936</v>
      </c>
      <c r="M40" s="45" t="str">
        <f t="shared" si="17"/>
        <v>较狭小</v>
      </c>
      <c r="N40" s="45">
        <v>12.39</v>
      </c>
      <c r="O40" s="46">
        <f>VLOOKUP($M$1&amp;M40,【1】定价因子!E:F,2,0)</f>
        <v>0.95</v>
      </c>
      <c r="P40" s="46" t="str">
        <f>IF(COUNTIFS(户型资产表!E:E,I40,户型资产表!H:H,"阳台门")&gt;0,"有","无")</f>
        <v>无</v>
      </c>
      <c r="Q40" s="46">
        <f>VLOOKUP($P$1&amp;P40,【1】定价因子!E:F,2,0)</f>
        <v>1</v>
      </c>
      <c r="R40" s="46" t="str">
        <f>IF('【2】运营中心填-基本信息&amp;审核标准'!$D$4="是","无",IF(INT(H40/100)&gt;9,"9F",INT(H40/100)&amp;"F"))</f>
        <v>8F</v>
      </c>
      <c r="S40" s="46">
        <f>VLOOKUP(R40,【1】定价因子!D:F,3,0)</f>
        <v>0.93</v>
      </c>
      <c r="T40" s="46" t="str">
        <f>IF('【2】运营中心填-基本信息&amp;审核标准'!$D$4="否","无",IF(INT(H40/100)=1,"1F",IF(AND(INT(H40/100)&gt;=2,INT(H40/100)&lt;=3),"2-3F",IF(INT(H40/100)=4,"4F",IF(AND(INT(H40/100)&gt;=5,INT(H40/100)&lt;=6),"5-6F",IF(AND(INT(H40/100)&gt;=7,INT(H40/100)&lt;=8),"7-8F",IF(AND(INT(H40/100)&gt;=9,INT(H40/100)&lt;=10),"9-10F",IF(AND(INT(H40/100)&gt;=11,INT(H40/100)&lt;=12),"11-12F",IF(INT(H40/100)&gt;=13,"13以上F","")))))))))</f>
        <v>无</v>
      </c>
      <c r="U40" s="46">
        <f>VLOOKUP($T$1&amp;T40,【1】定价因子!E:F,2,0)</f>
        <v>1</v>
      </c>
      <c r="V40" s="46" t="str">
        <f>IF(COUNTIFS(户型资产表!E:E,I40,户型资产表!H:H,"操作台")&gt;0,"有","无")</f>
        <v>有</v>
      </c>
      <c r="W40" s="46" t="str">
        <f>IF(COUNTIFS(户型资产表!E:E,I40,户型资产表!H:H,"书桌")&gt;0,"有","无")</f>
        <v>有</v>
      </c>
      <c r="X40" s="46" t="str" cm="1">
        <f t="array" ref="X40">IF(SUMPRODUCT((户型资产表!E:E=I40)*((户型资产表!I:I="沙发01单人")+(户型资产表!I:I="单人沙发02")))&gt;0,"有","无")</f>
        <v>无</v>
      </c>
      <c r="Y40" s="46" t="str" cm="1">
        <f t="array" ref="Y40">IF(SUMPRODUCT((户型资产表!E:E=I40)*((户型资产表!I:I="沙发02两人")+(户型资产表!I:I="双人沙发01")))&gt;0,"有","无")</f>
        <v>无</v>
      </c>
      <c r="Z40" s="46" t="str">
        <f>IF(COUNTIFS(户型资产表!E:E,I40,户型资产表!H:H,"餐桌")&gt;0,"有","无")</f>
        <v>无</v>
      </c>
      <c r="AA40" s="46" t="str">
        <f>IF(COUNTIFS(户型资产表!E:E,I40,户型资产表!H:H,"吸油烟机")&gt;0,"有","无")</f>
        <v>无</v>
      </c>
      <c r="AB40" s="46" t="str">
        <f>IF(COUNTIFS(户型资产表!E:E,I40,户型资产表!H:H,"冰箱")&gt;0,"有","无")</f>
        <v>无</v>
      </c>
      <c r="AC40" s="46" t="str">
        <f>IF(COUNTIFS(户型资产表!E:E,I40,户型资产表!H:H,"电视柜")&gt;0,"有","无")</f>
        <v>无</v>
      </c>
      <c r="AD40" s="45" t="str">
        <f t="shared" si="18"/>
        <v>适中</v>
      </c>
      <c r="AE40" s="46">
        <f>VLOOKUP($AD$1&amp;AD40,【1】定价因子!E:F,2,0)</f>
        <v>1</v>
      </c>
      <c r="AF40" s="45" t="str">
        <f t="shared" si="19"/>
        <v>适中</v>
      </c>
      <c r="AG40" s="46">
        <f>VLOOKUP($AF$1&amp;AF40,【1】定价因子!E:F,2,0)</f>
        <v>1</v>
      </c>
      <c r="AH40" s="45" t="str">
        <f t="shared" si="20"/>
        <v>适中</v>
      </c>
      <c r="AI40" s="46">
        <f>VLOOKUP($AH$1&amp;AH40,【1】定价因子!E:F,2,0)</f>
        <v>1</v>
      </c>
      <c r="AJ40" s="46" t="str">
        <f>VLOOKUP(H40,'【3-1】大区填-采光基本要素'!A:H,8,0)</f>
        <v>3</v>
      </c>
      <c r="AK40" s="46">
        <f>VLOOKUP($AJ$1&amp;AJ40,【1】定价因子!E:F,2,0)</f>
        <v>1</v>
      </c>
      <c r="AL40" s="47">
        <f t="shared" si="21"/>
        <v>1333.144956</v>
      </c>
      <c r="AM40" s="48">
        <f t="shared" si="10"/>
        <v>1258.144956</v>
      </c>
      <c r="AN40" s="49">
        <f t="shared" si="22"/>
        <v>-0.0562579482917085</v>
      </c>
    </row>
    <row r="41" spans="1:40">
      <c r="A41" s="41" t="str">
        <f>'【2】运营中心填-基本信息&amp;审核标准'!$E$2</f>
        <v>福永一队9-16栋</v>
      </c>
      <c r="B41" s="13">
        <f t="shared" si="11"/>
        <v>8</v>
      </c>
      <c r="C41" s="13">
        <f t="shared" si="1"/>
        <v>5</v>
      </c>
      <c r="D41" s="13">
        <f t="shared" si="2"/>
        <v>40</v>
      </c>
      <c r="E41" s="13"/>
      <c r="F41" s="13">
        <f t="shared" si="3"/>
        <v>5</v>
      </c>
      <c r="G41" s="13"/>
      <c r="H41" s="42">
        <v>805</v>
      </c>
      <c r="I41" s="43" t="s">
        <v>493</v>
      </c>
      <c r="J41" s="43" t="s">
        <v>40</v>
      </c>
      <c r="K41" s="13" t="str" cm="1">
        <f t="array" ref="K41">IFERROR(INDEX($J$2:$J$41,MATCH(0,IF(ISBLANK($J$2:$J$41),1,COUNTIF($K$1:K40,$J$2:$J$41)),0)),"")</f>
        <v/>
      </c>
      <c r="L41" s="44">
        <f>VLOOKUP(J41,'【3】大区填-楼栋基准格局定价'!B:H,7,0)</f>
        <v>1508.936</v>
      </c>
      <c r="M41" s="45" t="str">
        <f t="shared" si="17"/>
        <v>适中</v>
      </c>
      <c r="N41" s="45">
        <v>13</v>
      </c>
      <c r="O41" s="46">
        <f>VLOOKUP($M$1&amp;M41,【1】定价因子!E:F,2,0)</f>
        <v>1</v>
      </c>
      <c r="P41" s="46" t="str">
        <f>IF(COUNTIFS(户型资产表!E:E,I41,户型资产表!H:H,"阳台门")&gt;0,"有","无")</f>
        <v>无</v>
      </c>
      <c r="Q41" s="46">
        <f>VLOOKUP($P$1&amp;P41,【1】定价因子!E:F,2,0)</f>
        <v>1</v>
      </c>
      <c r="R41" s="46" t="str">
        <f>IF('【2】运营中心填-基本信息&amp;审核标准'!$D$4="是","无",IF(INT(H41/100)&gt;9,"9F",INT(H41/100)&amp;"F"))</f>
        <v>8F</v>
      </c>
      <c r="S41" s="46">
        <f>VLOOKUP(R41,【1】定价因子!D:F,3,0)</f>
        <v>0.93</v>
      </c>
      <c r="T41" s="46" t="str">
        <f>IF('【2】运营中心填-基本信息&amp;审核标准'!$D$4="否","无",IF(INT(H41/100)=1,"1F",IF(AND(INT(H41/100)&gt;=2,INT(H41/100)&lt;=3),"2-3F",IF(INT(H41/100)=4,"4F",IF(AND(INT(H41/100)&gt;=5,INT(H41/100)&lt;=6),"5-6F",IF(AND(INT(H41/100)&gt;=7,INT(H41/100)&lt;=8),"7-8F",IF(AND(INT(H41/100)&gt;=9,INT(H41/100)&lt;=10),"9-10F",IF(AND(INT(H41/100)&gt;=11,INT(H41/100)&lt;=12),"11-12F",IF(INT(H41/100)&gt;=13,"13以上F","")))))))))</f>
        <v>无</v>
      </c>
      <c r="U41" s="46">
        <f>VLOOKUP($T$1&amp;T41,【1】定价因子!E:F,2,0)</f>
        <v>1</v>
      </c>
      <c r="V41" s="46" t="str">
        <f>IF(COUNTIFS(户型资产表!E:E,I41,户型资产表!H:H,"操作台")&gt;0,"有","无")</f>
        <v>有</v>
      </c>
      <c r="W41" s="46" t="str">
        <f>IF(COUNTIFS(户型资产表!E:E,I41,户型资产表!H:H,"书桌")&gt;0,"有","无")</f>
        <v>有</v>
      </c>
      <c r="X41" s="46" t="str" cm="1">
        <f t="array" ref="X41">IF(SUMPRODUCT((户型资产表!E:E=I41)*((户型资产表!I:I="沙发01单人")+(户型资产表!I:I="单人沙发02")))&gt;0,"有","无")</f>
        <v>无</v>
      </c>
      <c r="Y41" s="46" t="str" cm="1">
        <f t="array" ref="Y41">IF(SUMPRODUCT((户型资产表!E:E=I41)*((户型资产表!I:I="沙发02两人")+(户型资产表!I:I="双人沙发01")))&gt;0,"有","无")</f>
        <v>无</v>
      </c>
      <c r="Z41" s="46" t="str">
        <f>IF(COUNTIFS(户型资产表!E:E,I41,户型资产表!H:H,"餐桌")&gt;0,"有","无")</f>
        <v>无</v>
      </c>
      <c r="AA41" s="46" t="str">
        <f>IF(COUNTIFS(户型资产表!E:E,I41,户型资产表!H:H,"吸油烟机")&gt;0,"有","无")</f>
        <v>无</v>
      </c>
      <c r="AB41" s="46" t="str">
        <f>IF(COUNTIFS(户型资产表!E:E,I41,户型资产表!H:H,"冰箱")&gt;0,"有","无")</f>
        <v>无</v>
      </c>
      <c r="AC41" s="46" t="str">
        <f>IF(COUNTIFS(户型资产表!E:E,I41,户型资产表!H:H,"电视柜")&gt;0,"有","无")</f>
        <v>无</v>
      </c>
      <c r="AD41" s="45" t="str">
        <f t="shared" si="18"/>
        <v>适中</v>
      </c>
      <c r="AE41" s="46">
        <f>VLOOKUP($AD$1&amp;AD41,【1】定价因子!E:F,2,0)</f>
        <v>1</v>
      </c>
      <c r="AF41" s="45" t="str">
        <f t="shared" si="19"/>
        <v>适中</v>
      </c>
      <c r="AG41" s="46">
        <f>VLOOKUP($AF$1&amp;AF41,【1】定价因子!E:F,2,0)</f>
        <v>1</v>
      </c>
      <c r="AH41" s="45" t="str">
        <f t="shared" si="20"/>
        <v>适中</v>
      </c>
      <c r="AI41" s="46">
        <f>VLOOKUP($AH$1&amp;AH41,【1】定价因子!E:F,2,0)</f>
        <v>1</v>
      </c>
      <c r="AJ41" s="46" t="str">
        <f>VLOOKUP(H41,'【3-1】大区填-采光基本要素'!A:H,8,0)</f>
        <v>3</v>
      </c>
      <c r="AK41" s="46">
        <f>VLOOKUP($AJ$1&amp;AJ41,【1】定价因子!E:F,2,0)</f>
        <v>1</v>
      </c>
      <c r="AL41" s="47">
        <f t="shared" si="21"/>
        <v>1403.31048</v>
      </c>
      <c r="AM41" s="48">
        <f t="shared" si="10"/>
        <v>1328.31048</v>
      </c>
      <c r="AN41" s="49">
        <f t="shared" si="22"/>
        <v>-0.053445050877123</v>
      </c>
    </row>
  </sheetData>
  <autoFilter xmlns:etc="http://www.wps.cn/officeDocument/2017/etCustomData" ref="A1:AN41" etc:filterBottomFollowUsedRange="0">
    <extLst/>
  </autoFilter>
  <dataValidations count="1">
    <dataValidation type="list" allowBlank="1" showInputMessage="1" showErrorMessage="1" sqref="AJ1">
      <formula1>目录!$A$9:$A$16</formula1>
    </dataValidation>
  </dataValidation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T396"/>
  <sheetViews>
    <sheetView workbookViewId="0">
      <selection activeCell="C20" sqref="C20"/>
    </sheetView>
  </sheetViews>
  <sheetFormatPr defaultColWidth="9.08333333333333" defaultRowHeight="14.25"/>
  <sheetData>
    <row r="1" spans="1:20">
      <c r="A1" t="s">
        <v>494</v>
      </c>
      <c r="E1" t="s">
        <v>495</v>
      </c>
      <c r="H1" t="s">
        <v>496</v>
      </c>
      <c r="K1" t="s">
        <v>497</v>
      </c>
      <c r="Q1" t="s">
        <v>498</v>
      </c>
    </row>
    <row r="2" spans="1:20">
      <c r="B2" t="s">
        <v>499</v>
      </c>
    </row>
    <row r="3" spans="1:20">
      <c r="B3" t="s">
        <v>25</v>
      </c>
      <c r="C3" t="s">
        <v>500</v>
      </c>
      <c r="D3" t="s">
        <v>501</v>
      </c>
      <c r="E3" t="s">
        <v>502</v>
      </c>
      <c r="F3" t="s">
        <v>503</v>
      </c>
      <c r="G3" t="s">
        <v>504</v>
      </c>
      <c r="H3" t="s">
        <v>505</v>
      </c>
      <c r="I3" t="s">
        <v>506</v>
      </c>
      <c r="J3" t="s">
        <v>507</v>
      </c>
      <c r="K3" t="s">
        <v>508</v>
      </c>
      <c r="L3" t="s">
        <v>509</v>
      </c>
      <c r="M3" t="s">
        <v>510</v>
      </c>
      <c r="N3" t="s">
        <v>511</v>
      </c>
      <c r="O3" t="s">
        <v>512</v>
      </c>
      <c r="P3" t="s">
        <v>513</v>
      </c>
      <c r="Q3" t="s">
        <v>337</v>
      </c>
      <c r="R3" t="s">
        <v>514</v>
      </c>
      <c r="S3" t="s">
        <v>515</v>
      </c>
      <c r="T3" t="s">
        <v>516</v>
      </c>
    </row>
    <row r="4" spans="1:20">
      <c r="B4" t="s">
        <v>517</v>
      </c>
      <c r="L4" t="s">
        <v>518</v>
      </c>
    </row>
    <row r="5" spans="1:20">
      <c r="B5">
        <v>1</v>
      </c>
      <c r="C5" s="28" t="s">
        <v>519</v>
      </c>
      <c r="D5" s="28" t="s">
        <v>520</v>
      </c>
      <c r="E5" t="s">
        <v>492</v>
      </c>
      <c r="F5" t="s">
        <v>521</v>
      </c>
      <c r="G5" t="s">
        <v>522</v>
      </c>
      <c r="H5" t="s">
        <v>523</v>
      </c>
      <c r="I5" t="s">
        <v>524</v>
      </c>
      <c r="K5" t="s">
        <v>525</v>
      </c>
      <c r="L5" t="s">
        <v>518</v>
      </c>
      <c r="M5" t="s">
        <v>526</v>
      </c>
      <c r="N5" t="s">
        <v>527</v>
      </c>
      <c r="O5" t="s">
        <v>526</v>
      </c>
      <c r="P5">
        <v>1</v>
      </c>
      <c r="Q5" t="s">
        <v>528</v>
      </c>
      <c r="R5">
        <v>920</v>
      </c>
    </row>
    <row r="6" spans="1:20">
      <c r="B6">
        <v>2</v>
      </c>
      <c r="C6" s="28" t="s">
        <v>519</v>
      </c>
      <c r="D6" s="28" t="s">
        <v>520</v>
      </c>
      <c r="E6" t="s">
        <v>492</v>
      </c>
      <c r="F6" t="s">
        <v>521</v>
      </c>
      <c r="G6" t="s">
        <v>522</v>
      </c>
      <c r="H6" t="s">
        <v>529</v>
      </c>
      <c r="I6" t="s">
        <v>530</v>
      </c>
      <c r="K6" t="s">
        <v>531</v>
      </c>
      <c r="L6" t="s">
        <v>518</v>
      </c>
      <c r="M6" t="s">
        <v>526</v>
      </c>
      <c r="N6" t="s">
        <v>532</v>
      </c>
      <c r="O6" t="s">
        <v>526</v>
      </c>
      <c r="P6">
        <v>1</v>
      </c>
      <c r="Q6" t="s">
        <v>533</v>
      </c>
      <c r="R6">
        <v>380</v>
      </c>
    </row>
    <row r="7" spans="1:20">
      <c r="B7">
        <v>3</v>
      </c>
      <c r="C7" s="28" t="s">
        <v>519</v>
      </c>
      <c r="D7" s="28" t="s">
        <v>520</v>
      </c>
      <c r="E7" t="s">
        <v>492</v>
      </c>
      <c r="F7" t="s">
        <v>521</v>
      </c>
      <c r="G7" t="s">
        <v>534</v>
      </c>
      <c r="H7" t="s">
        <v>535</v>
      </c>
      <c r="I7" t="s">
        <v>536</v>
      </c>
      <c r="K7" t="s">
        <v>537</v>
      </c>
      <c r="L7" t="s">
        <v>518</v>
      </c>
      <c r="M7" t="s">
        <v>526</v>
      </c>
      <c r="N7" t="s">
        <v>538</v>
      </c>
      <c r="O7" t="s">
        <v>526</v>
      </c>
      <c r="P7">
        <v>1</v>
      </c>
      <c r="Q7" t="s">
        <v>539</v>
      </c>
      <c r="R7">
        <v>14</v>
      </c>
    </row>
    <row r="8" spans="1:20">
      <c r="B8">
        <v>4</v>
      </c>
      <c r="C8" s="28" t="s">
        <v>519</v>
      </c>
      <c r="D8" s="28" t="s">
        <v>520</v>
      </c>
      <c r="E8" t="s">
        <v>492</v>
      </c>
      <c r="F8" t="s">
        <v>521</v>
      </c>
      <c r="G8" t="s">
        <v>534</v>
      </c>
      <c r="H8" t="s">
        <v>540</v>
      </c>
      <c r="I8" t="s">
        <v>541</v>
      </c>
      <c r="K8" t="s">
        <v>542</v>
      </c>
      <c r="L8" t="s">
        <v>518</v>
      </c>
      <c r="M8" t="s">
        <v>526</v>
      </c>
      <c r="N8" t="s">
        <v>543</v>
      </c>
      <c r="O8" t="s">
        <v>526</v>
      </c>
      <c r="P8">
        <v>1</v>
      </c>
      <c r="Q8" t="s">
        <v>539</v>
      </c>
      <c r="R8">
        <v>33</v>
      </c>
    </row>
    <row r="9" spans="1:20">
      <c r="B9">
        <v>5</v>
      </c>
      <c r="C9" s="28" t="s">
        <v>519</v>
      </c>
      <c r="D9" s="28" t="s">
        <v>520</v>
      </c>
      <c r="E9" t="s">
        <v>492</v>
      </c>
      <c r="F9" t="s">
        <v>544</v>
      </c>
      <c r="G9" t="s">
        <v>545</v>
      </c>
      <c r="H9" t="s">
        <v>546</v>
      </c>
      <c r="I9" t="s">
        <v>547</v>
      </c>
      <c r="K9" t="s">
        <v>548</v>
      </c>
      <c r="L9" t="s">
        <v>518</v>
      </c>
      <c r="M9" t="s">
        <v>526</v>
      </c>
      <c r="N9" t="s">
        <v>549</v>
      </c>
      <c r="O9" t="s">
        <v>526</v>
      </c>
      <c r="P9">
        <v>1</v>
      </c>
      <c r="Q9" t="s">
        <v>539</v>
      </c>
      <c r="R9">
        <v>0</v>
      </c>
    </row>
    <row r="10" spans="1:20">
      <c r="B10">
        <v>6</v>
      </c>
      <c r="C10" s="28" t="s">
        <v>519</v>
      </c>
      <c r="D10" s="28" t="s">
        <v>520</v>
      </c>
      <c r="E10" t="s">
        <v>492</v>
      </c>
      <c r="F10" t="s">
        <v>544</v>
      </c>
      <c r="G10" t="s">
        <v>550</v>
      </c>
      <c r="H10" t="s">
        <v>551</v>
      </c>
      <c r="I10" t="s">
        <v>552</v>
      </c>
      <c r="K10" t="s">
        <v>553</v>
      </c>
      <c r="L10" t="s">
        <v>518</v>
      </c>
      <c r="M10" t="s">
        <v>526</v>
      </c>
      <c r="N10" t="s">
        <v>554</v>
      </c>
      <c r="O10" t="s">
        <v>526</v>
      </c>
      <c r="P10">
        <v>1</v>
      </c>
      <c r="Q10" t="s">
        <v>539</v>
      </c>
      <c r="R10">
        <v>223</v>
      </c>
    </row>
    <row r="11" spans="1:20">
      <c r="B11">
        <v>27</v>
      </c>
      <c r="C11" s="28" t="s">
        <v>519</v>
      </c>
      <c r="D11" s="28" t="s">
        <v>520</v>
      </c>
      <c r="E11" t="s">
        <v>492</v>
      </c>
      <c r="F11" t="s">
        <v>544</v>
      </c>
      <c r="G11" t="s">
        <v>550</v>
      </c>
      <c r="H11" t="s">
        <v>555</v>
      </c>
      <c r="I11" t="s">
        <v>556</v>
      </c>
      <c r="K11" t="s">
        <v>557</v>
      </c>
      <c r="L11" t="s">
        <v>518</v>
      </c>
      <c r="M11" t="s">
        <v>526</v>
      </c>
      <c r="N11" t="s">
        <v>526</v>
      </c>
      <c r="O11" t="s">
        <v>526</v>
      </c>
      <c r="P11">
        <v>1</v>
      </c>
      <c r="Q11" t="s">
        <v>558</v>
      </c>
      <c r="R11">
        <v>640</v>
      </c>
    </row>
    <row r="12" spans="1:20">
      <c r="B12">
        <v>27</v>
      </c>
      <c r="C12" s="28" t="s">
        <v>519</v>
      </c>
      <c r="D12" s="28" t="s">
        <v>520</v>
      </c>
      <c r="E12" t="s">
        <v>492</v>
      </c>
      <c r="F12" t="s">
        <v>544</v>
      </c>
      <c r="G12" t="s">
        <v>550</v>
      </c>
      <c r="H12" t="s">
        <v>559</v>
      </c>
      <c r="I12" t="s">
        <v>560</v>
      </c>
      <c r="K12" t="s">
        <v>561</v>
      </c>
      <c r="L12" t="s">
        <v>518</v>
      </c>
      <c r="M12" t="s">
        <v>526</v>
      </c>
      <c r="N12" t="s">
        <v>526</v>
      </c>
      <c r="O12" t="s">
        <v>526</v>
      </c>
      <c r="P12">
        <v>1</v>
      </c>
      <c r="Q12" t="s">
        <v>558</v>
      </c>
      <c r="R12">
        <v>425</v>
      </c>
    </row>
    <row r="13" spans="1:20">
      <c r="B13">
        <v>27</v>
      </c>
      <c r="C13" s="28" t="s">
        <v>519</v>
      </c>
      <c r="D13" s="28" t="s">
        <v>520</v>
      </c>
      <c r="E13" t="s">
        <v>492</v>
      </c>
      <c r="F13" t="s">
        <v>544</v>
      </c>
      <c r="G13" t="s">
        <v>550</v>
      </c>
      <c r="H13" t="s">
        <v>562</v>
      </c>
      <c r="I13" t="s">
        <v>563</v>
      </c>
      <c r="K13" t="s">
        <v>564</v>
      </c>
      <c r="L13" t="s">
        <v>518</v>
      </c>
      <c r="M13" t="s">
        <v>526</v>
      </c>
      <c r="N13" t="s">
        <v>565</v>
      </c>
      <c r="O13" t="s">
        <v>526</v>
      </c>
      <c r="P13">
        <v>1</v>
      </c>
      <c r="Q13" t="s">
        <v>539</v>
      </c>
      <c r="R13">
        <v>959</v>
      </c>
    </row>
    <row r="14" spans="1:20">
      <c r="B14">
        <v>10</v>
      </c>
      <c r="C14" s="28" t="s">
        <v>519</v>
      </c>
      <c r="D14" s="28" t="s">
        <v>520</v>
      </c>
      <c r="E14" t="s">
        <v>492</v>
      </c>
      <c r="F14" t="s">
        <v>544</v>
      </c>
      <c r="G14" t="s">
        <v>566</v>
      </c>
      <c r="H14" t="s">
        <v>567</v>
      </c>
      <c r="I14" t="s">
        <v>568</v>
      </c>
      <c r="K14" t="s">
        <v>569</v>
      </c>
      <c r="L14" t="s">
        <v>518</v>
      </c>
      <c r="M14" t="s">
        <v>526</v>
      </c>
      <c r="N14" t="s">
        <v>526</v>
      </c>
      <c r="O14" t="s">
        <v>526</v>
      </c>
      <c r="P14">
        <v>1</v>
      </c>
      <c r="Q14" t="s">
        <v>539</v>
      </c>
      <c r="R14">
        <v>1680</v>
      </c>
    </row>
    <row r="15" spans="1:20">
      <c r="B15">
        <v>11</v>
      </c>
      <c r="C15" s="28" t="s">
        <v>519</v>
      </c>
      <c r="D15" s="28" t="s">
        <v>520</v>
      </c>
      <c r="E15" t="s">
        <v>492</v>
      </c>
      <c r="F15" t="s">
        <v>544</v>
      </c>
      <c r="G15" t="s">
        <v>566</v>
      </c>
      <c r="H15" t="s">
        <v>570</v>
      </c>
      <c r="I15" t="s">
        <v>571</v>
      </c>
      <c r="K15" t="s">
        <v>572</v>
      </c>
      <c r="L15" t="s">
        <v>518</v>
      </c>
      <c r="M15" t="s">
        <v>526</v>
      </c>
      <c r="N15" t="s">
        <v>573</v>
      </c>
      <c r="O15" t="s">
        <v>526</v>
      </c>
      <c r="P15">
        <v>1</v>
      </c>
      <c r="Q15" t="s">
        <v>539</v>
      </c>
      <c r="R15">
        <v>10</v>
      </c>
    </row>
    <row r="16" spans="1:20">
      <c r="B16">
        <v>12</v>
      </c>
      <c r="C16" s="28" t="s">
        <v>519</v>
      </c>
      <c r="D16" s="28" t="s">
        <v>520</v>
      </c>
      <c r="E16" t="s">
        <v>492</v>
      </c>
      <c r="F16" t="s">
        <v>544</v>
      </c>
      <c r="G16" t="s">
        <v>574</v>
      </c>
      <c r="H16" t="s">
        <v>575</v>
      </c>
      <c r="I16" t="s">
        <v>576</v>
      </c>
      <c r="K16" t="s">
        <v>577</v>
      </c>
      <c r="L16" t="s">
        <v>518</v>
      </c>
      <c r="M16" t="s">
        <v>526</v>
      </c>
      <c r="N16" t="s">
        <v>578</v>
      </c>
      <c r="O16" t="s">
        <v>526</v>
      </c>
      <c r="P16">
        <v>1</v>
      </c>
      <c r="Q16" t="s">
        <v>539</v>
      </c>
      <c r="R16">
        <v>74</v>
      </c>
    </row>
    <row r="17" spans="2:18">
      <c r="B17">
        <v>13</v>
      </c>
      <c r="C17" s="28" t="s">
        <v>519</v>
      </c>
      <c r="D17" s="28" t="s">
        <v>520</v>
      </c>
      <c r="E17" t="s">
        <v>492</v>
      </c>
      <c r="F17" t="s">
        <v>544</v>
      </c>
      <c r="G17" t="s">
        <v>545</v>
      </c>
      <c r="H17" t="s">
        <v>579</v>
      </c>
      <c r="I17" t="s">
        <v>580</v>
      </c>
      <c r="K17" t="s">
        <v>581</v>
      </c>
      <c r="L17" t="s">
        <v>518</v>
      </c>
      <c r="M17" t="s">
        <v>526</v>
      </c>
      <c r="N17" t="s">
        <v>582</v>
      </c>
      <c r="O17" t="s">
        <v>526</v>
      </c>
      <c r="P17">
        <v>1</v>
      </c>
      <c r="Q17" t="s">
        <v>539</v>
      </c>
      <c r="R17">
        <v>84</v>
      </c>
    </row>
    <row r="18" spans="2:18">
      <c r="B18">
        <v>14</v>
      </c>
      <c r="C18" s="28" t="s">
        <v>519</v>
      </c>
      <c r="D18" s="28" t="s">
        <v>520</v>
      </c>
      <c r="E18" t="s">
        <v>492</v>
      </c>
      <c r="F18" t="s">
        <v>544</v>
      </c>
      <c r="G18" t="s">
        <v>583</v>
      </c>
      <c r="H18" t="s">
        <v>584</v>
      </c>
      <c r="I18" t="s">
        <v>585</v>
      </c>
      <c r="K18" t="s">
        <v>586</v>
      </c>
      <c r="L18" t="s">
        <v>518</v>
      </c>
      <c r="M18" t="s">
        <v>526</v>
      </c>
      <c r="N18" t="s">
        <v>587</v>
      </c>
      <c r="O18" t="s">
        <v>526</v>
      </c>
      <c r="P18">
        <v>1</v>
      </c>
      <c r="Q18" t="s">
        <v>539</v>
      </c>
      <c r="R18">
        <v>165</v>
      </c>
    </row>
    <row r="19" spans="2:18">
      <c r="B19">
        <v>15</v>
      </c>
      <c r="C19" s="28" t="s">
        <v>519</v>
      </c>
      <c r="D19" s="28" t="s">
        <v>520</v>
      </c>
      <c r="E19" t="s">
        <v>492</v>
      </c>
      <c r="F19" t="s">
        <v>544</v>
      </c>
      <c r="G19" t="s">
        <v>550</v>
      </c>
      <c r="H19" t="s">
        <v>588</v>
      </c>
      <c r="I19" t="s">
        <v>589</v>
      </c>
      <c r="K19" t="s">
        <v>590</v>
      </c>
      <c r="L19" t="s">
        <v>518</v>
      </c>
      <c r="M19" t="s">
        <v>526</v>
      </c>
      <c r="N19" t="s">
        <v>526</v>
      </c>
      <c r="O19" t="s">
        <v>526</v>
      </c>
      <c r="P19">
        <v>1</v>
      </c>
      <c r="Q19" t="s">
        <v>539</v>
      </c>
      <c r="R19">
        <v>43</v>
      </c>
    </row>
    <row r="20" spans="2:18">
      <c r="B20">
        <v>16</v>
      </c>
      <c r="C20" s="28" t="s">
        <v>519</v>
      </c>
      <c r="D20" s="28" t="s">
        <v>520</v>
      </c>
      <c r="E20" t="s">
        <v>492</v>
      </c>
      <c r="F20" t="s">
        <v>544</v>
      </c>
      <c r="G20" t="s">
        <v>591</v>
      </c>
      <c r="H20" t="s">
        <v>592</v>
      </c>
      <c r="I20" t="s">
        <v>593</v>
      </c>
      <c r="K20" t="s">
        <v>594</v>
      </c>
      <c r="L20" t="s">
        <v>518</v>
      </c>
      <c r="M20" t="s">
        <v>526</v>
      </c>
      <c r="N20" t="s">
        <v>582</v>
      </c>
      <c r="O20" t="s">
        <v>526</v>
      </c>
      <c r="P20">
        <v>1</v>
      </c>
      <c r="Q20" t="s">
        <v>539</v>
      </c>
      <c r="R20">
        <v>425</v>
      </c>
    </row>
    <row r="21" spans="2:18">
      <c r="B21">
        <v>17</v>
      </c>
      <c r="C21" s="28" t="s">
        <v>519</v>
      </c>
      <c r="D21" s="28" t="s">
        <v>520</v>
      </c>
      <c r="E21" t="s">
        <v>492</v>
      </c>
      <c r="F21" t="s">
        <v>544</v>
      </c>
      <c r="G21" t="s">
        <v>550</v>
      </c>
      <c r="H21" t="s">
        <v>595</v>
      </c>
      <c r="I21" t="s">
        <v>596</v>
      </c>
      <c r="K21" t="s">
        <v>597</v>
      </c>
      <c r="L21" t="s">
        <v>518</v>
      </c>
      <c r="M21" t="s">
        <v>526</v>
      </c>
      <c r="N21" t="s">
        <v>598</v>
      </c>
      <c r="O21" t="s">
        <v>526</v>
      </c>
      <c r="P21">
        <v>1</v>
      </c>
      <c r="Q21" t="s">
        <v>539</v>
      </c>
      <c r="R21">
        <v>77</v>
      </c>
    </row>
    <row r="22" spans="2:18">
      <c r="B22">
        <v>18</v>
      </c>
      <c r="C22" s="28" t="s">
        <v>519</v>
      </c>
      <c r="D22" s="28" t="s">
        <v>520</v>
      </c>
      <c r="E22" t="s">
        <v>492</v>
      </c>
      <c r="F22" t="s">
        <v>544</v>
      </c>
      <c r="G22" t="s">
        <v>522</v>
      </c>
      <c r="H22" t="s">
        <v>599</v>
      </c>
      <c r="I22" t="s">
        <v>600</v>
      </c>
      <c r="K22" t="s">
        <v>601</v>
      </c>
      <c r="L22" t="s">
        <v>518</v>
      </c>
      <c r="M22" t="s">
        <v>526</v>
      </c>
      <c r="N22" t="s">
        <v>602</v>
      </c>
      <c r="O22" t="s">
        <v>526</v>
      </c>
      <c r="P22">
        <v>2</v>
      </c>
      <c r="Q22" t="s">
        <v>603</v>
      </c>
      <c r="R22">
        <v>415</v>
      </c>
    </row>
    <row r="23" spans="2:18">
      <c r="B23">
        <v>33</v>
      </c>
      <c r="C23" s="28" t="s">
        <v>519</v>
      </c>
      <c r="D23" s="28" t="s">
        <v>520</v>
      </c>
      <c r="E23" t="s">
        <v>492</v>
      </c>
      <c r="F23" t="s">
        <v>544</v>
      </c>
      <c r="G23" t="s">
        <v>604</v>
      </c>
      <c r="H23" t="s">
        <v>605</v>
      </c>
      <c r="I23" t="s">
        <v>606</v>
      </c>
      <c r="K23" t="s">
        <v>607</v>
      </c>
      <c r="L23" t="s">
        <v>518</v>
      </c>
      <c r="M23" t="s">
        <v>526</v>
      </c>
      <c r="N23" t="s">
        <v>608</v>
      </c>
      <c r="O23" t="s">
        <v>526</v>
      </c>
      <c r="P23">
        <v>1</v>
      </c>
      <c r="Q23" t="s">
        <v>609</v>
      </c>
      <c r="R23">
        <v>53</v>
      </c>
    </row>
    <row r="24" spans="2:18">
      <c r="B24">
        <v>33</v>
      </c>
      <c r="C24" s="28" t="s">
        <v>519</v>
      </c>
      <c r="D24" s="28" t="s">
        <v>520</v>
      </c>
      <c r="E24" t="s">
        <v>492</v>
      </c>
      <c r="F24" t="s">
        <v>544</v>
      </c>
      <c r="G24" t="s">
        <v>604</v>
      </c>
      <c r="H24" t="s">
        <v>605</v>
      </c>
      <c r="I24" t="s">
        <v>610</v>
      </c>
      <c r="K24" t="s">
        <v>611</v>
      </c>
      <c r="L24" t="s">
        <v>518</v>
      </c>
      <c r="M24" t="s">
        <v>526</v>
      </c>
      <c r="N24" t="s">
        <v>608</v>
      </c>
      <c r="O24" t="s">
        <v>526</v>
      </c>
      <c r="P24">
        <v>1</v>
      </c>
      <c r="Q24" t="s">
        <v>612</v>
      </c>
      <c r="R24">
        <v>77</v>
      </c>
    </row>
    <row r="25" spans="2:18">
      <c r="B25">
        <v>19</v>
      </c>
      <c r="C25" s="28" t="s">
        <v>519</v>
      </c>
      <c r="D25" s="28" t="s">
        <v>520</v>
      </c>
      <c r="E25" t="s">
        <v>492</v>
      </c>
      <c r="F25" t="s">
        <v>544</v>
      </c>
      <c r="G25" t="s">
        <v>550</v>
      </c>
      <c r="H25" t="s">
        <v>477</v>
      </c>
      <c r="I25" t="s">
        <v>613</v>
      </c>
      <c r="K25" t="s">
        <v>614</v>
      </c>
      <c r="L25" t="s">
        <v>518</v>
      </c>
      <c r="M25" t="s">
        <v>526</v>
      </c>
      <c r="N25" t="s">
        <v>615</v>
      </c>
      <c r="O25" t="s">
        <v>526</v>
      </c>
      <c r="P25">
        <v>1</v>
      </c>
      <c r="Q25" t="s">
        <v>616</v>
      </c>
      <c r="R25">
        <v>53</v>
      </c>
    </row>
    <row r="26" spans="2:18">
      <c r="B26">
        <v>19</v>
      </c>
      <c r="C26" s="28" t="s">
        <v>519</v>
      </c>
      <c r="D26" s="28" t="s">
        <v>520</v>
      </c>
      <c r="E26" t="s">
        <v>492</v>
      </c>
      <c r="F26" t="s">
        <v>544</v>
      </c>
      <c r="G26" t="s">
        <v>583</v>
      </c>
      <c r="H26" t="s">
        <v>617</v>
      </c>
      <c r="I26" t="s">
        <v>618</v>
      </c>
      <c r="K26" t="s">
        <v>619</v>
      </c>
      <c r="L26" t="s">
        <v>518</v>
      </c>
      <c r="M26" t="s">
        <v>526</v>
      </c>
      <c r="N26" t="s">
        <v>620</v>
      </c>
      <c r="O26" t="s">
        <v>526</v>
      </c>
      <c r="P26">
        <v>1</v>
      </c>
      <c r="Q26" t="s">
        <v>539</v>
      </c>
      <c r="R26">
        <v>81</v>
      </c>
    </row>
    <row r="27" spans="2:18">
      <c r="B27">
        <v>20</v>
      </c>
      <c r="C27" s="28" t="s">
        <v>519</v>
      </c>
      <c r="D27" s="28" t="s">
        <v>520</v>
      </c>
      <c r="E27" t="s">
        <v>492</v>
      </c>
      <c r="F27" t="s">
        <v>544</v>
      </c>
      <c r="G27" t="s">
        <v>550</v>
      </c>
      <c r="H27" t="s">
        <v>478</v>
      </c>
      <c r="I27" t="s">
        <v>621</v>
      </c>
      <c r="K27" t="s">
        <v>622</v>
      </c>
      <c r="L27" t="s">
        <v>518</v>
      </c>
      <c r="M27" t="s">
        <v>526</v>
      </c>
      <c r="N27" t="s">
        <v>526</v>
      </c>
      <c r="O27" t="s">
        <v>526</v>
      </c>
      <c r="P27">
        <v>1</v>
      </c>
      <c r="Q27" t="s">
        <v>623</v>
      </c>
      <c r="R27">
        <v>1086</v>
      </c>
    </row>
    <row r="28" spans="2:18">
      <c r="B28">
        <v>24</v>
      </c>
      <c r="C28" s="28" t="s">
        <v>519</v>
      </c>
      <c r="D28" s="28" t="s">
        <v>520</v>
      </c>
      <c r="E28" t="s">
        <v>492</v>
      </c>
      <c r="F28" t="s">
        <v>544</v>
      </c>
      <c r="G28" t="s">
        <v>550</v>
      </c>
      <c r="H28" t="s">
        <v>624</v>
      </c>
      <c r="I28" t="s">
        <v>625</v>
      </c>
      <c r="K28" t="s">
        <v>626</v>
      </c>
      <c r="L28" t="s">
        <v>518</v>
      </c>
      <c r="M28" t="s">
        <v>526</v>
      </c>
      <c r="N28" t="s">
        <v>526</v>
      </c>
      <c r="O28" t="s">
        <v>526</v>
      </c>
      <c r="P28">
        <v>1</v>
      </c>
      <c r="Q28" t="s">
        <v>539</v>
      </c>
      <c r="R28">
        <v>41</v>
      </c>
    </row>
    <row r="29" spans="2:18">
      <c r="B29">
        <v>26</v>
      </c>
      <c r="C29" s="28" t="s">
        <v>519</v>
      </c>
      <c r="D29" s="28" t="s">
        <v>520</v>
      </c>
      <c r="E29" t="s">
        <v>492</v>
      </c>
      <c r="F29" t="s">
        <v>544</v>
      </c>
      <c r="G29" t="s">
        <v>550</v>
      </c>
      <c r="H29" t="s">
        <v>627</v>
      </c>
      <c r="I29" t="s">
        <v>628</v>
      </c>
      <c r="K29" t="s">
        <v>629</v>
      </c>
      <c r="L29" t="s">
        <v>518</v>
      </c>
      <c r="M29" t="s">
        <v>526</v>
      </c>
      <c r="N29" t="s">
        <v>630</v>
      </c>
      <c r="O29" t="s">
        <v>526</v>
      </c>
      <c r="P29">
        <v>1</v>
      </c>
      <c r="Q29" t="s">
        <v>558</v>
      </c>
      <c r="R29">
        <v>331</v>
      </c>
    </row>
    <row r="30" spans="2:18">
      <c r="B30">
        <v>27</v>
      </c>
      <c r="C30" s="28" t="s">
        <v>519</v>
      </c>
      <c r="D30" s="28" t="s">
        <v>520</v>
      </c>
      <c r="E30" t="s">
        <v>492</v>
      </c>
      <c r="F30" t="s">
        <v>631</v>
      </c>
      <c r="G30" t="s">
        <v>522</v>
      </c>
      <c r="H30" t="s">
        <v>632</v>
      </c>
      <c r="I30" t="s">
        <v>633</v>
      </c>
      <c r="K30" t="s">
        <v>634</v>
      </c>
      <c r="L30" t="s">
        <v>518</v>
      </c>
      <c r="M30" t="s">
        <v>526</v>
      </c>
      <c r="N30" t="s">
        <v>635</v>
      </c>
      <c r="O30" t="s">
        <v>526</v>
      </c>
      <c r="P30">
        <v>1</v>
      </c>
      <c r="Q30" t="s">
        <v>533</v>
      </c>
      <c r="R30">
        <v>92</v>
      </c>
    </row>
    <row r="31" spans="2:18">
      <c r="B31">
        <v>33</v>
      </c>
      <c r="C31" s="28" t="s">
        <v>519</v>
      </c>
      <c r="D31" s="28" t="s">
        <v>520</v>
      </c>
      <c r="E31" t="s">
        <v>492</v>
      </c>
      <c r="F31" t="s">
        <v>631</v>
      </c>
      <c r="G31" t="s">
        <v>566</v>
      </c>
      <c r="H31" t="s">
        <v>636</v>
      </c>
      <c r="I31" t="s">
        <v>637</v>
      </c>
      <c r="K31" t="s">
        <v>638</v>
      </c>
      <c r="L31" t="s">
        <v>518</v>
      </c>
      <c r="M31" t="s">
        <v>526</v>
      </c>
      <c r="N31" t="s">
        <v>526</v>
      </c>
      <c r="O31" t="s">
        <v>526</v>
      </c>
      <c r="P31">
        <v>1</v>
      </c>
      <c r="Q31" t="s">
        <v>639</v>
      </c>
      <c r="R31">
        <v>58</v>
      </c>
    </row>
    <row r="32" spans="2:18">
      <c r="B32">
        <v>39</v>
      </c>
      <c r="C32" s="28" t="s">
        <v>519</v>
      </c>
      <c r="D32" s="28" t="s">
        <v>520</v>
      </c>
      <c r="E32" t="s">
        <v>492</v>
      </c>
      <c r="F32" t="s">
        <v>631</v>
      </c>
      <c r="G32" t="s">
        <v>550</v>
      </c>
      <c r="H32" t="s">
        <v>640</v>
      </c>
      <c r="I32" t="s">
        <v>641</v>
      </c>
      <c r="K32" t="s">
        <v>642</v>
      </c>
      <c r="L32" t="s">
        <v>518</v>
      </c>
      <c r="M32" t="s">
        <v>526</v>
      </c>
      <c r="N32" t="s">
        <v>526</v>
      </c>
      <c r="O32" t="s">
        <v>526</v>
      </c>
      <c r="P32">
        <v>1</v>
      </c>
      <c r="Q32" t="s">
        <v>539</v>
      </c>
      <c r="R32">
        <v>507</v>
      </c>
    </row>
    <row r="33" spans="2:18">
      <c r="B33">
        <v>45</v>
      </c>
      <c r="C33" s="28" t="s">
        <v>519</v>
      </c>
      <c r="D33" s="28" t="s">
        <v>520</v>
      </c>
      <c r="E33" t="s">
        <v>492</v>
      </c>
      <c r="F33" t="s">
        <v>631</v>
      </c>
      <c r="G33" t="s">
        <v>574</v>
      </c>
      <c r="H33" t="s">
        <v>643</v>
      </c>
      <c r="I33" t="s">
        <v>644</v>
      </c>
      <c r="K33" t="s">
        <v>645</v>
      </c>
      <c r="L33" t="s">
        <v>518</v>
      </c>
      <c r="M33" t="s">
        <v>526</v>
      </c>
      <c r="N33" t="s">
        <v>646</v>
      </c>
      <c r="O33" t="s">
        <v>526</v>
      </c>
      <c r="P33">
        <v>1</v>
      </c>
      <c r="Q33" t="s">
        <v>558</v>
      </c>
      <c r="R33">
        <v>242</v>
      </c>
    </row>
    <row r="34" spans="2:18">
      <c r="B34">
        <v>35</v>
      </c>
      <c r="C34" s="28" t="s">
        <v>519</v>
      </c>
      <c r="D34" s="28" t="s">
        <v>520</v>
      </c>
      <c r="E34" t="s">
        <v>492</v>
      </c>
      <c r="F34" t="s">
        <v>631</v>
      </c>
      <c r="G34" t="s">
        <v>647</v>
      </c>
      <c r="H34" t="s">
        <v>648</v>
      </c>
      <c r="I34" t="s">
        <v>649</v>
      </c>
      <c r="K34" t="s">
        <v>650</v>
      </c>
      <c r="L34" t="s">
        <v>518</v>
      </c>
      <c r="M34" t="s">
        <v>526</v>
      </c>
      <c r="N34" t="s">
        <v>651</v>
      </c>
      <c r="O34" t="s">
        <v>526</v>
      </c>
      <c r="P34">
        <v>1</v>
      </c>
      <c r="Q34" t="s">
        <v>603</v>
      </c>
      <c r="R34">
        <v>667</v>
      </c>
    </row>
    <row r="35" spans="2:18">
      <c r="B35">
        <v>39</v>
      </c>
      <c r="C35" s="28" t="s">
        <v>519</v>
      </c>
      <c r="D35" s="28" t="s">
        <v>520</v>
      </c>
      <c r="E35" t="s">
        <v>492</v>
      </c>
      <c r="F35" t="s">
        <v>631</v>
      </c>
      <c r="G35" t="s">
        <v>647</v>
      </c>
      <c r="H35" t="s">
        <v>652</v>
      </c>
      <c r="I35" t="s">
        <v>653</v>
      </c>
      <c r="K35" t="s">
        <v>654</v>
      </c>
      <c r="L35" t="s">
        <v>518</v>
      </c>
      <c r="M35" t="s">
        <v>526</v>
      </c>
      <c r="N35" t="s">
        <v>655</v>
      </c>
      <c r="O35" t="s">
        <v>526</v>
      </c>
      <c r="P35">
        <v>1</v>
      </c>
      <c r="Q35" t="s">
        <v>539</v>
      </c>
      <c r="R35">
        <v>60</v>
      </c>
    </row>
    <row r="36" spans="2:18">
      <c r="B36">
        <v>40</v>
      </c>
      <c r="C36" s="28" t="s">
        <v>519</v>
      </c>
      <c r="D36" s="28" t="s">
        <v>520</v>
      </c>
      <c r="E36" t="s">
        <v>492</v>
      </c>
      <c r="F36" t="s">
        <v>631</v>
      </c>
      <c r="G36" t="s">
        <v>647</v>
      </c>
      <c r="H36" t="s">
        <v>656</v>
      </c>
      <c r="I36" t="s">
        <v>657</v>
      </c>
      <c r="K36" t="s">
        <v>658</v>
      </c>
      <c r="L36" t="s">
        <v>518</v>
      </c>
      <c r="M36" t="s">
        <v>526</v>
      </c>
      <c r="N36" t="s">
        <v>659</v>
      </c>
      <c r="O36" t="s">
        <v>526</v>
      </c>
      <c r="P36">
        <v>1</v>
      </c>
      <c r="Q36" t="s">
        <v>623</v>
      </c>
      <c r="R36">
        <v>185.4</v>
      </c>
    </row>
    <row r="37" spans="2:18">
      <c r="B37">
        <v>41</v>
      </c>
      <c r="C37" s="28" t="s">
        <v>519</v>
      </c>
      <c r="D37" s="28" t="s">
        <v>520</v>
      </c>
      <c r="E37" t="s">
        <v>492</v>
      </c>
      <c r="F37" t="s">
        <v>631</v>
      </c>
      <c r="G37" t="s">
        <v>566</v>
      </c>
      <c r="H37" t="s">
        <v>660</v>
      </c>
      <c r="I37" t="s">
        <v>661</v>
      </c>
      <c r="K37" t="s">
        <v>662</v>
      </c>
      <c r="L37" t="s">
        <v>518</v>
      </c>
      <c r="M37" t="s">
        <v>526</v>
      </c>
      <c r="N37" t="s">
        <v>663</v>
      </c>
      <c r="O37" t="s">
        <v>526</v>
      </c>
      <c r="P37">
        <v>1</v>
      </c>
      <c r="Q37" t="s">
        <v>623</v>
      </c>
      <c r="R37">
        <v>474</v>
      </c>
    </row>
    <row r="38" spans="2:18">
      <c r="B38">
        <v>42</v>
      </c>
      <c r="C38" s="28" t="s">
        <v>519</v>
      </c>
      <c r="D38" s="28" t="s">
        <v>520</v>
      </c>
      <c r="E38" t="s">
        <v>492</v>
      </c>
      <c r="F38" t="s">
        <v>631</v>
      </c>
      <c r="G38" t="s">
        <v>534</v>
      </c>
      <c r="H38" t="s">
        <v>664</v>
      </c>
      <c r="I38" t="s">
        <v>665</v>
      </c>
      <c r="K38" t="s">
        <v>666</v>
      </c>
      <c r="L38" t="s">
        <v>518</v>
      </c>
      <c r="M38" t="s">
        <v>526</v>
      </c>
      <c r="N38" t="s">
        <v>667</v>
      </c>
      <c r="O38" t="s">
        <v>526</v>
      </c>
      <c r="P38">
        <v>1</v>
      </c>
      <c r="Q38" t="s">
        <v>539</v>
      </c>
      <c r="R38">
        <v>30</v>
      </c>
    </row>
    <row r="39" spans="2:18">
      <c r="B39">
        <v>43</v>
      </c>
      <c r="C39" s="28" t="s">
        <v>519</v>
      </c>
      <c r="D39" s="28" t="s">
        <v>520</v>
      </c>
      <c r="E39" t="s">
        <v>492</v>
      </c>
      <c r="F39" t="s">
        <v>631</v>
      </c>
      <c r="G39" t="s">
        <v>647</v>
      </c>
      <c r="H39" t="s">
        <v>668</v>
      </c>
      <c r="I39" t="s">
        <v>669</v>
      </c>
      <c r="K39" t="s">
        <v>670</v>
      </c>
      <c r="L39" t="s">
        <v>518</v>
      </c>
      <c r="M39" t="s">
        <v>526</v>
      </c>
      <c r="N39" t="s">
        <v>671</v>
      </c>
      <c r="O39" t="s">
        <v>526</v>
      </c>
      <c r="P39">
        <v>1</v>
      </c>
      <c r="Q39" t="s">
        <v>672</v>
      </c>
      <c r="R39">
        <v>370</v>
      </c>
    </row>
    <row r="40" spans="2:18">
      <c r="B40">
        <v>44</v>
      </c>
      <c r="C40" s="28" t="s">
        <v>519</v>
      </c>
      <c r="D40" s="28" t="s">
        <v>520</v>
      </c>
      <c r="E40" t="s">
        <v>492</v>
      </c>
      <c r="F40" t="s">
        <v>631</v>
      </c>
      <c r="G40" t="s">
        <v>647</v>
      </c>
      <c r="H40" t="s">
        <v>673</v>
      </c>
      <c r="I40" t="s">
        <v>674</v>
      </c>
      <c r="K40" t="s">
        <v>675</v>
      </c>
      <c r="L40" t="s">
        <v>518</v>
      </c>
      <c r="M40" t="s">
        <v>526</v>
      </c>
      <c r="N40" t="s">
        <v>676</v>
      </c>
      <c r="O40" t="s">
        <v>526</v>
      </c>
      <c r="P40">
        <v>1</v>
      </c>
      <c r="Q40" t="s">
        <v>558</v>
      </c>
      <c r="R40">
        <v>4.7</v>
      </c>
    </row>
    <row r="41" spans="2:18">
      <c r="B41">
        <v>46</v>
      </c>
      <c r="C41" s="28" t="s">
        <v>519</v>
      </c>
      <c r="D41" s="28" t="s">
        <v>520</v>
      </c>
      <c r="E41" t="s">
        <v>492</v>
      </c>
      <c r="F41" t="s">
        <v>631</v>
      </c>
      <c r="G41" t="s">
        <v>647</v>
      </c>
      <c r="H41" t="s">
        <v>677</v>
      </c>
      <c r="I41" t="s">
        <v>678</v>
      </c>
      <c r="K41" t="s">
        <v>679</v>
      </c>
      <c r="L41" t="s">
        <v>518</v>
      </c>
      <c r="M41" t="s">
        <v>526</v>
      </c>
      <c r="N41" t="s">
        <v>680</v>
      </c>
      <c r="O41" t="s">
        <v>526</v>
      </c>
      <c r="P41">
        <v>1</v>
      </c>
      <c r="Q41" t="s">
        <v>539</v>
      </c>
      <c r="R41">
        <v>55</v>
      </c>
    </row>
    <row r="42" spans="2:18">
      <c r="B42">
        <v>47</v>
      </c>
      <c r="C42" s="28" t="s">
        <v>519</v>
      </c>
      <c r="D42" s="28" t="s">
        <v>520</v>
      </c>
      <c r="E42" t="s">
        <v>493</v>
      </c>
      <c r="F42" t="s">
        <v>521</v>
      </c>
      <c r="G42" t="s">
        <v>522</v>
      </c>
      <c r="H42" t="s">
        <v>523</v>
      </c>
      <c r="I42" t="s">
        <v>524</v>
      </c>
      <c r="K42" t="s">
        <v>681</v>
      </c>
      <c r="L42" t="s">
        <v>518</v>
      </c>
      <c r="M42" t="s">
        <v>526</v>
      </c>
      <c r="N42" t="s">
        <v>682</v>
      </c>
      <c r="O42" t="s">
        <v>526</v>
      </c>
      <c r="P42">
        <v>1</v>
      </c>
      <c r="Q42" t="s">
        <v>539</v>
      </c>
      <c r="R42">
        <v>47</v>
      </c>
    </row>
    <row r="43" spans="2:18">
      <c r="B43">
        <v>47</v>
      </c>
      <c r="C43" s="28" t="s">
        <v>519</v>
      </c>
      <c r="D43" s="28" t="s">
        <v>520</v>
      </c>
      <c r="E43" t="s">
        <v>493</v>
      </c>
      <c r="F43" t="s">
        <v>521</v>
      </c>
      <c r="G43" t="s">
        <v>522</v>
      </c>
      <c r="H43" t="s">
        <v>529</v>
      </c>
      <c r="I43" t="s">
        <v>530</v>
      </c>
      <c r="K43" t="s">
        <v>683</v>
      </c>
      <c r="L43" t="s">
        <v>518</v>
      </c>
      <c r="M43" t="s">
        <v>526</v>
      </c>
      <c r="N43" t="s">
        <v>684</v>
      </c>
      <c r="O43" t="s">
        <v>526</v>
      </c>
      <c r="P43">
        <v>1</v>
      </c>
      <c r="Q43" t="s">
        <v>603</v>
      </c>
      <c r="R43">
        <v>424</v>
      </c>
    </row>
    <row r="44" spans="2:18">
      <c r="B44">
        <v>1</v>
      </c>
      <c r="C44" s="28" t="s">
        <v>519</v>
      </c>
      <c r="D44" s="28" t="s">
        <v>520</v>
      </c>
      <c r="E44" t="s">
        <v>493</v>
      </c>
      <c r="F44" t="s">
        <v>521</v>
      </c>
      <c r="G44" t="s">
        <v>534</v>
      </c>
      <c r="H44" t="s">
        <v>535</v>
      </c>
      <c r="I44" t="s">
        <v>536</v>
      </c>
      <c r="K44" t="s">
        <v>525</v>
      </c>
      <c r="L44" t="s">
        <v>518</v>
      </c>
      <c r="M44" t="s">
        <v>526</v>
      </c>
      <c r="N44" t="s">
        <v>527</v>
      </c>
      <c r="O44" t="s">
        <v>526</v>
      </c>
      <c r="P44">
        <v>1</v>
      </c>
      <c r="Q44" t="s">
        <v>528</v>
      </c>
      <c r="R44">
        <v>920</v>
      </c>
    </row>
    <row r="45" spans="2:18">
      <c r="B45">
        <v>2</v>
      </c>
      <c r="C45" s="28" t="s">
        <v>519</v>
      </c>
      <c r="D45" s="28" t="s">
        <v>520</v>
      </c>
      <c r="E45" t="s">
        <v>493</v>
      </c>
      <c r="F45" t="s">
        <v>521</v>
      </c>
      <c r="G45" t="s">
        <v>534</v>
      </c>
      <c r="H45" t="s">
        <v>540</v>
      </c>
      <c r="I45" t="s">
        <v>541</v>
      </c>
      <c r="K45" t="s">
        <v>531</v>
      </c>
      <c r="L45" t="s">
        <v>518</v>
      </c>
      <c r="M45" t="s">
        <v>526</v>
      </c>
      <c r="N45" t="s">
        <v>532</v>
      </c>
      <c r="O45" t="s">
        <v>526</v>
      </c>
      <c r="P45">
        <v>1</v>
      </c>
      <c r="Q45" t="s">
        <v>533</v>
      </c>
      <c r="R45">
        <v>380</v>
      </c>
    </row>
    <row r="46" spans="2:18">
      <c r="B46">
        <v>3</v>
      </c>
      <c r="C46" s="28" t="s">
        <v>519</v>
      </c>
      <c r="D46" s="28" t="s">
        <v>520</v>
      </c>
      <c r="E46" t="s">
        <v>493</v>
      </c>
      <c r="F46" t="s">
        <v>544</v>
      </c>
      <c r="G46" t="s">
        <v>545</v>
      </c>
      <c r="H46" t="s">
        <v>546</v>
      </c>
      <c r="I46" t="s">
        <v>547</v>
      </c>
      <c r="K46" t="s">
        <v>537</v>
      </c>
      <c r="L46" t="s">
        <v>518</v>
      </c>
      <c r="M46" t="s">
        <v>526</v>
      </c>
      <c r="N46" t="s">
        <v>538</v>
      </c>
      <c r="O46" t="s">
        <v>526</v>
      </c>
      <c r="P46">
        <v>1</v>
      </c>
      <c r="Q46" t="s">
        <v>539</v>
      </c>
      <c r="R46">
        <v>14</v>
      </c>
    </row>
    <row r="47" spans="2:18">
      <c r="B47">
        <v>4</v>
      </c>
      <c r="C47" s="28" t="s">
        <v>519</v>
      </c>
      <c r="D47" s="28" t="s">
        <v>520</v>
      </c>
      <c r="E47" t="s">
        <v>493</v>
      </c>
      <c r="F47" t="s">
        <v>544</v>
      </c>
      <c r="G47" t="s">
        <v>550</v>
      </c>
      <c r="H47" t="s">
        <v>551</v>
      </c>
      <c r="I47" t="s">
        <v>552</v>
      </c>
      <c r="K47" t="s">
        <v>542</v>
      </c>
      <c r="L47" t="s">
        <v>518</v>
      </c>
      <c r="M47" t="s">
        <v>526</v>
      </c>
      <c r="N47" t="s">
        <v>543</v>
      </c>
      <c r="O47" t="s">
        <v>526</v>
      </c>
      <c r="P47">
        <v>1</v>
      </c>
      <c r="Q47" t="s">
        <v>539</v>
      </c>
      <c r="R47">
        <v>33</v>
      </c>
    </row>
    <row r="48" spans="2:18">
      <c r="B48">
        <v>5</v>
      </c>
      <c r="C48" s="28" t="s">
        <v>519</v>
      </c>
      <c r="D48" s="28" t="s">
        <v>520</v>
      </c>
      <c r="E48" t="s">
        <v>493</v>
      </c>
      <c r="F48" t="s">
        <v>544</v>
      </c>
      <c r="G48" t="s">
        <v>550</v>
      </c>
      <c r="H48" t="s">
        <v>555</v>
      </c>
      <c r="I48" t="s">
        <v>556</v>
      </c>
      <c r="K48" t="s">
        <v>548</v>
      </c>
      <c r="L48" t="s">
        <v>518</v>
      </c>
      <c r="M48" t="s">
        <v>526</v>
      </c>
      <c r="N48" t="s">
        <v>549</v>
      </c>
      <c r="O48" t="s">
        <v>526</v>
      </c>
      <c r="P48">
        <v>1</v>
      </c>
      <c r="Q48" t="s">
        <v>539</v>
      </c>
      <c r="R48">
        <v>0</v>
      </c>
    </row>
    <row r="49" spans="2:18">
      <c r="B49">
        <v>6</v>
      </c>
      <c r="C49" s="28" t="s">
        <v>519</v>
      </c>
      <c r="D49" s="28" t="s">
        <v>520</v>
      </c>
      <c r="E49" t="s">
        <v>493</v>
      </c>
      <c r="F49" t="s">
        <v>544</v>
      </c>
      <c r="G49" t="s">
        <v>550</v>
      </c>
      <c r="H49" t="s">
        <v>559</v>
      </c>
      <c r="I49" t="s">
        <v>560</v>
      </c>
      <c r="K49" t="s">
        <v>553</v>
      </c>
      <c r="L49" t="s">
        <v>518</v>
      </c>
      <c r="M49" t="s">
        <v>526</v>
      </c>
      <c r="N49" t="s">
        <v>554</v>
      </c>
      <c r="O49" t="s">
        <v>526</v>
      </c>
      <c r="P49">
        <v>1</v>
      </c>
      <c r="Q49" t="s">
        <v>539</v>
      </c>
      <c r="R49">
        <v>223</v>
      </c>
    </row>
    <row r="50" spans="2:18">
      <c r="B50">
        <v>27</v>
      </c>
      <c r="C50" s="28" t="s">
        <v>519</v>
      </c>
      <c r="D50" s="28" t="s">
        <v>520</v>
      </c>
      <c r="E50" t="s">
        <v>493</v>
      </c>
      <c r="F50" t="s">
        <v>544</v>
      </c>
      <c r="G50" t="s">
        <v>550</v>
      </c>
      <c r="H50" t="s">
        <v>562</v>
      </c>
      <c r="I50" t="s">
        <v>563</v>
      </c>
      <c r="K50" t="s">
        <v>557</v>
      </c>
      <c r="L50" t="s">
        <v>518</v>
      </c>
      <c r="M50" t="s">
        <v>526</v>
      </c>
      <c r="N50" t="s">
        <v>526</v>
      </c>
      <c r="O50" t="s">
        <v>526</v>
      </c>
      <c r="P50">
        <v>1</v>
      </c>
      <c r="Q50" t="s">
        <v>558</v>
      </c>
      <c r="R50">
        <v>640</v>
      </c>
    </row>
    <row r="51" spans="2:18">
      <c r="B51">
        <v>27</v>
      </c>
      <c r="C51" s="28" t="s">
        <v>519</v>
      </c>
      <c r="D51" s="28" t="s">
        <v>520</v>
      </c>
      <c r="E51" t="s">
        <v>493</v>
      </c>
      <c r="F51" t="s">
        <v>544</v>
      </c>
      <c r="G51" t="s">
        <v>566</v>
      </c>
      <c r="H51" t="s">
        <v>567</v>
      </c>
      <c r="I51" t="s">
        <v>568</v>
      </c>
      <c r="K51" t="s">
        <v>561</v>
      </c>
      <c r="L51" t="s">
        <v>518</v>
      </c>
      <c r="M51" t="s">
        <v>526</v>
      </c>
      <c r="N51" t="s">
        <v>526</v>
      </c>
      <c r="O51" t="s">
        <v>526</v>
      </c>
      <c r="P51">
        <v>1</v>
      </c>
      <c r="Q51" t="s">
        <v>558</v>
      </c>
      <c r="R51">
        <v>425</v>
      </c>
    </row>
    <row r="52" spans="2:18">
      <c r="B52">
        <v>27</v>
      </c>
      <c r="C52" s="28" t="s">
        <v>519</v>
      </c>
      <c r="D52" s="28" t="s">
        <v>520</v>
      </c>
      <c r="E52" t="s">
        <v>493</v>
      </c>
      <c r="F52" t="s">
        <v>544</v>
      </c>
      <c r="G52" t="s">
        <v>566</v>
      </c>
      <c r="H52" t="s">
        <v>570</v>
      </c>
      <c r="I52" t="s">
        <v>571</v>
      </c>
      <c r="K52" t="s">
        <v>564</v>
      </c>
      <c r="L52" t="s">
        <v>518</v>
      </c>
      <c r="M52" t="s">
        <v>526</v>
      </c>
      <c r="N52" t="s">
        <v>565</v>
      </c>
      <c r="O52" t="s">
        <v>526</v>
      </c>
      <c r="P52">
        <v>1</v>
      </c>
      <c r="Q52" t="s">
        <v>539</v>
      </c>
      <c r="R52">
        <v>959</v>
      </c>
    </row>
    <row r="53" spans="2:18">
      <c r="B53">
        <v>10</v>
      </c>
      <c r="C53" s="28" t="s">
        <v>519</v>
      </c>
      <c r="D53" s="28" t="s">
        <v>520</v>
      </c>
      <c r="E53" t="s">
        <v>493</v>
      </c>
      <c r="F53" t="s">
        <v>544</v>
      </c>
      <c r="G53" t="s">
        <v>574</v>
      </c>
      <c r="H53" t="s">
        <v>575</v>
      </c>
      <c r="I53" t="s">
        <v>576</v>
      </c>
      <c r="K53" t="s">
        <v>569</v>
      </c>
      <c r="L53" t="s">
        <v>518</v>
      </c>
      <c r="M53" t="s">
        <v>526</v>
      </c>
      <c r="N53" t="s">
        <v>526</v>
      </c>
      <c r="O53" t="s">
        <v>526</v>
      </c>
      <c r="P53">
        <v>1</v>
      </c>
      <c r="Q53" t="s">
        <v>539</v>
      </c>
      <c r="R53">
        <v>1680</v>
      </c>
    </row>
    <row r="54" spans="2:18">
      <c r="B54">
        <v>11</v>
      </c>
      <c r="C54" s="28" t="s">
        <v>519</v>
      </c>
      <c r="D54" s="28" t="s">
        <v>520</v>
      </c>
      <c r="E54" t="s">
        <v>493</v>
      </c>
      <c r="F54" t="s">
        <v>544</v>
      </c>
      <c r="G54" t="s">
        <v>545</v>
      </c>
      <c r="H54" t="s">
        <v>579</v>
      </c>
      <c r="I54" t="s">
        <v>580</v>
      </c>
      <c r="K54" t="s">
        <v>572</v>
      </c>
      <c r="L54" t="s">
        <v>518</v>
      </c>
      <c r="M54" t="s">
        <v>526</v>
      </c>
      <c r="N54" t="s">
        <v>573</v>
      </c>
      <c r="O54" t="s">
        <v>526</v>
      </c>
      <c r="P54">
        <v>1</v>
      </c>
      <c r="Q54" t="s">
        <v>539</v>
      </c>
      <c r="R54">
        <v>10</v>
      </c>
    </row>
    <row r="55" spans="2:18">
      <c r="B55">
        <v>12</v>
      </c>
      <c r="C55" s="28" t="s">
        <v>519</v>
      </c>
      <c r="D55" s="28" t="s">
        <v>520</v>
      </c>
      <c r="E55" t="s">
        <v>493</v>
      </c>
      <c r="F55" t="s">
        <v>544</v>
      </c>
      <c r="G55" t="s">
        <v>583</v>
      </c>
      <c r="H55" t="s">
        <v>584</v>
      </c>
      <c r="I55" t="s">
        <v>585</v>
      </c>
      <c r="K55" t="s">
        <v>577</v>
      </c>
      <c r="L55" t="s">
        <v>518</v>
      </c>
      <c r="M55" t="s">
        <v>526</v>
      </c>
      <c r="N55" t="s">
        <v>578</v>
      </c>
      <c r="O55" t="s">
        <v>526</v>
      </c>
      <c r="P55">
        <v>1</v>
      </c>
      <c r="Q55" t="s">
        <v>539</v>
      </c>
      <c r="R55">
        <v>74</v>
      </c>
    </row>
    <row r="56" spans="2:18">
      <c r="B56">
        <v>13</v>
      </c>
      <c r="C56" s="28" t="s">
        <v>519</v>
      </c>
      <c r="D56" s="28" t="s">
        <v>520</v>
      </c>
      <c r="E56" t="s">
        <v>493</v>
      </c>
      <c r="F56" t="s">
        <v>544</v>
      </c>
      <c r="G56" t="s">
        <v>550</v>
      </c>
      <c r="H56" t="s">
        <v>588</v>
      </c>
      <c r="I56" t="s">
        <v>589</v>
      </c>
      <c r="K56" t="s">
        <v>581</v>
      </c>
      <c r="L56" t="s">
        <v>518</v>
      </c>
      <c r="M56" t="s">
        <v>526</v>
      </c>
      <c r="N56" t="s">
        <v>582</v>
      </c>
      <c r="O56" t="s">
        <v>526</v>
      </c>
      <c r="P56">
        <v>1</v>
      </c>
      <c r="Q56" t="s">
        <v>539</v>
      </c>
      <c r="R56">
        <v>84</v>
      </c>
    </row>
    <row r="57" spans="2:18">
      <c r="B57">
        <v>14</v>
      </c>
      <c r="C57" s="28" t="s">
        <v>519</v>
      </c>
      <c r="D57" s="28" t="s">
        <v>520</v>
      </c>
      <c r="E57" t="s">
        <v>493</v>
      </c>
      <c r="F57" t="s">
        <v>544</v>
      </c>
      <c r="G57" t="s">
        <v>591</v>
      </c>
      <c r="H57" t="s">
        <v>592</v>
      </c>
      <c r="I57" t="s">
        <v>593</v>
      </c>
      <c r="K57" t="s">
        <v>586</v>
      </c>
      <c r="L57" t="s">
        <v>518</v>
      </c>
      <c r="M57" t="s">
        <v>526</v>
      </c>
      <c r="N57" t="s">
        <v>587</v>
      </c>
      <c r="O57" t="s">
        <v>526</v>
      </c>
      <c r="P57">
        <v>1</v>
      </c>
      <c r="Q57" t="s">
        <v>539</v>
      </c>
      <c r="R57">
        <v>165</v>
      </c>
    </row>
    <row r="58" spans="2:18">
      <c r="B58">
        <v>15</v>
      </c>
      <c r="C58" s="28" t="s">
        <v>519</v>
      </c>
      <c r="D58" s="28" t="s">
        <v>520</v>
      </c>
      <c r="E58" t="s">
        <v>493</v>
      </c>
      <c r="F58" t="s">
        <v>544</v>
      </c>
      <c r="G58" t="s">
        <v>550</v>
      </c>
      <c r="H58" t="s">
        <v>595</v>
      </c>
      <c r="I58" t="s">
        <v>596</v>
      </c>
      <c r="K58" t="s">
        <v>590</v>
      </c>
      <c r="L58" t="s">
        <v>518</v>
      </c>
      <c r="M58" t="s">
        <v>526</v>
      </c>
      <c r="N58" t="s">
        <v>526</v>
      </c>
      <c r="O58" t="s">
        <v>526</v>
      </c>
      <c r="P58">
        <v>1</v>
      </c>
      <c r="Q58" t="s">
        <v>539</v>
      </c>
      <c r="R58">
        <v>43</v>
      </c>
    </row>
    <row r="59" spans="2:18">
      <c r="B59">
        <v>16</v>
      </c>
      <c r="C59" s="28" t="s">
        <v>519</v>
      </c>
      <c r="D59" s="28" t="s">
        <v>520</v>
      </c>
      <c r="E59" t="s">
        <v>493</v>
      </c>
      <c r="F59" t="s">
        <v>544</v>
      </c>
      <c r="G59" t="s">
        <v>522</v>
      </c>
      <c r="H59" t="s">
        <v>599</v>
      </c>
      <c r="I59" t="s">
        <v>600</v>
      </c>
      <c r="K59" t="s">
        <v>594</v>
      </c>
      <c r="L59" t="s">
        <v>518</v>
      </c>
      <c r="M59" t="s">
        <v>526</v>
      </c>
      <c r="N59" t="s">
        <v>582</v>
      </c>
      <c r="O59" t="s">
        <v>526</v>
      </c>
      <c r="P59">
        <v>1</v>
      </c>
      <c r="Q59" t="s">
        <v>539</v>
      </c>
      <c r="R59">
        <v>425</v>
      </c>
    </row>
    <row r="60" spans="2:18">
      <c r="B60">
        <v>17</v>
      </c>
      <c r="C60" s="28" t="s">
        <v>519</v>
      </c>
      <c r="D60" s="28" t="s">
        <v>520</v>
      </c>
      <c r="E60" t="s">
        <v>493</v>
      </c>
      <c r="F60" t="s">
        <v>544</v>
      </c>
      <c r="G60" t="s">
        <v>604</v>
      </c>
      <c r="H60" t="s">
        <v>605</v>
      </c>
      <c r="I60" t="s">
        <v>606</v>
      </c>
      <c r="K60" t="s">
        <v>597</v>
      </c>
      <c r="L60" t="s">
        <v>518</v>
      </c>
      <c r="M60" t="s">
        <v>526</v>
      </c>
      <c r="N60" t="s">
        <v>598</v>
      </c>
      <c r="O60" t="s">
        <v>526</v>
      </c>
      <c r="P60">
        <v>1</v>
      </c>
      <c r="Q60" t="s">
        <v>539</v>
      </c>
      <c r="R60">
        <v>77</v>
      </c>
    </row>
    <row r="61" spans="2:18">
      <c r="B61">
        <v>18</v>
      </c>
      <c r="C61" s="28" t="s">
        <v>519</v>
      </c>
      <c r="D61" s="28" t="s">
        <v>520</v>
      </c>
      <c r="E61" t="s">
        <v>493</v>
      </c>
      <c r="F61" t="s">
        <v>544</v>
      </c>
      <c r="G61" t="s">
        <v>604</v>
      </c>
      <c r="H61" t="s">
        <v>605</v>
      </c>
      <c r="I61" t="s">
        <v>610</v>
      </c>
      <c r="K61" t="s">
        <v>601</v>
      </c>
      <c r="L61" t="s">
        <v>518</v>
      </c>
      <c r="M61" t="s">
        <v>526</v>
      </c>
      <c r="N61" t="s">
        <v>602</v>
      </c>
      <c r="O61" t="s">
        <v>526</v>
      </c>
      <c r="P61">
        <v>1</v>
      </c>
      <c r="Q61" t="s">
        <v>603</v>
      </c>
      <c r="R61">
        <v>415</v>
      </c>
    </row>
    <row r="62" spans="2:18">
      <c r="B62">
        <v>33</v>
      </c>
      <c r="C62" s="28" t="s">
        <v>519</v>
      </c>
      <c r="D62" s="28" t="s">
        <v>520</v>
      </c>
      <c r="E62" t="s">
        <v>493</v>
      </c>
      <c r="F62" t="s">
        <v>544</v>
      </c>
      <c r="G62" t="s">
        <v>550</v>
      </c>
      <c r="H62" t="s">
        <v>477</v>
      </c>
      <c r="I62" t="s">
        <v>613</v>
      </c>
      <c r="K62" t="s">
        <v>607</v>
      </c>
      <c r="L62" t="s">
        <v>518</v>
      </c>
      <c r="M62" t="s">
        <v>526</v>
      </c>
      <c r="N62" t="s">
        <v>608</v>
      </c>
      <c r="O62" t="s">
        <v>526</v>
      </c>
      <c r="P62">
        <v>1</v>
      </c>
      <c r="Q62" t="s">
        <v>609</v>
      </c>
      <c r="R62">
        <v>53</v>
      </c>
    </row>
    <row r="63" spans="2:18">
      <c r="B63">
        <v>19</v>
      </c>
      <c r="C63" s="28" t="s">
        <v>519</v>
      </c>
      <c r="D63" s="28" t="s">
        <v>520</v>
      </c>
      <c r="E63" t="s">
        <v>493</v>
      </c>
      <c r="F63" t="s">
        <v>544</v>
      </c>
      <c r="G63" t="s">
        <v>583</v>
      </c>
      <c r="H63" t="s">
        <v>617</v>
      </c>
      <c r="I63" t="s">
        <v>618</v>
      </c>
      <c r="K63" t="s">
        <v>614</v>
      </c>
      <c r="L63" t="s">
        <v>518</v>
      </c>
      <c r="M63" t="s">
        <v>526</v>
      </c>
      <c r="N63" t="s">
        <v>615</v>
      </c>
      <c r="O63" t="s">
        <v>526</v>
      </c>
      <c r="P63">
        <v>1</v>
      </c>
      <c r="Q63" t="s">
        <v>616</v>
      </c>
      <c r="R63">
        <v>53</v>
      </c>
    </row>
    <row r="64" spans="2:18">
      <c r="B64">
        <v>19</v>
      </c>
      <c r="C64" s="28" t="s">
        <v>519</v>
      </c>
      <c r="D64" s="28" t="s">
        <v>520</v>
      </c>
      <c r="E64" t="s">
        <v>493</v>
      </c>
      <c r="F64" t="s">
        <v>544</v>
      </c>
      <c r="G64" t="s">
        <v>550</v>
      </c>
      <c r="H64" t="s">
        <v>478</v>
      </c>
      <c r="I64" t="s">
        <v>685</v>
      </c>
      <c r="K64" t="s">
        <v>619</v>
      </c>
      <c r="L64" t="s">
        <v>518</v>
      </c>
      <c r="M64" t="s">
        <v>526</v>
      </c>
      <c r="N64" t="s">
        <v>620</v>
      </c>
      <c r="O64" t="s">
        <v>526</v>
      </c>
      <c r="P64">
        <v>1</v>
      </c>
      <c r="Q64" t="s">
        <v>539</v>
      </c>
      <c r="R64">
        <v>81</v>
      </c>
    </row>
    <row r="65" spans="2:18">
      <c r="B65">
        <v>20</v>
      </c>
      <c r="C65" s="28" t="s">
        <v>519</v>
      </c>
      <c r="D65" s="28" t="s">
        <v>520</v>
      </c>
      <c r="E65" t="s">
        <v>493</v>
      </c>
      <c r="F65" t="s">
        <v>544</v>
      </c>
      <c r="G65" t="s">
        <v>550</v>
      </c>
      <c r="H65" t="s">
        <v>624</v>
      </c>
      <c r="I65" t="s">
        <v>625</v>
      </c>
      <c r="K65" t="s">
        <v>622</v>
      </c>
      <c r="L65" t="s">
        <v>518</v>
      </c>
      <c r="M65" t="s">
        <v>526</v>
      </c>
      <c r="N65" t="s">
        <v>526</v>
      </c>
      <c r="O65" t="s">
        <v>526</v>
      </c>
      <c r="P65">
        <v>1</v>
      </c>
      <c r="Q65" t="s">
        <v>623</v>
      </c>
      <c r="R65">
        <v>1086</v>
      </c>
    </row>
    <row r="66" spans="2:18">
      <c r="B66">
        <v>24</v>
      </c>
      <c r="C66" s="28" t="s">
        <v>519</v>
      </c>
      <c r="D66" s="28" t="s">
        <v>520</v>
      </c>
      <c r="E66" t="s">
        <v>493</v>
      </c>
      <c r="F66" t="s">
        <v>544</v>
      </c>
      <c r="G66" t="s">
        <v>550</v>
      </c>
      <c r="H66" t="s">
        <v>627</v>
      </c>
      <c r="I66" t="s">
        <v>628</v>
      </c>
      <c r="K66" t="s">
        <v>626</v>
      </c>
      <c r="L66" t="s">
        <v>518</v>
      </c>
      <c r="M66" t="s">
        <v>526</v>
      </c>
      <c r="N66" t="s">
        <v>526</v>
      </c>
      <c r="O66" t="s">
        <v>526</v>
      </c>
      <c r="P66">
        <v>1</v>
      </c>
      <c r="Q66" t="s">
        <v>539</v>
      </c>
      <c r="R66">
        <v>41</v>
      </c>
    </row>
    <row r="67" spans="2:18">
      <c r="B67">
        <v>26</v>
      </c>
      <c r="C67" s="28" t="s">
        <v>519</v>
      </c>
      <c r="D67" s="28" t="s">
        <v>520</v>
      </c>
      <c r="E67" t="s">
        <v>493</v>
      </c>
      <c r="F67" t="s">
        <v>631</v>
      </c>
      <c r="G67" t="s">
        <v>522</v>
      </c>
      <c r="H67" t="s">
        <v>632</v>
      </c>
      <c r="I67" t="s">
        <v>633</v>
      </c>
      <c r="K67" t="s">
        <v>629</v>
      </c>
      <c r="L67" t="s">
        <v>518</v>
      </c>
      <c r="M67" t="s">
        <v>526</v>
      </c>
      <c r="N67" t="s">
        <v>630</v>
      </c>
      <c r="O67" t="s">
        <v>526</v>
      </c>
      <c r="P67">
        <v>1</v>
      </c>
      <c r="Q67" t="s">
        <v>558</v>
      </c>
      <c r="R67">
        <v>331</v>
      </c>
    </row>
    <row r="68" spans="2:18">
      <c r="B68">
        <v>27</v>
      </c>
      <c r="C68" s="28" t="s">
        <v>519</v>
      </c>
      <c r="D68" s="28" t="s">
        <v>520</v>
      </c>
      <c r="E68" t="s">
        <v>493</v>
      </c>
      <c r="F68" t="s">
        <v>631</v>
      </c>
      <c r="G68" t="s">
        <v>566</v>
      </c>
      <c r="H68" t="s">
        <v>636</v>
      </c>
      <c r="I68" t="s">
        <v>637</v>
      </c>
      <c r="K68" t="s">
        <v>634</v>
      </c>
      <c r="L68" t="s">
        <v>518</v>
      </c>
      <c r="M68" t="s">
        <v>526</v>
      </c>
      <c r="N68" t="s">
        <v>635</v>
      </c>
      <c r="O68" t="s">
        <v>526</v>
      </c>
      <c r="P68">
        <v>1</v>
      </c>
      <c r="Q68" t="s">
        <v>533</v>
      </c>
      <c r="R68">
        <v>92</v>
      </c>
    </row>
    <row r="69" spans="2:18">
      <c r="B69">
        <v>33</v>
      </c>
      <c r="C69" s="28" t="s">
        <v>519</v>
      </c>
      <c r="D69" s="28" t="s">
        <v>520</v>
      </c>
      <c r="E69" t="s">
        <v>493</v>
      </c>
      <c r="F69" t="s">
        <v>631</v>
      </c>
      <c r="G69" t="s">
        <v>550</v>
      </c>
      <c r="H69" t="s">
        <v>640</v>
      </c>
      <c r="I69" t="s">
        <v>641</v>
      </c>
      <c r="K69" t="s">
        <v>638</v>
      </c>
      <c r="L69" t="s">
        <v>518</v>
      </c>
      <c r="M69" t="s">
        <v>526</v>
      </c>
      <c r="N69" t="s">
        <v>526</v>
      </c>
      <c r="O69" t="s">
        <v>526</v>
      </c>
      <c r="P69">
        <v>1</v>
      </c>
      <c r="Q69" t="s">
        <v>639</v>
      </c>
      <c r="R69">
        <v>58</v>
      </c>
    </row>
    <row r="70" spans="2:18">
      <c r="B70">
        <v>39</v>
      </c>
      <c r="C70" s="28" t="s">
        <v>519</v>
      </c>
      <c r="D70" s="28" t="s">
        <v>520</v>
      </c>
      <c r="E70" t="s">
        <v>493</v>
      </c>
      <c r="F70" t="s">
        <v>631</v>
      </c>
      <c r="G70" t="s">
        <v>574</v>
      </c>
      <c r="H70" t="s">
        <v>643</v>
      </c>
      <c r="I70" t="s">
        <v>644</v>
      </c>
      <c r="K70" t="s">
        <v>642</v>
      </c>
      <c r="L70" t="s">
        <v>518</v>
      </c>
      <c r="M70" t="s">
        <v>526</v>
      </c>
      <c r="N70" t="s">
        <v>526</v>
      </c>
      <c r="O70" t="s">
        <v>526</v>
      </c>
      <c r="P70">
        <v>1</v>
      </c>
      <c r="Q70" t="s">
        <v>539</v>
      </c>
      <c r="R70">
        <v>507</v>
      </c>
    </row>
    <row r="71" spans="2:18">
      <c r="B71">
        <v>45</v>
      </c>
      <c r="C71" s="28" t="s">
        <v>519</v>
      </c>
      <c r="D71" s="28" t="s">
        <v>520</v>
      </c>
      <c r="E71" t="s">
        <v>493</v>
      </c>
      <c r="F71" t="s">
        <v>631</v>
      </c>
      <c r="G71" t="s">
        <v>647</v>
      </c>
      <c r="H71" t="s">
        <v>648</v>
      </c>
      <c r="I71" t="s">
        <v>649</v>
      </c>
      <c r="K71" t="s">
        <v>645</v>
      </c>
      <c r="L71" t="s">
        <v>518</v>
      </c>
      <c r="M71" t="s">
        <v>526</v>
      </c>
      <c r="N71" t="s">
        <v>646</v>
      </c>
      <c r="O71" t="s">
        <v>526</v>
      </c>
      <c r="P71">
        <v>1</v>
      </c>
      <c r="Q71" t="s">
        <v>558</v>
      </c>
      <c r="R71">
        <v>242</v>
      </c>
    </row>
    <row r="72" spans="2:18">
      <c r="B72">
        <v>35</v>
      </c>
      <c r="C72" s="28" t="s">
        <v>519</v>
      </c>
      <c r="D72" s="28" t="s">
        <v>520</v>
      </c>
      <c r="E72" t="s">
        <v>493</v>
      </c>
      <c r="F72" t="s">
        <v>631</v>
      </c>
      <c r="G72" t="s">
        <v>647</v>
      </c>
      <c r="H72" t="s">
        <v>652</v>
      </c>
      <c r="I72" t="s">
        <v>653</v>
      </c>
      <c r="K72" t="s">
        <v>686</v>
      </c>
      <c r="L72" t="s">
        <v>518</v>
      </c>
      <c r="M72" t="s">
        <v>526</v>
      </c>
      <c r="N72" t="s">
        <v>687</v>
      </c>
      <c r="O72" t="s">
        <v>526</v>
      </c>
      <c r="P72">
        <v>1</v>
      </c>
      <c r="Q72" t="s">
        <v>603</v>
      </c>
      <c r="R72">
        <v>290</v>
      </c>
    </row>
    <row r="73" spans="2:18">
      <c r="B73">
        <v>37</v>
      </c>
      <c r="C73" s="28" t="s">
        <v>519</v>
      </c>
      <c r="D73" s="28" t="s">
        <v>520</v>
      </c>
      <c r="E73" t="s">
        <v>493</v>
      </c>
      <c r="F73" t="s">
        <v>631</v>
      </c>
      <c r="G73" t="s">
        <v>647</v>
      </c>
      <c r="H73" t="s">
        <v>656</v>
      </c>
      <c r="I73" t="s">
        <v>657</v>
      </c>
      <c r="K73" t="s">
        <v>688</v>
      </c>
      <c r="L73" t="s">
        <v>518</v>
      </c>
      <c r="M73" t="s">
        <v>526</v>
      </c>
      <c r="N73" t="s">
        <v>689</v>
      </c>
      <c r="O73" t="s">
        <v>526</v>
      </c>
      <c r="P73">
        <v>1</v>
      </c>
      <c r="Q73" t="s">
        <v>539</v>
      </c>
      <c r="R73">
        <v>100</v>
      </c>
    </row>
    <row r="74" spans="2:18">
      <c r="B74">
        <v>38</v>
      </c>
      <c r="C74" s="28" t="s">
        <v>519</v>
      </c>
      <c r="D74" s="28" t="s">
        <v>520</v>
      </c>
      <c r="E74" t="s">
        <v>493</v>
      </c>
      <c r="F74" t="s">
        <v>631</v>
      </c>
      <c r="G74" t="s">
        <v>566</v>
      </c>
      <c r="H74" t="s">
        <v>660</v>
      </c>
      <c r="I74" t="s">
        <v>661</v>
      </c>
      <c r="K74" t="s">
        <v>690</v>
      </c>
      <c r="L74" t="s">
        <v>518</v>
      </c>
      <c r="M74" t="s">
        <v>526</v>
      </c>
      <c r="N74" t="s">
        <v>691</v>
      </c>
      <c r="O74" t="s">
        <v>526</v>
      </c>
      <c r="P74">
        <v>1</v>
      </c>
      <c r="Q74" t="s">
        <v>616</v>
      </c>
      <c r="R74">
        <v>55</v>
      </c>
    </row>
    <row r="75" spans="2:18">
      <c r="B75">
        <v>39</v>
      </c>
      <c r="C75" s="28" t="s">
        <v>519</v>
      </c>
      <c r="D75" s="28" t="s">
        <v>520</v>
      </c>
      <c r="E75" t="s">
        <v>493</v>
      </c>
      <c r="F75" t="s">
        <v>631</v>
      </c>
      <c r="G75" t="s">
        <v>534</v>
      </c>
      <c r="H75" t="s">
        <v>664</v>
      </c>
      <c r="I75" t="s">
        <v>665</v>
      </c>
      <c r="K75" t="s">
        <v>692</v>
      </c>
      <c r="L75" t="s">
        <v>518</v>
      </c>
      <c r="M75" t="s">
        <v>526</v>
      </c>
      <c r="N75" t="s">
        <v>582</v>
      </c>
      <c r="O75" t="s">
        <v>526</v>
      </c>
      <c r="P75">
        <v>1</v>
      </c>
      <c r="Q75" t="s">
        <v>539</v>
      </c>
      <c r="R75">
        <v>66.26</v>
      </c>
    </row>
    <row r="76" spans="2:18">
      <c r="B76">
        <v>40</v>
      </c>
      <c r="C76" s="28" t="s">
        <v>519</v>
      </c>
      <c r="D76" s="28" t="s">
        <v>520</v>
      </c>
      <c r="E76" t="s">
        <v>493</v>
      </c>
      <c r="F76" t="s">
        <v>631</v>
      </c>
      <c r="G76" t="s">
        <v>647</v>
      </c>
      <c r="H76" t="s">
        <v>668</v>
      </c>
      <c r="I76" t="s">
        <v>669</v>
      </c>
      <c r="K76" t="s">
        <v>693</v>
      </c>
      <c r="L76" t="s">
        <v>518</v>
      </c>
      <c r="M76" t="s">
        <v>526</v>
      </c>
      <c r="N76" t="s">
        <v>694</v>
      </c>
      <c r="O76" t="s">
        <v>526</v>
      </c>
      <c r="P76">
        <v>1</v>
      </c>
      <c r="Q76" t="s">
        <v>539</v>
      </c>
      <c r="R76">
        <v>101</v>
      </c>
    </row>
    <row r="77" spans="2:18">
      <c r="B77">
        <v>41</v>
      </c>
      <c r="C77" s="28" t="s">
        <v>519</v>
      </c>
      <c r="D77" s="28" t="s">
        <v>520</v>
      </c>
      <c r="E77" t="s">
        <v>493</v>
      </c>
      <c r="F77" t="s">
        <v>631</v>
      </c>
      <c r="G77" t="s">
        <v>647</v>
      </c>
      <c r="H77" t="s">
        <v>673</v>
      </c>
      <c r="I77" t="s">
        <v>674</v>
      </c>
      <c r="K77" t="s">
        <v>695</v>
      </c>
      <c r="L77" t="s">
        <v>518</v>
      </c>
      <c r="M77" t="s">
        <v>526</v>
      </c>
      <c r="N77" t="s">
        <v>696</v>
      </c>
      <c r="O77" t="s">
        <v>526</v>
      </c>
      <c r="P77">
        <v>1</v>
      </c>
      <c r="Q77" t="s">
        <v>539</v>
      </c>
      <c r="R77">
        <v>418</v>
      </c>
    </row>
    <row r="78" spans="2:18">
      <c r="B78">
        <v>42</v>
      </c>
      <c r="C78" s="28" t="s">
        <v>519</v>
      </c>
      <c r="D78" s="28" t="s">
        <v>520</v>
      </c>
      <c r="E78" t="s">
        <v>493</v>
      </c>
      <c r="F78" t="s">
        <v>631</v>
      </c>
      <c r="G78" t="s">
        <v>647</v>
      </c>
      <c r="H78" t="s">
        <v>677</v>
      </c>
      <c r="I78" t="s">
        <v>678</v>
      </c>
      <c r="K78" t="s">
        <v>697</v>
      </c>
      <c r="L78" t="s">
        <v>518</v>
      </c>
      <c r="M78" t="s">
        <v>526</v>
      </c>
      <c r="N78" t="s">
        <v>698</v>
      </c>
      <c r="O78" t="s">
        <v>526</v>
      </c>
      <c r="P78">
        <v>1</v>
      </c>
      <c r="Q78" t="s">
        <v>539</v>
      </c>
      <c r="R78">
        <v>37</v>
      </c>
    </row>
    <row r="79" spans="2:18">
      <c r="B79">
        <v>43</v>
      </c>
      <c r="C79" s="28" t="s">
        <v>519</v>
      </c>
      <c r="D79" s="28" t="s">
        <v>520</v>
      </c>
      <c r="E79" t="s">
        <v>495</v>
      </c>
      <c r="F79" t="s">
        <v>521</v>
      </c>
      <c r="G79" t="s">
        <v>522</v>
      </c>
      <c r="H79" t="s">
        <v>523</v>
      </c>
      <c r="I79" t="s">
        <v>524</v>
      </c>
      <c r="K79" t="s">
        <v>670</v>
      </c>
      <c r="L79" t="s">
        <v>518</v>
      </c>
      <c r="M79" t="s">
        <v>526</v>
      </c>
      <c r="N79" t="s">
        <v>671</v>
      </c>
      <c r="O79" t="s">
        <v>526</v>
      </c>
      <c r="P79">
        <v>1</v>
      </c>
      <c r="Q79" t="s">
        <v>672</v>
      </c>
      <c r="R79">
        <v>370</v>
      </c>
    </row>
    <row r="80" spans="2:18">
      <c r="B80">
        <v>44</v>
      </c>
      <c r="C80" s="28" t="s">
        <v>519</v>
      </c>
      <c r="D80" s="28" t="s">
        <v>520</v>
      </c>
      <c r="E80" t="s">
        <v>495</v>
      </c>
      <c r="F80" t="s">
        <v>521</v>
      </c>
      <c r="G80" t="s">
        <v>522</v>
      </c>
      <c r="H80" t="s">
        <v>529</v>
      </c>
      <c r="I80" t="s">
        <v>530</v>
      </c>
      <c r="K80" t="s">
        <v>675</v>
      </c>
      <c r="L80" t="s">
        <v>518</v>
      </c>
      <c r="M80" t="s">
        <v>526</v>
      </c>
      <c r="N80" t="s">
        <v>676</v>
      </c>
      <c r="O80" t="s">
        <v>526</v>
      </c>
      <c r="P80">
        <v>1</v>
      </c>
      <c r="Q80" t="s">
        <v>558</v>
      </c>
      <c r="R80">
        <v>4.7</v>
      </c>
    </row>
    <row r="81" spans="2:18">
      <c r="B81">
        <v>45</v>
      </c>
      <c r="C81" s="28" t="s">
        <v>519</v>
      </c>
      <c r="D81" s="28" t="s">
        <v>520</v>
      </c>
      <c r="E81" t="s">
        <v>495</v>
      </c>
      <c r="F81" t="s">
        <v>521</v>
      </c>
      <c r="G81" t="s">
        <v>534</v>
      </c>
      <c r="H81" t="s">
        <v>535</v>
      </c>
      <c r="I81" t="s">
        <v>536</v>
      </c>
      <c r="K81" t="s">
        <v>699</v>
      </c>
      <c r="L81" t="s">
        <v>518</v>
      </c>
      <c r="M81" t="s">
        <v>526</v>
      </c>
      <c r="N81" t="s">
        <v>700</v>
      </c>
      <c r="O81" t="s">
        <v>526</v>
      </c>
      <c r="P81">
        <v>1</v>
      </c>
      <c r="Q81" t="s">
        <v>623</v>
      </c>
      <c r="R81">
        <v>370</v>
      </c>
    </row>
    <row r="82" spans="2:18">
      <c r="B82">
        <v>46</v>
      </c>
      <c r="C82" s="28" t="s">
        <v>519</v>
      </c>
      <c r="D82" s="28" t="s">
        <v>520</v>
      </c>
      <c r="E82" t="s">
        <v>495</v>
      </c>
      <c r="F82" t="s">
        <v>521</v>
      </c>
      <c r="G82" t="s">
        <v>534</v>
      </c>
      <c r="H82" t="s">
        <v>540</v>
      </c>
      <c r="I82" t="s">
        <v>541</v>
      </c>
      <c r="K82" t="s">
        <v>701</v>
      </c>
      <c r="L82" t="s">
        <v>518</v>
      </c>
      <c r="M82" t="s">
        <v>526</v>
      </c>
      <c r="N82" t="s">
        <v>702</v>
      </c>
      <c r="O82" t="s">
        <v>526</v>
      </c>
      <c r="P82">
        <v>1</v>
      </c>
      <c r="Q82" t="s">
        <v>539</v>
      </c>
      <c r="R82">
        <v>39.5</v>
      </c>
    </row>
    <row r="83" spans="2:18">
      <c r="B83">
        <v>47</v>
      </c>
      <c r="C83" s="28" t="s">
        <v>519</v>
      </c>
      <c r="D83" s="28" t="s">
        <v>520</v>
      </c>
      <c r="E83" t="s">
        <v>495</v>
      </c>
      <c r="F83" t="s">
        <v>544</v>
      </c>
      <c r="G83" t="s">
        <v>545</v>
      </c>
      <c r="H83" t="s">
        <v>546</v>
      </c>
      <c r="I83" t="s">
        <v>547</v>
      </c>
      <c r="K83" t="s">
        <v>703</v>
      </c>
      <c r="L83" t="s">
        <v>518</v>
      </c>
      <c r="M83" t="s">
        <v>526</v>
      </c>
      <c r="N83" t="s">
        <v>702</v>
      </c>
      <c r="O83" t="s">
        <v>526</v>
      </c>
      <c r="P83">
        <v>1</v>
      </c>
      <c r="Q83" t="s">
        <v>539</v>
      </c>
      <c r="R83">
        <v>17.2</v>
      </c>
    </row>
    <row r="84" spans="2:18">
      <c r="B84">
        <v>1</v>
      </c>
      <c r="C84" s="28" t="s">
        <v>519</v>
      </c>
      <c r="D84" s="28" t="s">
        <v>520</v>
      </c>
      <c r="E84" t="s">
        <v>495</v>
      </c>
      <c r="F84" t="s">
        <v>544</v>
      </c>
      <c r="G84" t="s">
        <v>550</v>
      </c>
      <c r="H84" t="s">
        <v>551</v>
      </c>
      <c r="I84" t="s">
        <v>552</v>
      </c>
      <c r="K84" t="s">
        <v>525</v>
      </c>
      <c r="L84" t="s">
        <v>518</v>
      </c>
      <c r="M84" t="s">
        <v>526</v>
      </c>
      <c r="N84" t="s">
        <v>527</v>
      </c>
      <c r="O84" t="s">
        <v>526</v>
      </c>
      <c r="P84">
        <v>1</v>
      </c>
      <c r="Q84" t="s">
        <v>528</v>
      </c>
      <c r="R84">
        <v>920</v>
      </c>
    </row>
    <row r="85" spans="2:18">
      <c r="B85">
        <v>2</v>
      </c>
      <c r="C85" s="28" t="s">
        <v>519</v>
      </c>
      <c r="D85" s="28" t="s">
        <v>520</v>
      </c>
      <c r="E85" t="s">
        <v>495</v>
      </c>
      <c r="F85" t="s">
        <v>544</v>
      </c>
      <c r="G85" t="s">
        <v>550</v>
      </c>
      <c r="H85" t="s">
        <v>555</v>
      </c>
      <c r="I85" t="s">
        <v>556</v>
      </c>
      <c r="K85" t="s">
        <v>531</v>
      </c>
      <c r="L85" t="s">
        <v>518</v>
      </c>
      <c r="M85" t="s">
        <v>526</v>
      </c>
      <c r="N85" t="s">
        <v>532</v>
      </c>
      <c r="O85" t="s">
        <v>526</v>
      </c>
      <c r="P85">
        <v>1</v>
      </c>
      <c r="Q85" t="s">
        <v>533</v>
      </c>
      <c r="R85">
        <v>380</v>
      </c>
    </row>
    <row r="86" spans="2:18">
      <c r="B86">
        <v>3</v>
      </c>
      <c r="C86" s="28" t="s">
        <v>519</v>
      </c>
      <c r="D86" s="28" t="s">
        <v>520</v>
      </c>
      <c r="E86" t="s">
        <v>495</v>
      </c>
      <c r="F86" t="s">
        <v>544</v>
      </c>
      <c r="G86" t="s">
        <v>550</v>
      </c>
      <c r="H86" t="s">
        <v>559</v>
      </c>
      <c r="I86" t="s">
        <v>560</v>
      </c>
      <c r="K86" t="s">
        <v>537</v>
      </c>
      <c r="L86" t="s">
        <v>518</v>
      </c>
      <c r="M86" t="s">
        <v>526</v>
      </c>
      <c r="N86" t="s">
        <v>538</v>
      </c>
      <c r="O86" t="s">
        <v>526</v>
      </c>
      <c r="P86">
        <v>1</v>
      </c>
      <c r="Q86" t="s">
        <v>539</v>
      </c>
      <c r="R86">
        <v>14</v>
      </c>
    </row>
    <row r="87" spans="2:18">
      <c r="B87">
        <v>4</v>
      </c>
      <c r="C87" s="28" t="s">
        <v>519</v>
      </c>
      <c r="D87" s="28" t="s">
        <v>520</v>
      </c>
      <c r="E87" t="s">
        <v>495</v>
      </c>
      <c r="F87" t="s">
        <v>544</v>
      </c>
      <c r="G87" t="s">
        <v>550</v>
      </c>
      <c r="H87" t="s">
        <v>562</v>
      </c>
      <c r="I87" t="s">
        <v>704</v>
      </c>
      <c r="K87" t="s">
        <v>542</v>
      </c>
      <c r="L87" t="s">
        <v>518</v>
      </c>
      <c r="M87" t="s">
        <v>526</v>
      </c>
      <c r="N87" t="s">
        <v>543</v>
      </c>
      <c r="O87" t="s">
        <v>526</v>
      </c>
      <c r="P87">
        <v>1</v>
      </c>
      <c r="Q87" t="s">
        <v>539</v>
      </c>
      <c r="R87">
        <v>33</v>
      </c>
    </row>
    <row r="88" spans="2:18">
      <c r="B88">
        <v>5</v>
      </c>
      <c r="C88" s="28" t="s">
        <v>519</v>
      </c>
      <c r="D88" s="28" t="s">
        <v>520</v>
      </c>
      <c r="E88" t="s">
        <v>495</v>
      </c>
      <c r="F88" t="s">
        <v>544</v>
      </c>
      <c r="G88" t="s">
        <v>566</v>
      </c>
      <c r="H88" t="s">
        <v>567</v>
      </c>
      <c r="I88" t="s">
        <v>568</v>
      </c>
      <c r="K88" t="s">
        <v>548</v>
      </c>
      <c r="L88" t="s">
        <v>518</v>
      </c>
      <c r="M88" t="s">
        <v>526</v>
      </c>
      <c r="N88" t="s">
        <v>549</v>
      </c>
      <c r="O88" t="s">
        <v>526</v>
      </c>
      <c r="P88">
        <v>1</v>
      </c>
      <c r="Q88" t="s">
        <v>539</v>
      </c>
      <c r="R88">
        <v>0</v>
      </c>
    </row>
    <row r="89" spans="2:18">
      <c r="B89">
        <v>6</v>
      </c>
      <c r="C89" s="28" t="s">
        <v>519</v>
      </c>
      <c r="D89" s="28" t="s">
        <v>520</v>
      </c>
      <c r="E89" t="s">
        <v>495</v>
      </c>
      <c r="F89" t="s">
        <v>544</v>
      </c>
      <c r="G89" t="s">
        <v>566</v>
      </c>
      <c r="H89" t="s">
        <v>570</v>
      </c>
      <c r="I89" t="s">
        <v>571</v>
      </c>
      <c r="K89" t="s">
        <v>553</v>
      </c>
      <c r="L89" t="s">
        <v>518</v>
      </c>
      <c r="M89" t="s">
        <v>526</v>
      </c>
      <c r="N89" t="s">
        <v>554</v>
      </c>
      <c r="O89" t="s">
        <v>526</v>
      </c>
      <c r="P89">
        <v>1</v>
      </c>
      <c r="Q89" t="s">
        <v>539</v>
      </c>
      <c r="R89">
        <v>223</v>
      </c>
    </row>
    <row r="90" spans="2:18">
      <c r="B90">
        <v>27</v>
      </c>
      <c r="C90" s="28" t="s">
        <v>519</v>
      </c>
      <c r="D90" s="28" t="s">
        <v>520</v>
      </c>
      <c r="E90" t="s">
        <v>495</v>
      </c>
      <c r="F90" t="s">
        <v>544</v>
      </c>
      <c r="G90" t="s">
        <v>574</v>
      </c>
      <c r="H90" t="s">
        <v>575</v>
      </c>
      <c r="I90" t="s">
        <v>576</v>
      </c>
      <c r="K90" t="s">
        <v>557</v>
      </c>
      <c r="L90" t="s">
        <v>518</v>
      </c>
      <c r="M90" t="s">
        <v>526</v>
      </c>
      <c r="N90" t="s">
        <v>526</v>
      </c>
      <c r="O90" t="s">
        <v>526</v>
      </c>
      <c r="P90">
        <v>1</v>
      </c>
      <c r="Q90" t="s">
        <v>558</v>
      </c>
      <c r="R90">
        <v>640</v>
      </c>
    </row>
    <row r="91" spans="2:18">
      <c r="B91">
        <v>27</v>
      </c>
      <c r="C91" s="28" t="s">
        <v>519</v>
      </c>
      <c r="D91" s="28" t="s">
        <v>520</v>
      </c>
      <c r="E91" t="s">
        <v>495</v>
      </c>
      <c r="F91" t="s">
        <v>544</v>
      </c>
      <c r="G91" t="s">
        <v>545</v>
      </c>
      <c r="H91" t="s">
        <v>579</v>
      </c>
      <c r="I91" t="s">
        <v>580</v>
      </c>
      <c r="K91" t="s">
        <v>561</v>
      </c>
      <c r="L91" t="s">
        <v>518</v>
      </c>
      <c r="M91" t="s">
        <v>526</v>
      </c>
      <c r="N91" t="s">
        <v>526</v>
      </c>
      <c r="O91" t="s">
        <v>526</v>
      </c>
      <c r="P91">
        <v>1</v>
      </c>
      <c r="Q91" t="s">
        <v>558</v>
      </c>
      <c r="R91">
        <v>425</v>
      </c>
    </row>
    <row r="92" spans="2:18">
      <c r="B92">
        <v>27</v>
      </c>
      <c r="C92" s="28" t="s">
        <v>519</v>
      </c>
      <c r="D92" s="28" t="s">
        <v>520</v>
      </c>
      <c r="E92" t="s">
        <v>495</v>
      </c>
      <c r="F92" t="s">
        <v>544</v>
      </c>
      <c r="G92" t="s">
        <v>583</v>
      </c>
      <c r="H92" t="s">
        <v>584</v>
      </c>
      <c r="I92" t="s">
        <v>585</v>
      </c>
      <c r="K92" t="s">
        <v>564</v>
      </c>
      <c r="L92" t="s">
        <v>518</v>
      </c>
      <c r="M92" t="s">
        <v>526</v>
      </c>
      <c r="N92" t="s">
        <v>565</v>
      </c>
      <c r="O92" t="s">
        <v>526</v>
      </c>
      <c r="P92">
        <v>1</v>
      </c>
      <c r="Q92" t="s">
        <v>539</v>
      </c>
      <c r="R92">
        <v>959</v>
      </c>
    </row>
    <row r="93" spans="2:18">
      <c r="B93">
        <v>10</v>
      </c>
      <c r="C93" s="28" t="s">
        <v>519</v>
      </c>
      <c r="D93" s="28" t="s">
        <v>520</v>
      </c>
      <c r="E93" t="s">
        <v>495</v>
      </c>
      <c r="F93" t="s">
        <v>544</v>
      </c>
      <c r="G93" t="s">
        <v>550</v>
      </c>
      <c r="H93" t="s">
        <v>588</v>
      </c>
      <c r="I93" t="s">
        <v>589</v>
      </c>
      <c r="K93" t="s">
        <v>569</v>
      </c>
      <c r="L93" t="s">
        <v>518</v>
      </c>
      <c r="M93" t="s">
        <v>526</v>
      </c>
      <c r="N93" t="s">
        <v>526</v>
      </c>
      <c r="O93" t="s">
        <v>526</v>
      </c>
      <c r="P93">
        <v>1</v>
      </c>
      <c r="Q93" t="s">
        <v>539</v>
      </c>
      <c r="R93">
        <v>1680</v>
      </c>
    </row>
    <row r="94" spans="2:18">
      <c r="B94">
        <v>11</v>
      </c>
      <c r="C94" s="28" t="s">
        <v>519</v>
      </c>
      <c r="D94" s="28" t="s">
        <v>520</v>
      </c>
      <c r="E94" t="s">
        <v>495</v>
      </c>
      <c r="F94" t="s">
        <v>544</v>
      </c>
      <c r="G94" t="s">
        <v>591</v>
      </c>
      <c r="H94" t="s">
        <v>592</v>
      </c>
      <c r="I94" t="s">
        <v>593</v>
      </c>
      <c r="K94" t="s">
        <v>572</v>
      </c>
      <c r="L94" t="s">
        <v>518</v>
      </c>
      <c r="M94" t="s">
        <v>526</v>
      </c>
      <c r="N94" t="s">
        <v>573</v>
      </c>
      <c r="O94" t="s">
        <v>526</v>
      </c>
      <c r="P94">
        <v>1</v>
      </c>
      <c r="Q94" t="s">
        <v>539</v>
      </c>
      <c r="R94">
        <v>10</v>
      </c>
    </row>
    <row r="95" spans="2:18">
      <c r="B95">
        <v>12</v>
      </c>
      <c r="C95" s="28" t="s">
        <v>519</v>
      </c>
      <c r="D95" s="28" t="s">
        <v>520</v>
      </c>
      <c r="E95" t="s">
        <v>495</v>
      </c>
      <c r="F95" t="s">
        <v>544</v>
      </c>
      <c r="G95" t="s">
        <v>550</v>
      </c>
      <c r="H95" t="s">
        <v>595</v>
      </c>
      <c r="I95" t="s">
        <v>596</v>
      </c>
      <c r="K95" t="s">
        <v>577</v>
      </c>
      <c r="L95" t="s">
        <v>518</v>
      </c>
      <c r="M95" t="s">
        <v>526</v>
      </c>
      <c r="N95" t="s">
        <v>578</v>
      </c>
      <c r="O95" t="s">
        <v>526</v>
      </c>
      <c r="P95">
        <v>1</v>
      </c>
      <c r="Q95" t="s">
        <v>539</v>
      </c>
      <c r="R95">
        <v>74</v>
      </c>
    </row>
    <row r="96" spans="2:18">
      <c r="B96">
        <v>12</v>
      </c>
      <c r="C96" s="28" t="s">
        <v>519</v>
      </c>
      <c r="D96" s="28" t="s">
        <v>520</v>
      </c>
      <c r="E96" t="s">
        <v>495</v>
      </c>
      <c r="F96" t="s">
        <v>544</v>
      </c>
      <c r="G96" t="s">
        <v>522</v>
      </c>
      <c r="H96" t="s">
        <v>599</v>
      </c>
      <c r="I96" t="s">
        <v>600</v>
      </c>
      <c r="K96" t="s">
        <v>705</v>
      </c>
      <c r="L96" t="s">
        <v>518</v>
      </c>
      <c r="M96" t="s">
        <v>526</v>
      </c>
      <c r="N96" t="s">
        <v>706</v>
      </c>
      <c r="O96" t="s">
        <v>526</v>
      </c>
      <c r="P96">
        <v>1</v>
      </c>
      <c r="Q96" t="s">
        <v>539</v>
      </c>
      <c r="R96">
        <v>56</v>
      </c>
    </row>
    <row r="97" spans="2:18">
      <c r="B97">
        <v>13</v>
      </c>
      <c r="C97" s="28" t="s">
        <v>519</v>
      </c>
      <c r="D97" s="28" t="s">
        <v>520</v>
      </c>
      <c r="E97" t="s">
        <v>495</v>
      </c>
      <c r="F97" t="s">
        <v>544</v>
      </c>
      <c r="G97" t="s">
        <v>604</v>
      </c>
      <c r="H97" t="s">
        <v>605</v>
      </c>
      <c r="I97" t="s">
        <v>610</v>
      </c>
      <c r="K97" t="s">
        <v>581</v>
      </c>
      <c r="L97" t="s">
        <v>518</v>
      </c>
      <c r="M97" t="s">
        <v>526</v>
      </c>
      <c r="N97" t="s">
        <v>582</v>
      </c>
      <c r="O97" t="s">
        <v>526</v>
      </c>
      <c r="P97">
        <v>1</v>
      </c>
      <c r="Q97" t="s">
        <v>539</v>
      </c>
      <c r="R97">
        <v>84</v>
      </c>
    </row>
    <row r="98" spans="2:18">
      <c r="B98">
        <v>14</v>
      </c>
      <c r="C98" s="28" t="s">
        <v>519</v>
      </c>
      <c r="D98" s="28" t="s">
        <v>520</v>
      </c>
      <c r="E98" t="s">
        <v>495</v>
      </c>
      <c r="F98" t="s">
        <v>544</v>
      </c>
      <c r="G98" t="s">
        <v>550</v>
      </c>
      <c r="H98" t="s">
        <v>477</v>
      </c>
      <c r="I98" t="s">
        <v>613</v>
      </c>
      <c r="K98" t="s">
        <v>586</v>
      </c>
      <c r="L98" t="s">
        <v>518</v>
      </c>
      <c r="M98" t="s">
        <v>526</v>
      </c>
      <c r="N98" t="s">
        <v>587</v>
      </c>
      <c r="O98" t="s">
        <v>526</v>
      </c>
      <c r="P98">
        <v>1</v>
      </c>
      <c r="Q98" t="s">
        <v>539</v>
      </c>
      <c r="R98">
        <v>165</v>
      </c>
    </row>
    <row r="99" spans="2:18">
      <c r="B99">
        <v>15</v>
      </c>
      <c r="C99" s="28" t="s">
        <v>519</v>
      </c>
      <c r="D99" s="28" t="s">
        <v>520</v>
      </c>
      <c r="E99" t="s">
        <v>495</v>
      </c>
      <c r="F99" t="s">
        <v>544</v>
      </c>
      <c r="G99" t="s">
        <v>583</v>
      </c>
      <c r="H99" t="s">
        <v>617</v>
      </c>
      <c r="I99" t="s">
        <v>618</v>
      </c>
      <c r="K99" t="s">
        <v>590</v>
      </c>
      <c r="L99" t="s">
        <v>518</v>
      </c>
      <c r="M99" t="s">
        <v>526</v>
      </c>
      <c r="N99" t="s">
        <v>526</v>
      </c>
      <c r="O99" t="s">
        <v>526</v>
      </c>
      <c r="P99">
        <v>1</v>
      </c>
      <c r="Q99" t="s">
        <v>539</v>
      </c>
      <c r="R99">
        <v>43</v>
      </c>
    </row>
    <row r="100" spans="2:18">
      <c r="B100">
        <v>16</v>
      </c>
      <c r="C100" s="28" t="s">
        <v>519</v>
      </c>
      <c r="D100" s="28" t="s">
        <v>520</v>
      </c>
      <c r="E100" t="s">
        <v>495</v>
      </c>
      <c r="F100" t="s">
        <v>544</v>
      </c>
      <c r="G100" t="s">
        <v>550</v>
      </c>
      <c r="H100" t="s">
        <v>478</v>
      </c>
      <c r="I100" t="s">
        <v>621</v>
      </c>
      <c r="K100" t="s">
        <v>594</v>
      </c>
      <c r="L100" t="s">
        <v>518</v>
      </c>
      <c r="M100" t="s">
        <v>526</v>
      </c>
      <c r="N100" t="s">
        <v>582</v>
      </c>
      <c r="O100" t="s">
        <v>526</v>
      </c>
      <c r="P100">
        <v>1</v>
      </c>
      <c r="Q100" t="s">
        <v>539</v>
      </c>
      <c r="R100">
        <v>425</v>
      </c>
    </row>
    <row r="101" spans="2:18">
      <c r="B101">
        <v>17</v>
      </c>
      <c r="C101" s="28" t="s">
        <v>519</v>
      </c>
      <c r="D101" s="28" t="s">
        <v>520</v>
      </c>
      <c r="E101" t="s">
        <v>495</v>
      </c>
      <c r="F101" t="s">
        <v>544</v>
      </c>
      <c r="G101" t="s">
        <v>550</v>
      </c>
      <c r="H101" t="s">
        <v>624</v>
      </c>
      <c r="I101" t="s">
        <v>625</v>
      </c>
      <c r="K101" t="s">
        <v>597</v>
      </c>
      <c r="L101" t="s">
        <v>518</v>
      </c>
      <c r="M101" t="s">
        <v>526</v>
      </c>
      <c r="N101" t="s">
        <v>598</v>
      </c>
      <c r="O101" t="s">
        <v>526</v>
      </c>
      <c r="P101">
        <v>1</v>
      </c>
      <c r="Q101" t="s">
        <v>539</v>
      </c>
      <c r="R101">
        <v>77</v>
      </c>
    </row>
    <row r="102" spans="2:18">
      <c r="B102">
        <v>18</v>
      </c>
      <c r="C102" s="28" t="s">
        <v>519</v>
      </c>
      <c r="D102" s="28" t="s">
        <v>520</v>
      </c>
      <c r="E102" t="s">
        <v>495</v>
      </c>
      <c r="F102" t="s">
        <v>544</v>
      </c>
      <c r="G102" t="s">
        <v>550</v>
      </c>
      <c r="H102" t="s">
        <v>627</v>
      </c>
      <c r="I102" t="s">
        <v>628</v>
      </c>
      <c r="K102" t="s">
        <v>601</v>
      </c>
      <c r="L102" t="s">
        <v>518</v>
      </c>
      <c r="M102" t="s">
        <v>526</v>
      </c>
      <c r="N102" t="s">
        <v>602</v>
      </c>
      <c r="O102" t="s">
        <v>526</v>
      </c>
      <c r="P102">
        <v>1</v>
      </c>
      <c r="Q102" t="s">
        <v>603</v>
      </c>
      <c r="R102">
        <v>415</v>
      </c>
    </row>
    <row r="103" spans="2:18">
      <c r="B103">
        <v>33</v>
      </c>
      <c r="C103" s="28" t="s">
        <v>519</v>
      </c>
      <c r="D103" s="28" t="s">
        <v>520</v>
      </c>
      <c r="E103" t="s">
        <v>495</v>
      </c>
      <c r="F103" t="s">
        <v>631</v>
      </c>
      <c r="G103" t="s">
        <v>522</v>
      </c>
      <c r="H103" t="s">
        <v>632</v>
      </c>
      <c r="I103" t="s">
        <v>633</v>
      </c>
      <c r="K103" t="s">
        <v>607</v>
      </c>
      <c r="L103" t="s">
        <v>518</v>
      </c>
      <c r="M103" t="s">
        <v>526</v>
      </c>
      <c r="N103" t="s">
        <v>608</v>
      </c>
      <c r="O103" t="s">
        <v>526</v>
      </c>
      <c r="P103">
        <v>1</v>
      </c>
      <c r="Q103" t="s">
        <v>609</v>
      </c>
      <c r="R103">
        <v>53</v>
      </c>
    </row>
    <row r="104" spans="2:18">
      <c r="B104">
        <v>19</v>
      </c>
      <c r="C104" s="28" t="s">
        <v>519</v>
      </c>
      <c r="D104" s="28" t="s">
        <v>520</v>
      </c>
      <c r="E104" t="s">
        <v>495</v>
      </c>
      <c r="F104" t="s">
        <v>631</v>
      </c>
      <c r="G104" t="s">
        <v>566</v>
      </c>
      <c r="H104" t="s">
        <v>636</v>
      </c>
      <c r="I104" t="s">
        <v>637</v>
      </c>
      <c r="K104" t="s">
        <v>614</v>
      </c>
      <c r="L104" t="s">
        <v>518</v>
      </c>
      <c r="M104" t="s">
        <v>526</v>
      </c>
      <c r="N104" t="s">
        <v>615</v>
      </c>
      <c r="O104" t="s">
        <v>526</v>
      </c>
      <c r="P104">
        <v>1</v>
      </c>
      <c r="Q104" t="s">
        <v>616</v>
      </c>
      <c r="R104">
        <v>53</v>
      </c>
    </row>
    <row r="105" spans="2:18">
      <c r="B105">
        <v>19</v>
      </c>
      <c r="C105" s="28" t="s">
        <v>519</v>
      </c>
      <c r="D105" s="28" t="s">
        <v>520</v>
      </c>
      <c r="E105" t="s">
        <v>495</v>
      </c>
      <c r="F105" t="s">
        <v>631</v>
      </c>
      <c r="G105" t="s">
        <v>550</v>
      </c>
      <c r="H105" t="s">
        <v>640</v>
      </c>
      <c r="I105" t="s">
        <v>641</v>
      </c>
      <c r="K105" t="s">
        <v>619</v>
      </c>
      <c r="L105" t="s">
        <v>518</v>
      </c>
      <c r="M105" t="s">
        <v>526</v>
      </c>
      <c r="N105" t="s">
        <v>620</v>
      </c>
      <c r="O105" t="s">
        <v>526</v>
      </c>
      <c r="P105">
        <v>1</v>
      </c>
      <c r="Q105" t="s">
        <v>539</v>
      </c>
      <c r="R105">
        <v>81</v>
      </c>
    </row>
    <row r="106" spans="2:18">
      <c r="B106">
        <v>20</v>
      </c>
      <c r="C106" s="28" t="s">
        <v>519</v>
      </c>
      <c r="D106" s="28" t="s">
        <v>520</v>
      </c>
      <c r="E106" t="s">
        <v>495</v>
      </c>
      <c r="F106" t="s">
        <v>631</v>
      </c>
      <c r="G106" t="s">
        <v>574</v>
      </c>
      <c r="H106" t="s">
        <v>643</v>
      </c>
      <c r="I106" t="s">
        <v>644</v>
      </c>
      <c r="K106" t="s">
        <v>622</v>
      </c>
      <c r="L106" t="s">
        <v>518</v>
      </c>
      <c r="M106" t="s">
        <v>526</v>
      </c>
      <c r="N106" t="s">
        <v>526</v>
      </c>
      <c r="O106" t="s">
        <v>526</v>
      </c>
      <c r="P106">
        <v>1</v>
      </c>
      <c r="Q106" t="s">
        <v>623</v>
      </c>
      <c r="R106">
        <v>1086</v>
      </c>
    </row>
    <row r="107" spans="2:18">
      <c r="B107">
        <v>24</v>
      </c>
      <c r="C107" s="28" t="s">
        <v>519</v>
      </c>
      <c r="D107" s="28" t="s">
        <v>520</v>
      </c>
      <c r="E107" t="s">
        <v>495</v>
      </c>
      <c r="F107" t="s">
        <v>631</v>
      </c>
      <c r="G107" t="s">
        <v>647</v>
      </c>
      <c r="H107" t="s">
        <v>648</v>
      </c>
      <c r="I107" t="s">
        <v>649</v>
      </c>
      <c r="K107" t="s">
        <v>626</v>
      </c>
      <c r="L107" t="s">
        <v>518</v>
      </c>
      <c r="M107" t="s">
        <v>526</v>
      </c>
      <c r="N107" t="s">
        <v>526</v>
      </c>
      <c r="O107" t="s">
        <v>526</v>
      </c>
      <c r="P107">
        <v>1</v>
      </c>
      <c r="Q107" t="s">
        <v>539</v>
      </c>
      <c r="R107">
        <v>41</v>
      </c>
    </row>
    <row r="108" spans="2:18">
      <c r="B108">
        <v>26</v>
      </c>
      <c r="C108" s="28" t="s">
        <v>519</v>
      </c>
      <c r="D108" s="28" t="s">
        <v>520</v>
      </c>
      <c r="E108" t="s">
        <v>495</v>
      </c>
      <c r="F108" t="s">
        <v>631</v>
      </c>
      <c r="G108" t="s">
        <v>647</v>
      </c>
      <c r="H108" t="s">
        <v>652</v>
      </c>
      <c r="I108" t="s">
        <v>653</v>
      </c>
      <c r="K108" t="s">
        <v>629</v>
      </c>
      <c r="L108" t="s">
        <v>518</v>
      </c>
      <c r="M108" t="s">
        <v>526</v>
      </c>
      <c r="N108" t="s">
        <v>630</v>
      </c>
      <c r="O108" t="s">
        <v>526</v>
      </c>
      <c r="P108">
        <v>1</v>
      </c>
      <c r="Q108" t="s">
        <v>558</v>
      </c>
      <c r="R108">
        <v>331</v>
      </c>
    </row>
    <row r="109" spans="2:18">
      <c r="B109">
        <v>27</v>
      </c>
      <c r="C109" s="28" t="s">
        <v>519</v>
      </c>
      <c r="D109" s="28" t="s">
        <v>520</v>
      </c>
      <c r="E109" t="s">
        <v>495</v>
      </c>
      <c r="F109" t="s">
        <v>631</v>
      </c>
      <c r="G109" t="s">
        <v>647</v>
      </c>
      <c r="H109" t="s">
        <v>656</v>
      </c>
      <c r="I109" t="s">
        <v>657</v>
      </c>
      <c r="K109" t="s">
        <v>634</v>
      </c>
      <c r="L109" t="s">
        <v>518</v>
      </c>
      <c r="M109" t="s">
        <v>526</v>
      </c>
      <c r="N109" t="s">
        <v>635</v>
      </c>
      <c r="O109" t="s">
        <v>526</v>
      </c>
      <c r="P109">
        <v>1</v>
      </c>
      <c r="Q109" t="s">
        <v>533</v>
      </c>
      <c r="R109">
        <v>92</v>
      </c>
    </row>
    <row r="110" spans="2:18">
      <c r="B110">
        <v>33</v>
      </c>
      <c r="C110" s="28" t="s">
        <v>519</v>
      </c>
      <c r="D110" s="28" t="s">
        <v>520</v>
      </c>
      <c r="E110" t="s">
        <v>495</v>
      </c>
      <c r="F110" t="s">
        <v>631</v>
      </c>
      <c r="G110" t="s">
        <v>566</v>
      </c>
      <c r="H110" t="s">
        <v>660</v>
      </c>
      <c r="I110" t="s">
        <v>661</v>
      </c>
      <c r="K110" t="s">
        <v>638</v>
      </c>
      <c r="L110" t="s">
        <v>518</v>
      </c>
      <c r="M110" t="s">
        <v>526</v>
      </c>
      <c r="N110" t="s">
        <v>526</v>
      </c>
      <c r="O110" t="s">
        <v>526</v>
      </c>
      <c r="P110">
        <v>1</v>
      </c>
      <c r="Q110" t="s">
        <v>639</v>
      </c>
      <c r="R110">
        <v>58</v>
      </c>
    </row>
    <row r="111" spans="2:18">
      <c r="B111">
        <v>35</v>
      </c>
      <c r="C111" s="28" t="s">
        <v>519</v>
      </c>
      <c r="D111" s="28" t="s">
        <v>520</v>
      </c>
      <c r="E111" t="s">
        <v>495</v>
      </c>
      <c r="F111" t="s">
        <v>631</v>
      </c>
      <c r="G111" t="s">
        <v>534</v>
      </c>
      <c r="H111" t="s">
        <v>664</v>
      </c>
      <c r="I111" t="s">
        <v>665</v>
      </c>
      <c r="K111" t="s">
        <v>686</v>
      </c>
      <c r="L111" t="s">
        <v>518</v>
      </c>
      <c r="M111" t="s">
        <v>526</v>
      </c>
      <c r="N111" t="s">
        <v>687</v>
      </c>
      <c r="O111" t="s">
        <v>526</v>
      </c>
      <c r="P111">
        <v>1</v>
      </c>
      <c r="Q111" t="s">
        <v>603</v>
      </c>
      <c r="R111">
        <v>290</v>
      </c>
    </row>
    <row r="112" spans="2:18">
      <c r="B112">
        <v>37</v>
      </c>
      <c r="C112" s="28" t="s">
        <v>519</v>
      </c>
      <c r="D112" s="28" t="s">
        <v>520</v>
      </c>
      <c r="E112" t="s">
        <v>495</v>
      </c>
      <c r="F112" t="s">
        <v>631</v>
      </c>
      <c r="G112" t="s">
        <v>647</v>
      </c>
      <c r="H112" t="s">
        <v>668</v>
      </c>
      <c r="I112" t="s">
        <v>669</v>
      </c>
      <c r="K112" t="s">
        <v>688</v>
      </c>
      <c r="L112" t="s">
        <v>518</v>
      </c>
      <c r="M112" t="s">
        <v>526</v>
      </c>
      <c r="N112" t="s">
        <v>689</v>
      </c>
      <c r="O112" t="s">
        <v>526</v>
      </c>
      <c r="P112">
        <v>1</v>
      </c>
      <c r="Q112" t="s">
        <v>539</v>
      </c>
      <c r="R112">
        <v>100</v>
      </c>
    </row>
    <row r="113" spans="2:18">
      <c r="B113">
        <v>38</v>
      </c>
      <c r="C113" s="28" t="s">
        <v>519</v>
      </c>
      <c r="D113" s="28" t="s">
        <v>520</v>
      </c>
      <c r="E113" t="s">
        <v>495</v>
      </c>
      <c r="F113" t="s">
        <v>631</v>
      </c>
      <c r="G113" t="s">
        <v>647</v>
      </c>
      <c r="H113" t="s">
        <v>673</v>
      </c>
      <c r="I113" t="s">
        <v>674</v>
      </c>
      <c r="K113" t="s">
        <v>690</v>
      </c>
      <c r="L113" t="s">
        <v>518</v>
      </c>
      <c r="M113" t="s">
        <v>526</v>
      </c>
      <c r="N113" t="s">
        <v>691</v>
      </c>
      <c r="O113" t="s">
        <v>526</v>
      </c>
      <c r="P113">
        <v>1</v>
      </c>
      <c r="Q113" t="s">
        <v>616</v>
      </c>
      <c r="R113">
        <v>55</v>
      </c>
    </row>
    <row r="114" spans="2:18">
      <c r="B114">
        <v>39</v>
      </c>
      <c r="C114" s="28" t="s">
        <v>519</v>
      </c>
      <c r="D114" s="28" t="s">
        <v>520</v>
      </c>
      <c r="E114" t="s">
        <v>495</v>
      </c>
      <c r="F114" t="s">
        <v>631</v>
      </c>
      <c r="G114" t="s">
        <v>647</v>
      </c>
      <c r="H114" t="s">
        <v>677</v>
      </c>
      <c r="I114" t="s">
        <v>678</v>
      </c>
      <c r="K114" t="s">
        <v>692</v>
      </c>
      <c r="L114" t="s">
        <v>518</v>
      </c>
      <c r="M114" t="s">
        <v>526</v>
      </c>
      <c r="N114" t="s">
        <v>582</v>
      </c>
      <c r="O114" t="s">
        <v>526</v>
      </c>
      <c r="P114">
        <v>1</v>
      </c>
      <c r="Q114" t="s">
        <v>539</v>
      </c>
      <c r="R114">
        <v>66.26</v>
      </c>
    </row>
    <row r="115" spans="2:18">
      <c r="B115">
        <v>40</v>
      </c>
      <c r="C115" s="28" t="s">
        <v>519</v>
      </c>
      <c r="D115" s="28" t="s">
        <v>520</v>
      </c>
      <c r="E115" t="s">
        <v>707</v>
      </c>
      <c r="F115" t="s">
        <v>521</v>
      </c>
      <c r="G115" t="s">
        <v>522</v>
      </c>
      <c r="H115" t="s">
        <v>523</v>
      </c>
      <c r="I115" t="s">
        <v>524</v>
      </c>
      <c r="K115" t="s">
        <v>693</v>
      </c>
      <c r="L115" t="s">
        <v>518</v>
      </c>
      <c r="M115" t="s">
        <v>526</v>
      </c>
      <c r="N115" t="s">
        <v>694</v>
      </c>
      <c r="O115" t="s">
        <v>526</v>
      </c>
      <c r="P115">
        <v>1</v>
      </c>
      <c r="Q115" t="s">
        <v>539</v>
      </c>
      <c r="R115">
        <v>101</v>
      </c>
    </row>
    <row r="116" spans="2:18">
      <c r="B116">
        <v>41</v>
      </c>
      <c r="C116" s="28" t="s">
        <v>519</v>
      </c>
      <c r="D116" s="28" t="s">
        <v>520</v>
      </c>
      <c r="E116" t="s">
        <v>707</v>
      </c>
      <c r="F116" t="s">
        <v>521</v>
      </c>
      <c r="G116" t="s">
        <v>522</v>
      </c>
      <c r="H116" t="s">
        <v>529</v>
      </c>
      <c r="I116" t="s">
        <v>530</v>
      </c>
      <c r="K116" t="s">
        <v>695</v>
      </c>
      <c r="L116" t="s">
        <v>518</v>
      </c>
      <c r="M116" t="s">
        <v>526</v>
      </c>
      <c r="N116" t="s">
        <v>696</v>
      </c>
      <c r="O116" t="s">
        <v>526</v>
      </c>
      <c r="P116">
        <v>1</v>
      </c>
      <c r="Q116" t="s">
        <v>539</v>
      </c>
      <c r="R116">
        <v>418</v>
      </c>
    </row>
    <row r="117" spans="2:18">
      <c r="B117">
        <v>42</v>
      </c>
      <c r="C117" s="28" t="s">
        <v>519</v>
      </c>
      <c r="D117" s="28" t="s">
        <v>520</v>
      </c>
      <c r="E117" t="s">
        <v>707</v>
      </c>
      <c r="F117" t="s">
        <v>521</v>
      </c>
      <c r="G117" t="s">
        <v>534</v>
      </c>
      <c r="H117" t="s">
        <v>535</v>
      </c>
      <c r="I117" t="s">
        <v>536</v>
      </c>
      <c r="K117" t="s">
        <v>697</v>
      </c>
      <c r="L117" t="s">
        <v>518</v>
      </c>
      <c r="M117" t="s">
        <v>526</v>
      </c>
      <c r="N117" t="s">
        <v>698</v>
      </c>
      <c r="O117" t="s">
        <v>526</v>
      </c>
      <c r="P117">
        <v>1</v>
      </c>
      <c r="Q117" t="s">
        <v>539</v>
      </c>
      <c r="R117">
        <v>37</v>
      </c>
    </row>
    <row r="118" spans="2:18">
      <c r="B118">
        <v>43</v>
      </c>
      <c r="C118" s="28" t="s">
        <v>519</v>
      </c>
      <c r="D118" s="28" t="s">
        <v>520</v>
      </c>
      <c r="E118" t="s">
        <v>707</v>
      </c>
      <c r="F118" t="s">
        <v>521</v>
      </c>
      <c r="G118" t="s">
        <v>534</v>
      </c>
      <c r="H118" t="s">
        <v>540</v>
      </c>
      <c r="I118" t="s">
        <v>541</v>
      </c>
      <c r="K118" t="s">
        <v>670</v>
      </c>
      <c r="L118" t="s">
        <v>518</v>
      </c>
      <c r="M118" t="s">
        <v>526</v>
      </c>
      <c r="N118" t="s">
        <v>671</v>
      </c>
      <c r="O118" t="s">
        <v>526</v>
      </c>
      <c r="P118">
        <v>1</v>
      </c>
      <c r="Q118" t="s">
        <v>672</v>
      </c>
      <c r="R118">
        <v>370</v>
      </c>
    </row>
    <row r="119" spans="2:18">
      <c r="B119">
        <v>44</v>
      </c>
      <c r="C119" s="28" t="s">
        <v>519</v>
      </c>
      <c r="D119" s="28" t="s">
        <v>520</v>
      </c>
      <c r="E119" t="s">
        <v>707</v>
      </c>
      <c r="F119" t="s">
        <v>544</v>
      </c>
      <c r="G119" t="s">
        <v>545</v>
      </c>
      <c r="H119" t="s">
        <v>546</v>
      </c>
      <c r="I119" t="s">
        <v>547</v>
      </c>
      <c r="K119" t="s">
        <v>675</v>
      </c>
      <c r="L119" t="s">
        <v>518</v>
      </c>
      <c r="M119" t="s">
        <v>526</v>
      </c>
      <c r="N119" t="s">
        <v>676</v>
      </c>
      <c r="O119" t="s">
        <v>526</v>
      </c>
      <c r="P119">
        <v>1</v>
      </c>
      <c r="Q119" t="s">
        <v>558</v>
      </c>
      <c r="R119">
        <v>4.7</v>
      </c>
    </row>
    <row r="120" spans="2:18">
      <c r="B120">
        <v>45</v>
      </c>
      <c r="C120" s="28" t="s">
        <v>519</v>
      </c>
      <c r="D120" s="28" t="s">
        <v>520</v>
      </c>
      <c r="E120" t="s">
        <v>707</v>
      </c>
      <c r="F120" t="s">
        <v>544</v>
      </c>
      <c r="G120" t="s">
        <v>550</v>
      </c>
      <c r="H120" t="s">
        <v>551</v>
      </c>
      <c r="I120" t="s">
        <v>552</v>
      </c>
      <c r="K120" t="s">
        <v>699</v>
      </c>
      <c r="L120" t="s">
        <v>518</v>
      </c>
      <c r="M120" t="s">
        <v>526</v>
      </c>
      <c r="N120" t="s">
        <v>700</v>
      </c>
      <c r="O120" t="s">
        <v>526</v>
      </c>
      <c r="P120">
        <v>1</v>
      </c>
      <c r="Q120" t="s">
        <v>623</v>
      </c>
      <c r="R120">
        <v>370</v>
      </c>
    </row>
    <row r="121" spans="2:18">
      <c r="B121">
        <v>46</v>
      </c>
      <c r="C121" s="28" t="s">
        <v>519</v>
      </c>
      <c r="D121" s="28" t="s">
        <v>520</v>
      </c>
      <c r="E121" t="s">
        <v>707</v>
      </c>
      <c r="F121" t="s">
        <v>544</v>
      </c>
      <c r="G121" t="s">
        <v>550</v>
      </c>
      <c r="H121" t="s">
        <v>555</v>
      </c>
      <c r="I121" t="s">
        <v>556</v>
      </c>
      <c r="K121" t="s">
        <v>701</v>
      </c>
      <c r="L121" t="s">
        <v>518</v>
      </c>
      <c r="M121" t="s">
        <v>526</v>
      </c>
      <c r="N121" t="s">
        <v>702</v>
      </c>
      <c r="O121" t="s">
        <v>526</v>
      </c>
      <c r="P121">
        <v>1</v>
      </c>
      <c r="Q121" t="s">
        <v>539</v>
      </c>
      <c r="R121">
        <v>39.5</v>
      </c>
    </row>
    <row r="122" spans="2:18">
      <c r="B122">
        <v>47</v>
      </c>
      <c r="C122" s="28" t="s">
        <v>519</v>
      </c>
      <c r="D122" s="28" t="s">
        <v>520</v>
      </c>
      <c r="E122" t="s">
        <v>707</v>
      </c>
      <c r="F122" t="s">
        <v>544</v>
      </c>
      <c r="G122" t="s">
        <v>550</v>
      </c>
      <c r="H122" t="s">
        <v>559</v>
      </c>
      <c r="I122" t="s">
        <v>560</v>
      </c>
      <c r="K122" t="s">
        <v>703</v>
      </c>
      <c r="L122" t="s">
        <v>518</v>
      </c>
      <c r="M122" t="s">
        <v>526</v>
      </c>
      <c r="N122" t="s">
        <v>702</v>
      </c>
      <c r="O122" t="s">
        <v>526</v>
      </c>
      <c r="P122">
        <v>1</v>
      </c>
      <c r="Q122" t="s">
        <v>539</v>
      </c>
      <c r="R122">
        <v>17.2</v>
      </c>
    </row>
    <row r="123" spans="2:18">
      <c r="B123">
        <v>1</v>
      </c>
      <c r="C123" s="28" t="s">
        <v>519</v>
      </c>
      <c r="D123" s="28" t="s">
        <v>520</v>
      </c>
      <c r="E123" t="s">
        <v>707</v>
      </c>
      <c r="F123" t="s">
        <v>544</v>
      </c>
      <c r="G123" t="s">
        <v>550</v>
      </c>
      <c r="H123" t="s">
        <v>562</v>
      </c>
      <c r="I123" t="s">
        <v>563</v>
      </c>
      <c r="K123" t="s">
        <v>525</v>
      </c>
      <c r="L123" t="s">
        <v>518</v>
      </c>
      <c r="M123" t="s">
        <v>526</v>
      </c>
      <c r="N123" t="s">
        <v>527</v>
      </c>
      <c r="O123" t="s">
        <v>526</v>
      </c>
      <c r="P123">
        <v>1</v>
      </c>
      <c r="Q123" t="s">
        <v>528</v>
      </c>
      <c r="R123">
        <v>920</v>
      </c>
    </row>
    <row r="124" spans="2:18">
      <c r="B124">
        <v>2</v>
      </c>
      <c r="C124" s="28" t="s">
        <v>519</v>
      </c>
      <c r="D124" s="28" t="s">
        <v>520</v>
      </c>
      <c r="E124" t="s">
        <v>707</v>
      </c>
      <c r="F124" t="s">
        <v>544</v>
      </c>
      <c r="G124" t="s">
        <v>566</v>
      </c>
      <c r="H124" t="s">
        <v>567</v>
      </c>
      <c r="I124" t="s">
        <v>568</v>
      </c>
      <c r="K124" t="s">
        <v>531</v>
      </c>
      <c r="L124" t="s">
        <v>518</v>
      </c>
      <c r="M124" t="s">
        <v>526</v>
      </c>
      <c r="N124" t="s">
        <v>532</v>
      </c>
      <c r="O124" t="s">
        <v>526</v>
      </c>
      <c r="P124">
        <v>1</v>
      </c>
      <c r="Q124" t="s">
        <v>533</v>
      </c>
      <c r="R124">
        <v>380</v>
      </c>
    </row>
    <row r="125" spans="2:18">
      <c r="B125">
        <v>3</v>
      </c>
      <c r="C125" s="28" t="s">
        <v>519</v>
      </c>
      <c r="D125" s="28" t="s">
        <v>520</v>
      </c>
      <c r="E125" t="s">
        <v>707</v>
      </c>
      <c r="F125" t="s">
        <v>544</v>
      </c>
      <c r="G125" t="s">
        <v>566</v>
      </c>
      <c r="H125" t="s">
        <v>570</v>
      </c>
      <c r="I125" t="s">
        <v>571</v>
      </c>
      <c r="K125" t="s">
        <v>537</v>
      </c>
      <c r="L125" t="s">
        <v>518</v>
      </c>
      <c r="M125" t="s">
        <v>526</v>
      </c>
      <c r="N125" t="s">
        <v>538</v>
      </c>
      <c r="O125" t="s">
        <v>526</v>
      </c>
      <c r="P125">
        <v>1</v>
      </c>
      <c r="Q125" t="s">
        <v>539</v>
      </c>
      <c r="R125">
        <v>14</v>
      </c>
    </row>
    <row r="126" spans="2:18">
      <c r="B126">
        <v>4</v>
      </c>
      <c r="C126" s="28" t="s">
        <v>519</v>
      </c>
      <c r="D126" s="28" t="s">
        <v>520</v>
      </c>
      <c r="E126" t="s">
        <v>707</v>
      </c>
      <c r="F126" t="s">
        <v>544</v>
      </c>
      <c r="G126" t="s">
        <v>574</v>
      </c>
      <c r="H126" t="s">
        <v>575</v>
      </c>
      <c r="I126" t="s">
        <v>576</v>
      </c>
      <c r="K126" t="s">
        <v>542</v>
      </c>
      <c r="L126" t="s">
        <v>518</v>
      </c>
      <c r="M126" t="s">
        <v>526</v>
      </c>
      <c r="N126" t="s">
        <v>543</v>
      </c>
      <c r="O126" t="s">
        <v>526</v>
      </c>
      <c r="P126">
        <v>1</v>
      </c>
      <c r="Q126" t="s">
        <v>539</v>
      </c>
      <c r="R126">
        <v>33</v>
      </c>
    </row>
    <row r="127" spans="2:18">
      <c r="B127">
        <v>5</v>
      </c>
      <c r="C127" s="28" t="s">
        <v>519</v>
      </c>
      <c r="D127" s="28" t="s">
        <v>520</v>
      </c>
      <c r="E127" t="s">
        <v>707</v>
      </c>
      <c r="F127" t="s">
        <v>544</v>
      </c>
      <c r="G127" t="s">
        <v>545</v>
      </c>
      <c r="H127" t="s">
        <v>579</v>
      </c>
      <c r="I127" t="s">
        <v>580</v>
      </c>
      <c r="K127" t="s">
        <v>548</v>
      </c>
      <c r="L127" t="s">
        <v>518</v>
      </c>
      <c r="M127" t="s">
        <v>526</v>
      </c>
      <c r="N127" t="s">
        <v>549</v>
      </c>
      <c r="O127" t="s">
        <v>526</v>
      </c>
      <c r="P127">
        <v>1</v>
      </c>
      <c r="Q127" t="s">
        <v>539</v>
      </c>
      <c r="R127">
        <v>0</v>
      </c>
    </row>
    <row r="128" spans="2:18">
      <c r="B128">
        <v>6</v>
      </c>
      <c r="C128" s="28" t="s">
        <v>519</v>
      </c>
      <c r="D128" s="28" t="s">
        <v>520</v>
      </c>
      <c r="E128" t="s">
        <v>707</v>
      </c>
      <c r="F128" t="s">
        <v>544</v>
      </c>
      <c r="G128" t="s">
        <v>583</v>
      </c>
      <c r="H128" t="s">
        <v>584</v>
      </c>
      <c r="I128" t="s">
        <v>585</v>
      </c>
      <c r="K128" t="s">
        <v>553</v>
      </c>
      <c r="L128" t="s">
        <v>518</v>
      </c>
      <c r="M128" t="s">
        <v>526</v>
      </c>
      <c r="N128" t="s">
        <v>554</v>
      </c>
      <c r="O128" t="s">
        <v>526</v>
      </c>
      <c r="P128">
        <v>1</v>
      </c>
      <c r="Q128" t="s">
        <v>539</v>
      </c>
      <c r="R128">
        <v>223</v>
      </c>
    </row>
    <row r="129" spans="2:18">
      <c r="B129">
        <v>7</v>
      </c>
      <c r="C129" s="28" t="s">
        <v>519</v>
      </c>
      <c r="D129" s="28" t="s">
        <v>520</v>
      </c>
      <c r="E129" t="s">
        <v>707</v>
      </c>
      <c r="F129" t="s">
        <v>544</v>
      </c>
      <c r="G129" t="s">
        <v>550</v>
      </c>
      <c r="H129" t="s">
        <v>588</v>
      </c>
      <c r="I129" t="s">
        <v>589</v>
      </c>
      <c r="K129" t="s">
        <v>708</v>
      </c>
      <c r="L129" t="s">
        <v>518</v>
      </c>
      <c r="M129" t="s">
        <v>526</v>
      </c>
      <c r="N129" t="s">
        <v>526</v>
      </c>
      <c r="O129" t="s">
        <v>526</v>
      </c>
      <c r="P129">
        <v>1</v>
      </c>
      <c r="Q129" t="s">
        <v>539</v>
      </c>
      <c r="R129">
        <v>784</v>
      </c>
    </row>
    <row r="130" spans="2:18">
      <c r="B130">
        <v>8</v>
      </c>
      <c r="C130" s="28" t="s">
        <v>519</v>
      </c>
      <c r="D130" s="28" t="s">
        <v>520</v>
      </c>
      <c r="E130" t="s">
        <v>707</v>
      </c>
      <c r="F130" t="s">
        <v>544</v>
      </c>
      <c r="G130" t="s">
        <v>591</v>
      </c>
      <c r="H130" t="s">
        <v>592</v>
      </c>
      <c r="I130" t="s">
        <v>593</v>
      </c>
      <c r="K130" t="s">
        <v>709</v>
      </c>
      <c r="L130" t="s">
        <v>518</v>
      </c>
      <c r="M130" t="s">
        <v>526</v>
      </c>
      <c r="N130" t="s">
        <v>710</v>
      </c>
      <c r="O130" t="s">
        <v>526</v>
      </c>
      <c r="P130">
        <v>1</v>
      </c>
      <c r="Q130" t="s">
        <v>711</v>
      </c>
      <c r="R130">
        <v>440</v>
      </c>
    </row>
    <row r="131" spans="2:18">
      <c r="B131">
        <v>9</v>
      </c>
      <c r="C131" s="28" t="s">
        <v>519</v>
      </c>
      <c r="D131" s="28" t="s">
        <v>520</v>
      </c>
      <c r="E131" t="s">
        <v>707</v>
      </c>
      <c r="F131" t="s">
        <v>544</v>
      </c>
      <c r="G131" t="s">
        <v>550</v>
      </c>
      <c r="H131" t="s">
        <v>595</v>
      </c>
      <c r="I131" t="s">
        <v>596</v>
      </c>
      <c r="K131" t="s">
        <v>712</v>
      </c>
      <c r="L131" t="s">
        <v>518</v>
      </c>
      <c r="M131" t="s">
        <v>526</v>
      </c>
      <c r="N131" t="s">
        <v>713</v>
      </c>
      <c r="O131" t="s">
        <v>526</v>
      </c>
      <c r="P131">
        <v>1</v>
      </c>
      <c r="Q131" t="s">
        <v>558</v>
      </c>
      <c r="R131">
        <v>388</v>
      </c>
    </row>
    <row r="132" spans="2:18">
      <c r="B132">
        <v>9</v>
      </c>
      <c r="C132" s="28" t="s">
        <v>519</v>
      </c>
      <c r="D132" s="28" t="s">
        <v>520</v>
      </c>
      <c r="E132" t="s">
        <v>707</v>
      </c>
      <c r="F132" t="s">
        <v>544</v>
      </c>
      <c r="G132" t="s">
        <v>522</v>
      </c>
      <c r="H132" t="s">
        <v>599</v>
      </c>
      <c r="I132" t="s">
        <v>714</v>
      </c>
      <c r="K132" t="s">
        <v>715</v>
      </c>
      <c r="L132" t="s">
        <v>518</v>
      </c>
      <c r="M132" t="s">
        <v>526</v>
      </c>
      <c r="N132" t="s">
        <v>716</v>
      </c>
      <c r="O132" t="s">
        <v>526</v>
      </c>
      <c r="P132">
        <v>2</v>
      </c>
      <c r="Q132" t="s">
        <v>533</v>
      </c>
      <c r="R132">
        <v>128</v>
      </c>
    </row>
    <row r="133" spans="2:18">
      <c r="B133">
        <v>10</v>
      </c>
      <c r="C133" s="28" t="s">
        <v>519</v>
      </c>
      <c r="D133" s="28" t="s">
        <v>520</v>
      </c>
      <c r="E133" t="s">
        <v>707</v>
      </c>
      <c r="F133" t="s">
        <v>544</v>
      </c>
      <c r="G133" t="s">
        <v>604</v>
      </c>
      <c r="H133" t="s">
        <v>605</v>
      </c>
      <c r="I133" t="s">
        <v>606</v>
      </c>
      <c r="K133" t="s">
        <v>569</v>
      </c>
      <c r="L133" t="s">
        <v>518</v>
      </c>
      <c r="M133" t="s">
        <v>526</v>
      </c>
      <c r="N133" t="s">
        <v>526</v>
      </c>
      <c r="O133" t="s">
        <v>526</v>
      </c>
      <c r="P133">
        <v>1</v>
      </c>
      <c r="Q133" t="s">
        <v>539</v>
      </c>
      <c r="R133">
        <v>1680</v>
      </c>
    </row>
    <row r="134" spans="2:18">
      <c r="B134">
        <v>11</v>
      </c>
      <c r="C134" s="28" t="s">
        <v>519</v>
      </c>
      <c r="D134" s="28" t="s">
        <v>520</v>
      </c>
      <c r="E134" t="s">
        <v>707</v>
      </c>
      <c r="F134" t="s">
        <v>544</v>
      </c>
      <c r="G134" t="s">
        <v>604</v>
      </c>
      <c r="H134" t="s">
        <v>605</v>
      </c>
      <c r="I134" t="s">
        <v>610</v>
      </c>
      <c r="K134" t="s">
        <v>572</v>
      </c>
      <c r="L134" t="s">
        <v>518</v>
      </c>
      <c r="M134" t="s">
        <v>526</v>
      </c>
      <c r="N134" t="s">
        <v>573</v>
      </c>
      <c r="O134" t="s">
        <v>526</v>
      </c>
      <c r="P134">
        <v>1</v>
      </c>
      <c r="Q134" t="s">
        <v>539</v>
      </c>
      <c r="R134">
        <v>10</v>
      </c>
    </row>
    <row r="135" spans="2:18">
      <c r="B135">
        <v>12</v>
      </c>
      <c r="C135" s="28" t="s">
        <v>519</v>
      </c>
      <c r="D135" s="28" t="s">
        <v>520</v>
      </c>
      <c r="E135" t="s">
        <v>707</v>
      </c>
      <c r="F135" t="s">
        <v>544</v>
      </c>
      <c r="G135" t="s">
        <v>550</v>
      </c>
      <c r="H135" t="s">
        <v>477</v>
      </c>
      <c r="I135" t="s">
        <v>613</v>
      </c>
      <c r="K135" t="s">
        <v>577</v>
      </c>
      <c r="L135" t="s">
        <v>518</v>
      </c>
      <c r="M135" t="s">
        <v>526</v>
      </c>
      <c r="N135" t="s">
        <v>578</v>
      </c>
      <c r="O135" t="s">
        <v>526</v>
      </c>
      <c r="P135">
        <v>1</v>
      </c>
      <c r="Q135" t="s">
        <v>539</v>
      </c>
      <c r="R135">
        <v>74</v>
      </c>
    </row>
    <row r="136" spans="2:18">
      <c r="B136">
        <v>12</v>
      </c>
      <c r="C136" s="28" t="s">
        <v>519</v>
      </c>
      <c r="D136" s="28" t="s">
        <v>520</v>
      </c>
      <c r="E136" t="s">
        <v>707</v>
      </c>
      <c r="F136" t="s">
        <v>544</v>
      </c>
      <c r="G136" t="s">
        <v>583</v>
      </c>
      <c r="H136" t="s">
        <v>617</v>
      </c>
      <c r="I136" t="s">
        <v>618</v>
      </c>
      <c r="K136" t="s">
        <v>705</v>
      </c>
      <c r="L136" t="s">
        <v>518</v>
      </c>
      <c r="M136" t="s">
        <v>526</v>
      </c>
      <c r="N136" t="s">
        <v>706</v>
      </c>
      <c r="O136" t="s">
        <v>526</v>
      </c>
      <c r="P136">
        <v>1</v>
      </c>
      <c r="Q136" t="s">
        <v>539</v>
      </c>
      <c r="R136">
        <v>56</v>
      </c>
    </row>
    <row r="137" spans="2:18">
      <c r="B137">
        <v>13</v>
      </c>
      <c r="C137" s="28" t="s">
        <v>519</v>
      </c>
      <c r="D137" s="28" t="s">
        <v>520</v>
      </c>
      <c r="E137" t="s">
        <v>707</v>
      </c>
      <c r="F137" t="s">
        <v>544</v>
      </c>
      <c r="G137" t="s">
        <v>550</v>
      </c>
      <c r="H137" t="s">
        <v>478</v>
      </c>
      <c r="I137" t="s">
        <v>621</v>
      </c>
      <c r="K137" t="s">
        <v>581</v>
      </c>
      <c r="L137" t="s">
        <v>518</v>
      </c>
      <c r="M137" t="s">
        <v>526</v>
      </c>
      <c r="N137" t="s">
        <v>582</v>
      </c>
      <c r="O137" t="s">
        <v>526</v>
      </c>
      <c r="P137">
        <v>1</v>
      </c>
      <c r="Q137" t="s">
        <v>539</v>
      </c>
      <c r="R137">
        <v>84</v>
      </c>
    </row>
    <row r="138" spans="2:18">
      <c r="B138">
        <v>14</v>
      </c>
      <c r="C138" s="28" t="s">
        <v>519</v>
      </c>
      <c r="D138" s="28" t="s">
        <v>520</v>
      </c>
      <c r="E138" t="s">
        <v>707</v>
      </c>
      <c r="F138" t="s">
        <v>544</v>
      </c>
      <c r="G138" t="s">
        <v>550</v>
      </c>
      <c r="H138" t="s">
        <v>624</v>
      </c>
      <c r="I138" t="s">
        <v>625</v>
      </c>
      <c r="K138" t="s">
        <v>586</v>
      </c>
      <c r="L138" t="s">
        <v>518</v>
      </c>
      <c r="M138" t="s">
        <v>526</v>
      </c>
      <c r="N138" t="s">
        <v>587</v>
      </c>
      <c r="O138" t="s">
        <v>526</v>
      </c>
      <c r="P138">
        <v>1</v>
      </c>
      <c r="Q138" t="s">
        <v>539</v>
      </c>
      <c r="R138">
        <v>165</v>
      </c>
    </row>
    <row r="139" spans="2:18">
      <c r="B139">
        <v>15</v>
      </c>
      <c r="C139" s="28" t="s">
        <v>519</v>
      </c>
      <c r="D139" s="28" t="s">
        <v>520</v>
      </c>
      <c r="E139" t="s">
        <v>707</v>
      </c>
      <c r="F139" t="s">
        <v>544</v>
      </c>
      <c r="G139" t="s">
        <v>550</v>
      </c>
      <c r="H139" t="s">
        <v>627</v>
      </c>
      <c r="I139" t="s">
        <v>628</v>
      </c>
      <c r="K139" t="s">
        <v>590</v>
      </c>
      <c r="L139" t="s">
        <v>518</v>
      </c>
      <c r="M139" t="s">
        <v>526</v>
      </c>
      <c r="N139" t="s">
        <v>526</v>
      </c>
      <c r="O139" t="s">
        <v>526</v>
      </c>
      <c r="P139">
        <v>1</v>
      </c>
      <c r="Q139" t="s">
        <v>539</v>
      </c>
      <c r="R139">
        <v>43</v>
      </c>
    </row>
    <row r="140" spans="2:18">
      <c r="B140">
        <v>16</v>
      </c>
      <c r="C140" s="28" t="s">
        <v>519</v>
      </c>
      <c r="D140" s="28" t="s">
        <v>520</v>
      </c>
      <c r="E140" t="s">
        <v>707</v>
      </c>
      <c r="F140" t="s">
        <v>631</v>
      </c>
      <c r="G140" t="s">
        <v>522</v>
      </c>
      <c r="H140" t="s">
        <v>632</v>
      </c>
      <c r="I140" t="s">
        <v>633</v>
      </c>
      <c r="K140" t="s">
        <v>594</v>
      </c>
      <c r="L140" t="s">
        <v>518</v>
      </c>
      <c r="M140" t="s">
        <v>526</v>
      </c>
      <c r="N140" t="s">
        <v>582</v>
      </c>
      <c r="O140" t="s">
        <v>526</v>
      </c>
      <c r="P140">
        <v>1</v>
      </c>
      <c r="Q140" t="s">
        <v>539</v>
      </c>
      <c r="R140">
        <v>425</v>
      </c>
    </row>
    <row r="141" spans="2:18">
      <c r="B141">
        <v>17</v>
      </c>
      <c r="C141" s="28" t="s">
        <v>519</v>
      </c>
      <c r="D141" s="28" t="s">
        <v>520</v>
      </c>
      <c r="E141" t="s">
        <v>707</v>
      </c>
      <c r="F141" t="s">
        <v>631</v>
      </c>
      <c r="G141" t="s">
        <v>566</v>
      </c>
      <c r="H141" t="s">
        <v>636</v>
      </c>
      <c r="I141" t="s">
        <v>637</v>
      </c>
      <c r="K141" t="s">
        <v>597</v>
      </c>
      <c r="L141" t="s">
        <v>518</v>
      </c>
      <c r="M141" t="s">
        <v>526</v>
      </c>
      <c r="N141" t="s">
        <v>598</v>
      </c>
      <c r="O141" t="s">
        <v>526</v>
      </c>
      <c r="P141">
        <v>1</v>
      </c>
      <c r="Q141" t="s">
        <v>539</v>
      </c>
      <c r="R141">
        <v>77</v>
      </c>
    </row>
    <row r="142" spans="2:18">
      <c r="B142">
        <v>18</v>
      </c>
      <c r="C142" s="28" t="s">
        <v>519</v>
      </c>
      <c r="D142" s="28" t="s">
        <v>520</v>
      </c>
      <c r="E142" t="s">
        <v>707</v>
      </c>
      <c r="F142" t="s">
        <v>631</v>
      </c>
      <c r="G142" t="s">
        <v>550</v>
      </c>
      <c r="H142" t="s">
        <v>640</v>
      </c>
      <c r="I142" t="s">
        <v>641</v>
      </c>
      <c r="K142" t="s">
        <v>601</v>
      </c>
      <c r="L142" t="s">
        <v>518</v>
      </c>
      <c r="M142" t="s">
        <v>526</v>
      </c>
      <c r="N142" t="s">
        <v>602</v>
      </c>
      <c r="O142" t="s">
        <v>526</v>
      </c>
      <c r="P142">
        <v>3</v>
      </c>
      <c r="Q142" t="s">
        <v>603</v>
      </c>
      <c r="R142">
        <v>415</v>
      </c>
    </row>
    <row r="143" spans="2:18">
      <c r="B143">
        <v>19</v>
      </c>
      <c r="C143" s="28" t="s">
        <v>519</v>
      </c>
      <c r="D143" s="28" t="s">
        <v>520</v>
      </c>
      <c r="E143" t="s">
        <v>707</v>
      </c>
      <c r="F143" t="s">
        <v>631</v>
      </c>
      <c r="G143" t="s">
        <v>574</v>
      </c>
      <c r="H143" t="s">
        <v>643</v>
      </c>
      <c r="I143" t="s">
        <v>644</v>
      </c>
      <c r="K143" t="s">
        <v>607</v>
      </c>
      <c r="L143" t="s">
        <v>518</v>
      </c>
      <c r="M143" t="s">
        <v>526</v>
      </c>
      <c r="N143" t="s">
        <v>608</v>
      </c>
      <c r="O143" t="s">
        <v>526</v>
      </c>
      <c r="P143">
        <v>1</v>
      </c>
      <c r="Q143" t="s">
        <v>609</v>
      </c>
      <c r="R143">
        <v>53</v>
      </c>
    </row>
    <row r="144" spans="2:18">
      <c r="B144">
        <v>19</v>
      </c>
      <c r="C144" s="28" t="s">
        <v>519</v>
      </c>
      <c r="D144" s="28" t="s">
        <v>520</v>
      </c>
      <c r="E144" t="s">
        <v>707</v>
      </c>
      <c r="F144" t="s">
        <v>631</v>
      </c>
      <c r="G144" t="s">
        <v>647</v>
      </c>
      <c r="H144" t="s">
        <v>648</v>
      </c>
      <c r="I144" t="s">
        <v>649</v>
      </c>
      <c r="K144" t="s">
        <v>611</v>
      </c>
      <c r="L144" t="s">
        <v>518</v>
      </c>
      <c r="M144" t="s">
        <v>526</v>
      </c>
      <c r="N144" t="s">
        <v>608</v>
      </c>
      <c r="O144" t="s">
        <v>526</v>
      </c>
      <c r="P144">
        <v>2</v>
      </c>
      <c r="Q144" t="s">
        <v>612</v>
      </c>
      <c r="R144">
        <v>77</v>
      </c>
    </row>
    <row r="145" spans="2:18">
      <c r="B145">
        <v>24</v>
      </c>
      <c r="C145" s="28" t="s">
        <v>519</v>
      </c>
      <c r="D145" s="28" t="s">
        <v>520</v>
      </c>
      <c r="E145" t="s">
        <v>707</v>
      </c>
      <c r="F145" t="s">
        <v>631</v>
      </c>
      <c r="G145" t="s">
        <v>647</v>
      </c>
      <c r="H145" t="s">
        <v>652</v>
      </c>
      <c r="I145" t="s">
        <v>653</v>
      </c>
      <c r="K145" t="s">
        <v>626</v>
      </c>
      <c r="L145" t="s">
        <v>518</v>
      </c>
      <c r="M145" t="s">
        <v>526</v>
      </c>
      <c r="N145" t="s">
        <v>526</v>
      </c>
      <c r="O145" t="s">
        <v>526</v>
      </c>
      <c r="P145">
        <v>1</v>
      </c>
      <c r="Q145" t="s">
        <v>539</v>
      </c>
      <c r="R145">
        <v>41</v>
      </c>
    </row>
    <row r="146" spans="2:18">
      <c r="B146">
        <v>26</v>
      </c>
      <c r="C146" s="28" t="s">
        <v>519</v>
      </c>
      <c r="D146" s="28" t="s">
        <v>520</v>
      </c>
      <c r="E146" t="s">
        <v>707</v>
      </c>
      <c r="F146" t="s">
        <v>631</v>
      </c>
      <c r="G146" t="s">
        <v>647</v>
      </c>
      <c r="H146" t="s">
        <v>656</v>
      </c>
      <c r="I146" t="s">
        <v>657</v>
      </c>
      <c r="K146" t="s">
        <v>717</v>
      </c>
      <c r="L146" t="s">
        <v>518</v>
      </c>
      <c r="M146" t="s">
        <v>526</v>
      </c>
      <c r="N146" t="s">
        <v>718</v>
      </c>
      <c r="O146" t="s">
        <v>526</v>
      </c>
      <c r="P146">
        <v>1</v>
      </c>
      <c r="Q146" t="s">
        <v>672</v>
      </c>
      <c r="R146">
        <v>660</v>
      </c>
    </row>
    <row r="147" spans="2:18">
      <c r="B147">
        <v>33</v>
      </c>
      <c r="C147" s="28" t="s">
        <v>519</v>
      </c>
      <c r="D147" s="28" t="s">
        <v>520</v>
      </c>
      <c r="E147" t="s">
        <v>707</v>
      </c>
      <c r="F147" t="s">
        <v>631</v>
      </c>
      <c r="G147" t="s">
        <v>566</v>
      </c>
      <c r="H147" t="s">
        <v>660</v>
      </c>
      <c r="I147" t="s">
        <v>661</v>
      </c>
      <c r="K147" t="s">
        <v>638</v>
      </c>
      <c r="L147" t="s">
        <v>518</v>
      </c>
      <c r="M147" t="s">
        <v>526</v>
      </c>
      <c r="N147" t="s">
        <v>526</v>
      </c>
      <c r="O147" t="s">
        <v>526</v>
      </c>
      <c r="P147">
        <v>1</v>
      </c>
      <c r="Q147" t="s">
        <v>639</v>
      </c>
      <c r="R147">
        <v>58</v>
      </c>
    </row>
    <row r="148" spans="2:18">
      <c r="B148">
        <v>19</v>
      </c>
      <c r="C148" s="28" t="s">
        <v>519</v>
      </c>
      <c r="D148" s="28" t="s">
        <v>520</v>
      </c>
      <c r="E148" t="s">
        <v>707</v>
      </c>
      <c r="F148" t="s">
        <v>631</v>
      </c>
      <c r="G148" t="s">
        <v>534</v>
      </c>
      <c r="H148" t="s">
        <v>664</v>
      </c>
      <c r="I148" t="s">
        <v>665</v>
      </c>
      <c r="K148" t="s">
        <v>614</v>
      </c>
      <c r="L148" t="s">
        <v>518</v>
      </c>
      <c r="M148" t="s">
        <v>526</v>
      </c>
      <c r="N148" t="s">
        <v>615</v>
      </c>
      <c r="O148" t="s">
        <v>526</v>
      </c>
      <c r="P148">
        <v>1</v>
      </c>
      <c r="Q148" t="s">
        <v>616</v>
      </c>
      <c r="R148">
        <v>53</v>
      </c>
    </row>
    <row r="149" spans="2:18">
      <c r="B149">
        <v>19</v>
      </c>
      <c r="C149" s="28" t="s">
        <v>519</v>
      </c>
      <c r="D149" s="28" t="s">
        <v>520</v>
      </c>
      <c r="E149" t="s">
        <v>707</v>
      </c>
      <c r="F149" t="s">
        <v>631</v>
      </c>
      <c r="G149" t="s">
        <v>647</v>
      </c>
      <c r="H149" t="s">
        <v>668</v>
      </c>
      <c r="I149" t="s">
        <v>669</v>
      </c>
      <c r="K149" t="s">
        <v>619</v>
      </c>
      <c r="L149" t="s">
        <v>518</v>
      </c>
      <c r="M149" t="s">
        <v>526</v>
      </c>
      <c r="N149" t="s">
        <v>620</v>
      </c>
      <c r="O149" t="s">
        <v>526</v>
      </c>
      <c r="P149">
        <v>1</v>
      </c>
      <c r="Q149" t="s">
        <v>539</v>
      </c>
      <c r="R149">
        <v>81</v>
      </c>
    </row>
    <row r="150" spans="2:18">
      <c r="B150">
        <v>20</v>
      </c>
      <c r="C150" s="28" t="s">
        <v>519</v>
      </c>
      <c r="D150" s="28" t="s">
        <v>520</v>
      </c>
      <c r="E150" t="s">
        <v>707</v>
      </c>
      <c r="F150" t="s">
        <v>631</v>
      </c>
      <c r="G150" t="s">
        <v>647</v>
      </c>
      <c r="H150" t="s">
        <v>673</v>
      </c>
      <c r="I150" t="s">
        <v>674</v>
      </c>
      <c r="K150" t="s">
        <v>622</v>
      </c>
      <c r="L150" t="s">
        <v>518</v>
      </c>
      <c r="M150" t="s">
        <v>526</v>
      </c>
      <c r="N150" t="s">
        <v>526</v>
      </c>
      <c r="O150" t="s">
        <v>526</v>
      </c>
      <c r="P150">
        <v>1</v>
      </c>
      <c r="Q150" t="s">
        <v>623</v>
      </c>
      <c r="R150">
        <v>1086</v>
      </c>
    </row>
    <row r="151" spans="2:18">
      <c r="B151">
        <v>27</v>
      </c>
      <c r="C151" s="28" t="s">
        <v>519</v>
      </c>
      <c r="D151" s="28" t="s">
        <v>520</v>
      </c>
      <c r="E151" t="s">
        <v>707</v>
      </c>
      <c r="F151" t="s">
        <v>631</v>
      </c>
      <c r="G151" t="s">
        <v>647</v>
      </c>
      <c r="H151" t="s">
        <v>677</v>
      </c>
      <c r="I151" t="s">
        <v>678</v>
      </c>
      <c r="K151" t="s">
        <v>719</v>
      </c>
      <c r="L151" t="s">
        <v>518</v>
      </c>
      <c r="M151" t="s">
        <v>526</v>
      </c>
      <c r="N151" t="s">
        <v>720</v>
      </c>
      <c r="O151" t="s">
        <v>526</v>
      </c>
      <c r="P151">
        <v>1</v>
      </c>
      <c r="Q151" t="s">
        <v>603</v>
      </c>
      <c r="R151">
        <v>800</v>
      </c>
    </row>
    <row r="152" spans="2:18">
      <c r="B152">
        <v>27</v>
      </c>
      <c r="C152" s="28" t="s">
        <v>519</v>
      </c>
      <c r="D152" s="28" t="s">
        <v>520</v>
      </c>
      <c r="E152" t="s">
        <v>721</v>
      </c>
      <c r="F152" t="s">
        <v>521</v>
      </c>
      <c r="G152" t="s">
        <v>522</v>
      </c>
      <c r="H152" t="s">
        <v>523</v>
      </c>
      <c r="I152" t="s">
        <v>524</v>
      </c>
      <c r="K152" t="s">
        <v>557</v>
      </c>
      <c r="L152" t="s">
        <v>518</v>
      </c>
      <c r="M152" t="s">
        <v>526</v>
      </c>
      <c r="N152" t="s">
        <v>526</v>
      </c>
      <c r="O152" t="s">
        <v>526</v>
      </c>
      <c r="P152">
        <v>1</v>
      </c>
      <c r="Q152" t="s">
        <v>558</v>
      </c>
      <c r="R152">
        <v>640</v>
      </c>
    </row>
    <row r="153" spans="2:18">
      <c r="B153">
        <v>27</v>
      </c>
      <c r="C153" s="28" t="s">
        <v>519</v>
      </c>
      <c r="D153" s="28" t="s">
        <v>520</v>
      </c>
      <c r="E153" t="s">
        <v>721</v>
      </c>
      <c r="F153" t="s">
        <v>521</v>
      </c>
      <c r="G153" t="s">
        <v>522</v>
      </c>
      <c r="H153" t="s">
        <v>529</v>
      </c>
      <c r="I153" t="s">
        <v>530</v>
      </c>
      <c r="K153" t="s">
        <v>561</v>
      </c>
      <c r="L153" t="s">
        <v>518</v>
      </c>
      <c r="M153" t="s">
        <v>526</v>
      </c>
      <c r="N153" t="s">
        <v>526</v>
      </c>
      <c r="O153" t="s">
        <v>526</v>
      </c>
      <c r="P153">
        <v>1</v>
      </c>
      <c r="Q153" t="s">
        <v>558</v>
      </c>
      <c r="R153">
        <v>425</v>
      </c>
    </row>
    <row r="154" spans="2:18">
      <c r="B154">
        <v>27</v>
      </c>
      <c r="C154" s="28" t="s">
        <v>519</v>
      </c>
      <c r="D154" s="28" t="s">
        <v>520</v>
      </c>
      <c r="E154" t="s">
        <v>721</v>
      </c>
      <c r="F154" t="s">
        <v>521</v>
      </c>
      <c r="G154" t="s">
        <v>534</v>
      </c>
      <c r="H154" t="s">
        <v>535</v>
      </c>
      <c r="I154" t="s">
        <v>536</v>
      </c>
      <c r="K154" t="s">
        <v>564</v>
      </c>
      <c r="L154" t="s">
        <v>518</v>
      </c>
      <c r="M154" t="s">
        <v>526</v>
      </c>
      <c r="N154" t="s">
        <v>565</v>
      </c>
      <c r="O154" t="s">
        <v>526</v>
      </c>
      <c r="P154">
        <v>1</v>
      </c>
      <c r="Q154" t="s">
        <v>539</v>
      </c>
      <c r="R154">
        <v>959</v>
      </c>
    </row>
    <row r="155" spans="2:18">
      <c r="B155">
        <v>33</v>
      </c>
      <c r="C155" s="28" t="s">
        <v>519</v>
      </c>
      <c r="D155" s="28" t="s">
        <v>520</v>
      </c>
      <c r="E155" t="s">
        <v>721</v>
      </c>
      <c r="F155" t="s">
        <v>521</v>
      </c>
      <c r="G155" t="s">
        <v>534</v>
      </c>
      <c r="H155" t="s">
        <v>540</v>
      </c>
      <c r="I155" t="s">
        <v>541</v>
      </c>
      <c r="K155" t="s">
        <v>601</v>
      </c>
      <c r="L155" t="s">
        <v>518</v>
      </c>
      <c r="M155" t="s">
        <v>526</v>
      </c>
      <c r="N155" t="s">
        <v>602</v>
      </c>
      <c r="O155" t="s">
        <v>526</v>
      </c>
      <c r="P155">
        <v>1</v>
      </c>
      <c r="Q155" t="s">
        <v>603</v>
      </c>
      <c r="R155">
        <v>415</v>
      </c>
    </row>
    <row r="156" spans="2:18">
      <c r="B156">
        <v>33</v>
      </c>
      <c r="C156" s="28" t="s">
        <v>519</v>
      </c>
      <c r="D156" s="28" t="s">
        <v>520</v>
      </c>
      <c r="E156" t="s">
        <v>721</v>
      </c>
      <c r="F156" t="s">
        <v>544</v>
      </c>
      <c r="G156" t="s">
        <v>545</v>
      </c>
      <c r="H156" t="s">
        <v>546</v>
      </c>
      <c r="I156" t="s">
        <v>547</v>
      </c>
      <c r="K156" t="s">
        <v>611</v>
      </c>
      <c r="L156" t="s">
        <v>518</v>
      </c>
      <c r="M156" t="s">
        <v>526</v>
      </c>
      <c r="N156" t="s">
        <v>608</v>
      </c>
      <c r="O156" t="s">
        <v>526</v>
      </c>
      <c r="P156">
        <v>1</v>
      </c>
      <c r="Q156" t="s">
        <v>612</v>
      </c>
      <c r="R156">
        <v>77</v>
      </c>
    </row>
    <row r="157" spans="2:18">
      <c r="B157">
        <v>33</v>
      </c>
      <c r="C157" s="28" t="s">
        <v>519</v>
      </c>
      <c r="D157" s="28" t="s">
        <v>520</v>
      </c>
      <c r="E157" t="s">
        <v>721</v>
      </c>
      <c r="F157" t="s">
        <v>544</v>
      </c>
      <c r="G157" t="s">
        <v>550</v>
      </c>
      <c r="H157" t="s">
        <v>551</v>
      </c>
      <c r="I157" t="s">
        <v>552</v>
      </c>
      <c r="K157" t="s">
        <v>569</v>
      </c>
      <c r="L157" t="s">
        <v>518</v>
      </c>
      <c r="M157" t="s">
        <v>526</v>
      </c>
      <c r="N157" t="s">
        <v>526</v>
      </c>
      <c r="O157" t="s">
        <v>526</v>
      </c>
      <c r="P157">
        <v>1</v>
      </c>
      <c r="Q157" t="s">
        <v>539</v>
      </c>
      <c r="R157">
        <v>1680</v>
      </c>
    </row>
    <row r="158" spans="2:18">
      <c r="B158">
        <v>33</v>
      </c>
      <c r="C158" s="28" t="s">
        <v>519</v>
      </c>
      <c r="D158" s="28" t="s">
        <v>520</v>
      </c>
      <c r="E158" t="s">
        <v>721</v>
      </c>
      <c r="F158" t="s">
        <v>544</v>
      </c>
      <c r="G158" t="s">
        <v>550</v>
      </c>
      <c r="H158" t="s">
        <v>555</v>
      </c>
      <c r="I158" t="s">
        <v>556</v>
      </c>
      <c r="K158" t="s">
        <v>572</v>
      </c>
      <c r="L158" t="s">
        <v>518</v>
      </c>
      <c r="M158" t="s">
        <v>526</v>
      </c>
      <c r="N158" t="s">
        <v>573</v>
      </c>
      <c r="O158" t="s">
        <v>526</v>
      </c>
      <c r="P158">
        <v>1</v>
      </c>
      <c r="Q158" t="s">
        <v>539</v>
      </c>
      <c r="R158">
        <v>10</v>
      </c>
    </row>
    <row r="159" spans="2:18">
      <c r="B159">
        <v>13</v>
      </c>
      <c r="C159" s="28" t="s">
        <v>519</v>
      </c>
      <c r="D159" s="28" t="s">
        <v>520</v>
      </c>
      <c r="E159" t="s">
        <v>721</v>
      </c>
      <c r="F159" t="s">
        <v>544</v>
      </c>
      <c r="G159" t="s">
        <v>550</v>
      </c>
      <c r="H159" t="s">
        <v>559</v>
      </c>
      <c r="I159" t="s">
        <v>560</v>
      </c>
      <c r="K159" t="s">
        <v>581</v>
      </c>
      <c r="L159" t="s">
        <v>518</v>
      </c>
      <c r="M159" t="s">
        <v>526</v>
      </c>
      <c r="N159" t="s">
        <v>582</v>
      </c>
      <c r="O159" t="s">
        <v>526</v>
      </c>
      <c r="P159">
        <v>1</v>
      </c>
      <c r="Q159" t="s">
        <v>539</v>
      </c>
      <c r="R159">
        <v>84</v>
      </c>
    </row>
    <row r="160" spans="2:18">
      <c r="B160">
        <v>12</v>
      </c>
      <c r="C160" s="28" t="s">
        <v>519</v>
      </c>
      <c r="D160" s="28" t="s">
        <v>520</v>
      </c>
      <c r="E160" t="s">
        <v>721</v>
      </c>
      <c r="F160" t="s">
        <v>544</v>
      </c>
      <c r="G160" t="s">
        <v>550</v>
      </c>
      <c r="H160" t="s">
        <v>562</v>
      </c>
      <c r="I160" t="s">
        <v>704</v>
      </c>
      <c r="K160" t="s">
        <v>577</v>
      </c>
      <c r="L160" t="s">
        <v>518</v>
      </c>
      <c r="M160" t="s">
        <v>526</v>
      </c>
      <c r="N160" t="s">
        <v>578</v>
      </c>
      <c r="O160" t="s">
        <v>526</v>
      </c>
      <c r="P160">
        <v>1</v>
      </c>
      <c r="Q160" t="s">
        <v>539</v>
      </c>
      <c r="R160">
        <v>74</v>
      </c>
    </row>
    <row r="161" spans="2:18">
      <c r="B161">
        <v>11</v>
      </c>
      <c r="C161" s="28" t="s">
        <v>519</v>
      </c>
      <c r="D161" s="28" t="s">
        <v>520</v>
      </c>
      <c r="E161" t="s">
        <v>721</v>
      </c>
      <c r="F161" t="s">
        <v>544</v>
      </c>
      <c r="G161" t="s">
        <v>566</v>
      </c>
      <c r="H161" t="s">
        <v>567</v>
      </c>
      <c r="I161" t="s">
        <v>568</v>
      </c>
      <c r="K161" t="s">
        <v>629</v>
      </c>
      <c r="L161" t="s">
        <v>518</v>
      </c>
      <c r="M161" t="s">
        <v>526</v>
      </c>
      <c r="N161" t="s">
        <v>630</v>
      </c>
      <c r="O161" t="s">
        <v>526</v>
      </c>
      <c r="P161">
        <v>1</v>
      </c>
      <c r="Q161" t="s">
        <v>558</v>
      </c>
      <c r="R161">
        <v>331</v>
      </c>
    </row>
    <row r="162" spans="2:18">
      <c r="B162">
        <v>10</v>
      </c>
      <c r="C162" s="28" t="s">
        <v>519</v>
      </c>
      <c r="D162" s="28" t="s">
        <v>520</v>
      </c>
      <c r="E162" t="s">
        <v>721</v>
      </c>
      <c r="F162" t="s">
        <v>544</v>
      </c>
      <c r="G162" t="s">
        <v>566</v>
      </c>
      <c r="H162" t="s">
        <v>570</v>
      </c>
      <c r="I162" t="s">
        <v>571</v>
      </c>
      <c r="K162" t="s">
        <v>634</v>
      </c>
      <c r="L162" t="s">
        <v>518</v>
      </c>
      <c r="M162" t="s">
        <v>526</v>
      </c>
      <c r="N162" t="s">
        <v>635</v>
      </c>
      <c r="O162" t="s">
        <v>526</v>
      </c>
      <c r="P162">
        <v>1</v>
      </c>
      <c r="Q162" t="s">
        <v>533</v>
      </c>
      <c r="R162">
        <v>92</v>
      </c>
    </row>
    <row r="163" spans="2:18">
      <c r="B163">
        <v>35</v>
      </c>
      <c r="C163" s="28" t="s">
        <v>519</v>
      </c>
      <c r="D163" s="28" t="s">
        <v>520</v>
      </c>
      <c r="E163" t="s">
        <v>721</v>
      </c>
      <c r="F163" t="s">
        <v>544</v>
      </c>
      <c r="G163" t="s">
        <v>574</v>
      </c>
      <c r="H163" t="s">
        <v>575</v>
      </c>
      <c r="I163" t="s">
        <v>576</v>
      </c>
      <c r="K163" t="s">
        <v>686</v>
      </c>
      <c r="L163" t="s">
        <v>518</v>
      </c>
      <c r="M163" t="s">
        <v>526</v>
      </c>
      <c r="N163" t="s">
        <v>687</v>
      </c>
      <c r="O163" t="s">
        <v>526</v>
      </c>
      <c r="P163">
        <v>1</v>
      </c>
      <c r="Q163" t="s">
        <v>603</v>
      </c>
      <c r="R163">
        <v>290</v>
      </c>
    </row>
    <row r="164" spans="2:18">
      <c r="B164">
        <v>37</v>
      </c>
      <c r="C164" s="28" t="s">
        <v>519</v>
      </c>
      <c r="D164" s="28" t="s">
        <v>520</v>
      </c>
      <c r="E164" t="s">
        <v>721</v>
      </c>
      <c r="F164" t="s">
        <v>544</v>
      </c>
      <c r="G164" t="s">
        <v>545</v>
      </c>
      <c r="H164" t="s">
        <v>579</v>
      </c>
      <c r="I164" t="s">
        <v>580</v>
      </c>
      <c r="K164" t="s">
        <v>688</v>
      </c>
      <c r="L164" t="s">
        <v>518</v>
      </c>
      <c r="M164" t="s">
        <v>526</v>
      </c>
      <c r="N164" t="s">
        <v>689</v>
      </c>
      <c r="O164" t="s">
        <v>526</v>
      </c>
      <c r="P164">
        <v>1</v>
      </c>
      <c r="Q164" t="s">
        <v>539</v>
      </c>
      <c r="R164">
        <v>100</v>
      </c>
    </row>
    <row r="165" spans="2:18">
      <c r="B165">
        <v>38</v>
      </c>
      <c r="C165" s="28" t="s">
        <v>519</v>
      </c>
      <c r="D165" s="28" t="s">
        <v>520</v>
      </c>
      <c r="E165" t="s">
        <v>721</v>
      </c>
      <c r="F165" t="s">
        <v>544</v>
      </c>
      <c r="G165" t="s">
        <v>583</v>
      </c>
      <c r="H165" t="s">
        <v>584</v>
      </c>
      <c r="I165" t="s">
        <v>585</v>
      </c>
      <c r="K165" t="s">
        <v>690</v>
      </c>
      <c r="L165" t="s">
        <v>518</v>
      </c>
      <c r="M165" t="s">
        <v>526</v>
      </c>
      <c r="N165" t="s">
        <v>691</v>
      </c>
      <c r="O165" t="s">
        <v>526</v>
      </c>
      <c r="P165">
        <v>1</v>
      </c>
      <c r="Q165" t="s">
        <v>616</v>
      </c>
      <c r="R165">
        <v>55</v>
      </c>
    </row>
    <row r="166" spans="2:18">
      <c r="B166">
        <v>39</v>
      </c>
      <c r="C166" s="28" t="s">
        <v>519</v>
      </c>
      <c r="D166" s="28" t="s">
        <v>520</v>
      </c>
      <c r="E166" t="s">
        <v>721</v>
      </c>
      <c r="F166" t="s">
        <v>544</v>
      </c>
      <c r="G166" t="s">
        <v>550</v>
      </c>
      <c r="H166" t="s">
        <v>588</v>
      </c>
      <c r="I166" t="s">
        <v>589</v>
      </c>
      <c r="K166" t="s">
        <v>692</v>
      </c>
      <c r="L166" t="s">
        <v>518</v>
      </c>
      <c r="M166" t="s">
        <v>526</v>
      </c>
      <c r="N166" t="s">
        <v>582</v>
      </c>
      <c r="O166" t="s">
        <v>526</v>
      </c>
      <c r="P166">
        <v>1</v>
      </c>
      <c r="Q166" t="s">
        <v>539</v>
      </c>
      <c r="R166">
        <v>66.26</v>
      </c>
    </row>
    <row r="167" spans="2:18">
      <c r="B167">
        <v>40</v>
      </c>
      <c r="C167" s="28" t="s">
        <v>519</v>
      </c>
      <c r="D167" s="28" t="s">
        <v>520</v>
      </c>
      <c r="E167" t="s">
        <v>721</v>
      </c>
      <c r="F167" t="s">
        <v>544</v>
      </c>
      <c r="G167" t="s">
        <v>591</v>
      </c>
      <c r="H167" t="s">
        <v>592</v>
      </c>
      <c r="I167" t="s">
        <v>593</v>
      </c>
      <c r="K167" t="s">
        <v>693</v>
      </c>
      <c r="L167" t="s">
        <v>518</v>
      </c>
      <c r="M167" t="s">
        <v>526</v>
      </c>
      <c r="N167" t="s">
        <v>694</v>
      </c>
      <c r="O167" t="s">
        <v>526</v>
      </c>
      <c r="P167">
        <v>1</v>
      </c>
      <c r="Q167" t="s">
        <v>539</v>
      </c>
      <c r="R167">
        <v>101</v>
      </c>
    </row>
    <row r="168" spans="2:18">
      <c r="B168">
        <v>41</v>
      </c>
      <c r="C168" s="28" t="s">
        <v>519</v>
      </c>
      <c r="D168" s="28" t="s">
        <v>520</v>
      </c>
      <c r="E168" t="s">
        <v>721</v>
      </c>
      <c r="F168" t="s">
        <v>544</v>
      </c>
      <c r="G168" t="s">
        <v>550</v>
      </c>
      <c r="H168" t="s">
        <v>595</v>
      </c>
      <c r="I168" t="s">
        <v>596</v>
      </c>
      <c r="K168" t="s">
        <v>695</v>
      </c>
      <c r="L168" t="s">
        <v>518</v>
      </c>
      <c r="M168" t="s">
        <v>526</v>
      </c>
      <c r="N168" t="s">
        <v>696</v>
      </c>
      <c r="O168" t="s">
        <v>526</v>
      </c>
      <c r="P168">
        <v>1</v>
      </c>
      <c r="Q168" t="s">
        <v>539</v>
      </c>
      <c r="R168">
        <v>418</v>
      </c>
    </row>
    <row r="169" spans="2:18">
      <c r="B169">
        <v>42</v>
      </c>
      <c r="C169" s="28" t="s">
        <v>519</v>
      </c>
      <c r="D169" s="28" t="s">
        <v>520</v>
      </c>
      <c r="E169" t="s">
        <v>721</v>
      </c>
      <c r="F169" t="s">
        <v>544</v>
      </c>
      <c r="G169" t="s">
        <v>522</v>
      </c>
      <c r="H169" t="s">
        <v>599</v>
      </c>
      <c r="I169" t="s">
        <v>714</v>
      </c>
      <c r="K169" t="s">
        <v>697</v>
      </c>
      <c r="L169" t="s">
        <v>518</v>
      </c>
      <c r="M169" t="s">
        <v>526</v>
      </c>
      <c r="N169" t="s">
        <v>698</v>
      </c>
      <c r="O169" t="s">
        <v>526</v>
      </c>
      <c r="P169">
        <v>1</v>
      </c>
      <c r="Q169" t="s">
        <v>539</v>
      </c>
      <c r="R169">
        <v>37</v>
      </c>
    </row>
    <row r="170" spans="2:18">
      <c r="B170">
        <v>43</v>
      </c>
      <c r="C170" s="28" t="s">
        <v>519</v>
      </c>
      <c r="D170" s="28" t="s">
        <v>520</v>
      </c>
      <c r="E170" t="s">
        <v>721</v>
      </c>
      <c r="F170" t="s">
        <v>544</v>
      </c>
      <c r="G170" t="s">
        <v>604</v>
      </c>
      <c r="H170" t="s">
        <v>605</v>
      </c>
      <c r="I170" t="s">
        <v>606</v>
      </c>
      <c r="K170" t="s">
        <v>722</v>
      </c>
      <c r="L170" t="s">
        <v>518</v>
      </c>
      <c r="M170" t="s">
        <v>526</v>
      </c>
      <c r="N170" t="s">
        <v>723</v>
      </c>
      <c r="O170" t="s">
        <v>526</v>
      </c>
      <c r="P170">
        <v>1</v>
      </c>
      <c r="Q170" t="s">
        <v>672</v>
      </c>
      <c r="R170">
        <v>430</v>
      </c>
    </row>
    <row r="171" spans="2:18">
      <c r="B171">
        <v>44</v>
      </c>
      <c r="C171" s="28" t="s">
        <v>519</v>
      </c>
      <c r="D171" s="28" t="s">
        <v>520</v>
      </c>
      <c r="E171" t="s">
        <v>721</v>
      </c>
      <c r="F171" t="s">
        <v>544</v>
      </c>
      <c r="G171" t="s">
        <v>604</v>
      </c>
      <c r="H171" t="s">
        <v>605</v>
      </c>
      <c r="I171" t="s">
        <v>610</v>
      </c>
      <c r="K171" t="s">
        <v>675</v>
      </c>
      <c r="L171" t="s">
        <v>518</v>
      </c>
      <c r="M171" t="s">
        <v>526</v>
      </c>
      <c r="N171" t="s">
        <v>676</v>
      </c>
      <c r="O171" t="s">
        <v>526</v>
      </c>
      <c r="P171">
        <v>1</v>
      </c>
      <c r="Q171" t="s">
        <v>558</v>
      </c>
      <c r="R171">
        <v>4.7</v>
      </c>
    </row>
    <row r="172" spans="2:18">
      <c r="B172">
        <v>45</v>
      </c>
      <c r="C172" s="28" t="s">
        <v>519</v>
      </c>
      <c r="D172" s="28" t="s">
        <v>520</v>
      </c>
      <c r="E172" t="s">
        <v>721</v>
      </c>
      <c r="F172" t="s">
        <v>544</v>
      </c>
      <c r="G172" t="s">
        <v>550</v>
      </c>
      <c r="H172" t="s">
        <v>477</v>
      </c>
      <c r="I172" t="s">
        <v>613</v>
      </c>
      <c r="K172" t="s">
        <v>699</v>
      </c>
      <c r="L172" t="s">
        <v>518</v>
      </c>
      <c r="M172" t="s">
        <v>526</v>
      </c>
      <c r="N172" t="s">
        <v>700</v>
      </c>
      <c r="O172" t="s">
        <v>526</v>
      </c>
      <c r="P172">
        <v>1</v>
      </c>
      <c r="Q172" t="s">
        <v>623</v>
      </c>
      <c r="R172">
        <v>370</v>
      </c>
    </row>
    <row r="173" spans="2:18">
      <c r="B173">
        <v>46</v>
      </c>
      <c r="C173" s="28" t="s">
        <v>519</v>
      </c>
      <c r="D173" s="28" t="s">
        <v>520</v>
      </c>
      <c r="E173" t="s">
        <v>721</v>
      </c>
      <c r="F173" t="s">
        <v>544</v>
      </c>
      <c r="G173" t="s">
        <v>583</v>
      </c>
      <c r="H173" t="s">
        <v>617</v>
      </c>
      <c r="I173" t="s">
        <v>618</v>
      </c>
      <c r="K173" t="s">
        <v>701</v>
      </c>
      <c r="L173" t="s">
        <v>518</v>
      </c>
      <c r="M173" t="s">
        <v>526</v>
      </c>
      <c r="N173" t="s">
        <v>702</v>
      </c>
      <c r="O173" t="s">
        <v>526</v>
      </c>
      <c r="P173">
        <v>1</v>
      </c>
      <c r="Q173" t="s">
        <v>539</v>
      </c>
      <c r="R173">
        <v>39.5</v>
      </c>
    </row>
    <row r="174" spans="2:18">
      <c r="B174">
        <v>47</v>
      </c>
      <c r="C174" s="28" t="s">
        <v>519</v>
      </c>
      <c r="D174" s="28" t="s">
        <v>520</v>
      </c>
      <c r="E174" t="s">
        <v>721</v>
      </c>
      <c r="F174" t="s">
        <v>544</v>
      </c>
      <c r="G174" t="s">
        <v>550</v>
      </c>
      <c r="H174" t="s">
        <v>478</v>
      </c>
      <c r="I174" t="s">
        <v>685</v>
      </c>
      <c r="K174" t="s">
        <v>703</v>
      </c>
      <c r="L174" t="s">
        <v>518</v>
      </c>
      <c r="M174" t="s">
        <v>526</v>
      </c>
      <c r="N174" t="s">
        <v>702</v>
      </c>
      <c r="O174" t="s">
        <v>526</v>
      </c>
      <c r="P174">
        <v>1</v>
      </c>
      <c r="Q174" t="s">
        <v>539</v>
      </c>
      <c r="R174">
        <v>17.2</v>
      </c>
    </row>
    <row r="175" spans="2:18">
      <c r="B175">
        <v>1</v>
      </c>
      <c r="C175" s="28" t="s">
        <v>519</v>
      </c>
      <c r="D175" s="28" t="s">
        <v>520</v>
      </c>
      <c r="E175" t="s">
        <v>721</v>
      </c>
      <c r="F175" t="s">
        <v>544</v>
      </c>
      <c r="G175" t="s">
        <v>550</v>
      </c>
      <c r="H175" t="s">
        <v>624</v>
      </c>
      <c r="I175" t="s">
        <v>625</v>
      </c>
      <c r="K175" t="s">
        <v>525</v>
      </c>
      <c r="L175" t="s">
        <v>518</v>
      </c>
      <c r="M175" t="s">
        <v>526</v>
      </c>
      <c r="N175" t="s">
        <v>527</v>
      </c>
      <c r="O175" t="s">
        <v>526</v>
      </c>
      <c r="P175">
        <v>1</v>
      </c>
      <c r="Q175" t="s">
        <v>528</v>
      </c>
      <c r="R175">
        <v>920</v>
      </c>
    </row>
    <row r="176" spans="2:18">
      <c r="B176">
        <v>2</v>
      </c>
      <c r="C176" s="28" t="s">
        <v>519</v>
      </c>
      <c r="D176" s="28" t="s">
        <v>520</v>
      </c>
      <c r="E176" t="s">
        <v>721</v>
      </c>
      <c r="F176" t="s">
        <v>544</v>
      </c>
      <c r="G176" t="s">
        <v>550</v>
      </c>
      <c r="H176" t="s">
        <v>627</v>
      </c>
      <c r="I176" t="s">
        <v>628</v>
      </c>
      <c r="K176" t="s">
        <v>531</v>
      </c>
      <c r="L176" t="s">
        <v>518</v>
      </c>
      <c r="M176" t="s">
        <v>526</v>
      </c>
      <c r="N176" t="s">
        <v>532</v>
      </c>
      <c r="O176" t="s">
        <v>526</v>
      </c>
      <c r="P176">
        <v>1</v>
      </c>
      <c r="Q176" t="s">
        <v>533</v>
      </c>
      <c r="R176">
        <v>380</v>
      </c>
    </row>
    <row r="177" spans="2:18">
      <c r="B177">
        <v>3</v>
      </c>
      <c r="C177" s="28" t="s">
        <v>519</v>
      </c>
      <c r="D177" s="28" t="s">
        <v>520</v>
      </c>
      <c r="E177" t="s">
        <v>721</v>
      </c>
      <c r="F177" t="s">
        <v>631</v>
      </c>
      <c r="G177" t="s">
        <v>522</v>
      </c>
      <c r="H177" t="s">
        <v>632</v>
      </c>
      <c r="I177" t="s">
        <v>633</v>
      </c>
      <c r="K177" t="s">
        <v>537</v>
      </c>
      <c r="L177" t="s">
        <v>518</v>
      </c>
      <c r="M177" t="s">
        <v>526</v>
      </c>
      <c r="N177" t="s">
        <v>538</v>
      </c>
      <c r="O177" t="s">
        <v>526</v>
      </c>
      <c r="P177">
        <v>1</v>
      </c>
      <c r="Q177" t="s">
        <v>539</v>
      </c>
      <c r="R177">
        <v>14</v>
      </c>
    </row>
    <row r="178" spans="2:18">
      <c r="B178">
        <v>4</v>
      </c>
      <c r="C178" s="28" t="s">
        <v>519</v>
      </c>
      <c r="D178" s="28" t="s">
        <v>520</v>
      </c>
      <c r="E178" t="s">
        <v>721</v>
      </c>
      <c r="F178" t="s">
        <v>631</v>
      </c>
      <c r="G178" t="s">
        <v>566</v>
      </c>
      <c r="H178" t="s">
        <v>636</v>
      </c>
      <c r="I178" t="s">
        <v>637</v>
      </c>
      <c r="K178" t="s">
        <v>542</v>
      </c>
      <c r="L178" t="s">
        <v>518</v>
      </c>
      <c r="M178" t="s">
        <v>526</v>
      </c>
      <c r="N178" t="s">
        <v>543</v>
      </c>
      <c r="O178" t="s">
        <v>526</v>
      </c>
      <c r="P178">
        <v>1</v>
      </c>
      <c r="Q178" t="s">
        <v>539</v>
      </c>
      <c r="R178">
        <v>33</v>
      </c>
    </row>
    <row r="179" spans="2:18">
      <c r="B179">
        <v>5</v>
      </c>
      <c r="C179" s="28" t="s">
        <v>519</v>
      </c>
      <c r="D179" s="28" t="s">
        <v>520</v>
      </c>
      <c r="E179" t="s">
        <v>721</v>
      </c>
      <c r="F179" t="s">
        <v>631</v>
      </c>
      <c r="G179" t="s">
        <v>550</v>
      </c>
      <c r="H179" t="s">
        <v>640</v>
      </c>
      <c r="I179" t="s">
        <v>641</v>
      </c>
      <c r="K179" t="s">
        <v>548</v>
      </c>
      <c r="L179" t="s">
        <v>518</v>
      </c>
      <c r="M179" t="s">
        <v>526</v>
      </c>
      <c r="N179" t="s">
        <v>549</v>
      </c>
      <c r="O179" t="s">
        <v>526</v>
      </c>
      <c r="P179">
        <v>1</v>
      </c>
      <c r="Q179" t="s">
        <v>539</v>
      </c>
      <c r="R179">
        <v>0</v>
      </c>
    </row>
    <row r="180" spans="2:18">
      <c r="B180">
        <v>6</v>
      </c>
      <c r="C180" s="28" t="s">
        <v>519</v>
      </c>
      <c r="D180" s="28" t="s">
        <v>520</v>
      </c>
      <c r="E180" t="s">
        <v>721</v>
      </c>
      <c r="F180" t="s">
        <v>631</v>
      </c>
      <c r="G180" t="s">
        <v>574</v>
      </c>
      <c r="H180" t="s">
        <v>643</v>
      </c>
      <c r="I180" t="s">
        <v>644</v>
      </c>
      <c r="K180" t="s">
        <v>553</v>
      </c>
      <c r="L180" t="s">
        <v>518</v>
      </c>
      <c r="M180" t="s">
        <v>526</v>
      </c>
      <c r="N180" t="s">
        <v>554</v>
      </c>
      <c r="O180" t="s">
        <v>526</v>
      </c>
      <c r="P180">
        <v>1</v>
      </c>
      <c r="Q180" t="s">
        <v>539</v>
      </c>
      <c r="R180">
        <v>223</v>
      </c>
    </row>
    <row r="181" spans="2:18">
      <c r="B181">
        <v>7</v>
      </c>
      <c r="C181" s="28" t="s">
        <v>519</v>
      </c>
      <c r="D181" s="28" t="s">
        <v>520</v>
      </c>
      <c r="E181" t="s">
        <v>721</v>
      </c>
      <c r="F181" t="s">
        <v>631</v>
      </c>
      <c r="G181" t="s">
        <v>647</v>
      </c>
      <c r="H181" t="s">
        <v>648</v>
      </c>
      <c r="I181" t="s">
        <v>649</v>
      </c>
      <c r="K181" t="s">
        <v>708</v>
      </c>
      <c r="L181" t="s">
        <v>518</v>
      </c>
      <c r="M181" t="s">
        <v>526</v>
      </c>
      <c r="N181" t="s">
        <v>526</v>
      </c>
      <c r="O181" t="s">
        <v>526</v>
      </c>
      <c r="P181">
        <v>1</v>
      </c>
      <c r="Q181" t="s">
        <v>539</v>
      </c>
      <c r="R181">
        <v>784</v>
      </c>
    </row>
    <row r="182" spans="2:18">
      <c r="B182">
        <v>8</v>
      </c>
      <c r="C182" s="28" t="s">
        <v>519</v>
      </c>
      <c r="D182" s="28" t="s">
        <v>520</v>
      </c>
      <c r="E182" t="s">
        <v>721</v>
      </c>
      <c r="F182" t="s">
        <v>631</v>
      </c>
      <c r="G182" t="s">
        <v>647</v>
      </c>
      <c r="H182" t="s">
        <v>652</v>
      </c>
      <c r="I182" t="s">
        <v>653</v>
      </c>
      <c r="K182" t="s">
        <v>645</v>
      </c>
      <c r="L182" t="s">
        <v>518</v>
      </c>
      <c r="M182" t="s">
        <v>526</v>
      </c>
      <c r="N182" t="s">
        <v>646</v>
      </c>
      <c r="O182" t="s">
        <v>526</v>
      </c>
      <c r="P182">
        <v>1</v>
      </c>
      <c r="Q182" t="s">
        <v>558</v>
      </c>
      <c r="R182">
        <v>242</v>
      </c>
    </row>
    <row r="183" spans="2:18">
      <c r="B183">
        <v>9</v>
      </c>
      <c r="C183" s="28" t="s">
        <v>519</v>
      </c>
      <c r="D183" s="28" t="s">
        <v>520</v>
      </c>
      <c r="E183" t="s">
        <v>721</v>
      </c>
      <c r="F183" t="s">
        <v>631</v>
      </c>
      <c r="G183" t="s">
        <v>647</v>
      </c>
      <c r="H183" t="s">
        <v>656</v>
      </c>
      <c r="I183" t="s">
        <v>657</v>
      </c>
      <c r="K183" t="s">
        <v>712</v>
      </c>
      <c r="L183" t="s">
        <v>518</v>
      </c>
      <c r="M183" t="s">
        <v>526</v>
      </c>
      <c r="N183" t="s">
        <v>713</v>
      </c>
      <c r="O183" t="s">
        <v>526</v>
      </c>
      <c r="P183">
        <v>1</v>
      </c>
      <c r="Q183" t="s">
        <v>558</v>
      </c>
      <c r="R183">
        <v>388</v>
      </c>
    </row>
    <row r="184" spans="2:18">
      <c r="B184">
        <v>9</v>
      </c>
      <c r="C184" s="28" t="s">
        <v>519</v>
      </c>
      <c r="D184" s="28" t="s">
        <v>520</v>
      </c>
      <c r="E184" t="s">
        <v>721</v>
      </c>
      <c r="F184" t="s">
        <v>631</v>
      </c>
      <c r="G184" t="s">
        <v>566</v>
      </c>
      <c r="H184" t="s">
        <v>660</v>
      </c>
      <c r="I184" t="s">
        <v>661</v>
      </c>
      <c r="K184" t="s">
        <v>715</v>
      </c>
      <c r="L184" t="s">
        <v>518</v>
      </c>
      <c r="M184" t="s">
        <v>526</v>
      </c>
      <c r="N184" t="s">
        <v>716</v>
      </c>
      <c r="O184" t="s">
        <v>526</v>
      </c>
      <c r="P184">
        <v>2</v>
      </c>
      <c r="Q184" t="s">
        <v>533</v>
      </c>
      <c r="R184">
        <v>128</v>
      </c>
    </row>
    <row r="185" spans="2:18">
      <c r="B185">
        <v>10</v>
      </c>
      <c r="C185" s="28" t="s">
        <v>519</v>
      </c>
      <c r="D185" s="28" t="s">
        <v>520</v>
      </c>
      <c r="E185" t="s">
        <v>721</v>
      </c>
      <c r="F185" t="s">
        <v>631</v>
      </c>
      <c r="G185" t="s">
        <v>534</v>
      </c>
      <c r="H185" t="s">
        <v>664</v>
      </c>
      <c r="I185" t="s">
        <v>665</v>
      </c>
      <c r="K185" t="s">
        <v>569</v>
      </c>
      <c r="L185" t="s">
        <v>518</v>
      </c>
      <c r="M185" t="s">
        <v>526</v>
      </c>
      <c r="N185" t="s">
        <v>526</v>
      </c>
      <c r="O185" t="s">
        <v>526</v>
      </c>
      <c r="P185">
        <v>1</v>
      </c>
      <c r="Q185" t="s">
        <v>539</v>
      </c>
      <c r="R185">
        <v>1680</v>
      </c>
    </row>
    <row r="186" spans="2:18">
      <c r="B186">
        <v>11</v>
      </c>
      <c r="C186" s="28" t="s">
        <v>519</v>
      </c>
      <c r="D186" s="28" t="s">
        <v>520</v>
      </c>
      <c r="E186" t="s">
        <v>721</v>
      </c>
      <c r="F186" t="s">
        <v>631</v>
      </c>
      <c r="G186" t="s">
        <v>647</v>
      </c>
      <c r="H186" t="s">
        <v>668</v>
      </c>
      <c r="I186" t="s">
        <v>669</v>
      </c>
      <c r="K186" t="s">
        <v>572</v>
      </c>
      <c r="L186" t="s">
        <v>518</v>
      </c>
      <c r="M186" t="s">
        <v>526</v>
      </c>
      <c r="N186" t="s">
        <v>573</v>
      </c>
      <c r="O186" t="s">
        <v>526</v>
      </c>
      <c r="P186">
        <v>1</v>
      </c>
      <c r="Q186" t="s">
        <v>539</v>
      </c>
      <c r="R186">
        <v>10</v>
      </c>
    </row>
    <row r="187" spans="2:18">
      <c r="B187">
        <v>12</v>
      </c>
      <c r="C187" s="28" t="s">
        <v>519</v>
      </c>
      <c r="D187" s="28" t="s">
        <v>520</v>
      </c>
      <c r="E187" t="s">
        <v>721</v>
      </c>
      <c r="F187" t="s">
        <v>631</v>
      </c>
      <c r="G187" t="s">
        <v>647</v>
      </c>
      <c r="H187" t="s">
        <v>673</v>
      </c>
      <c r="I187" t="s">
        <v>674</v>
      </c>
      <c r="K187" t="s">
        <v>577</v>
      </c>
      <c r="L187" t="s">
        <v>518</v>
      </c>
      <c r="M187" t="s">
        <v>526</v>
      </c>
      <c r="N187" t="s">
        <v>578</v>
      </c>
      <c r="O187" t="s">
        <v>526</v>
      </c>
      <c r="P187">
        <v>1</v>
      </c>
      <c r="Q187" t="s">
        <v>539</v>
      </c>
      <c r="R187">
        <v>74</v>
      </c>
    </row>
    <row r="188" spans="2:18">
      <c r="B188">
        <v>12</v>
      </c>
      <c r="C188" s="28" t="s">
        <v>519</v>
      </c>
      <c r="D188" s="28" t="s">
        <v>520</v>
      </c>
      <c r="E188" t="s">
        <v>721</v>
      </c>
      <c r="F188" t="s">
        <v>631</v>
      </c>
      <c r="G188" t="s">
        <v>647</v>
      </c>
      <c r="H188" t="s">
        <v>677</v>
      </c>
      <c r="I188" t="s">
        <v>678</v>
      </c>
      <c r="K188" t="s">
        <v>705</v>
      </c>
      <c r="L188" t="s">
        <v>518</v>
      </c>
      <c r="M188" t="s">
        <v>526</v>
      </c>
      <c r="N188" t="s">
        <v>706</v>
      </c>
      <c r="O188" t="s">
        <v>526</v>
      </c>
      <c r="P188">
        <v>1</v>
      </c>
      <c r="Q188" t="s">
        <v>539</v>
      </c>
      <c r="R188">
        <v>56</v>
      </c>
    </row>
    <row r="189" spans="2:18">
      <c r="B189">
        <v>13</v>
      </c>
      <c r="C189" s="28" t="s">
        <v>519</v>
      </c>
      <c r="D189" s="28" t="s">
        <v>520</v>
      </c>
      <c r="E189" t="s">
        <v>724</v>
      </c>
      <c r="F189" t="s">
        <v>521</v>
      </c>
      <c r="G189" t="s">
        <v>522</v>
      </c>
      <c r="H189" t="s">
        <v>523</v>
      </c>
      <c r="I189" t="s">
        <v>524</v>
      </c>
      <c r="K189" t="s">
        <v>581</v>
      </c>
      <c r="L189" t="s">
        <v>518</v>
      </c>
      <c r="M189" t="s">
        <v>526</v>
      </c>
      <c r="N189" t="s">
        <v>582</v>
      </c>
      <c r="O189" t="s">
        <v>526</v>
      </c>
      <c r="P189">
        <v>1</v>
      </c>
      <c r="Q189" t="s">
        <v>539</v>
      </c>
      <c r="R189">
        <v>84</v>
      </c>
    </row>
    <row r="190" spans="2:18">
      <c r="B190">
        <v>14</v>
      </c>
      <c r="C190" s="28" t="s">
        <v>519</v>
      </c>
      <c r="D190" s="28" t="s">
        <v>520</v>
      </c>
      <c r="E190" t="s">
        <v>724</v>
      </c>
      <c r="F190" t="s">
        <v>521</v>
      </c>
      <c r="G190" t="s">
        <v>522</v>
      </c>
      <c r="H190" t="s">
        <v>529</v>
      </c>
      <c r="I190" t="s">
        <v>530</v>
      </c>
      <c r="K190" t="s">
        <v>586</v>
      </c>
      <c r="L190" t="s">
        <v>518</v>
      </c>
      <c r="M190" t="s">
        <v>526</v>
      </c>
      <c r="N190" t="s">
        <v>587</v>
      </c>
      <c r="O190" t="s">
        <v>526</v>
      </c>
      <c r="P190">
        <v>1</v>
      </c>
      <c r="Q190" t="s">
        <v>539</v>
      </c>
      <c r="R190">
        <v>165</v>
      </c>
    </row>
    <row r="191" spans="2:18">
      <c r="B191">
        <v>15</v>
      </c>
      <c r="C191" s="28" t="s">
        <v>519</v>
      </c>
      <c r="D191" s="28" t="s">
        <v>520</v>
      </c>
      <c r="E191" t="s">
        <v>724</v>
      </c>
      <c r="F191" t="s">
        <v>521</v>
      </c>
      <c r="G191" t="s">
        <v>534</v>
      </c>
      <c r="H191" t="s">
        <v>535</v>
      </c>
      <c r="I191" t="s">
        <v>536</v>
      </c>
      <c r="K191" t="s">
        <v>590</v>
      </c>
      <c r="L191" t="s">
        <v>518</v>
      </c>
      <c r="M191" t="s">
        <v>526</v>
      </c>
      <c r="N191" t="s">
        <v>526</v>
      </c>
      <c r="O191" t="s">
        <v>526</v>
      </c>
      <c r="P191">
        <v>1</v>
      </c>
      <c r="Q191" t="s">
        <v>539</v>
      </c>
      <c r="R191">
        <v>43</v>
      </c>
    </row>
    <row r="192" spans="2:18">
      <c r="B192">
        <v>16</v>
      </c>
      <c r="C192" s="28" t="s">
        <v>519</v>
      </c>
      <c r="D192" s="28" t="s">
        <v>520</v>
      </c>
      <c r="E192" t="s">
        <v>724</v>
      </c>
      <c r="F192" t="s">
        <v>521</v>
      </c>
      <c r="G192" t="s">
        <v>534</v>
      </c>
      <c r="H192" t="s">
        <v>540</v>
      </c>
      <c r="I192" t="s">
        <v>541</v>
      </c>
      <c r="K192" t="s">
        <v>594</v>
      </c>
      <c r="L192" t="s">
        <v>518</v>
      </c>
      <c r="M192" t="s">
        <v>526</v>
      </c>
      <c r="N192" t="s">
        <v>582</v>
      </c>
      <c r="O192" t="s">
        <v>526</v>
      </c>
      <c r="P192">
        <v>1</v>
      </c>
      <c r="Q192" t="s">
        <v>539</v>
      </c>
      <c r="R192">
        <v>425</v>
      </c>
    </row>
    <row r="193" spans="2:18">
      <c r="B193">
        <v>17</v>
      </c>
      <c r="C193" s="28" t="s">
        <v>519</v>
      </c>
      <c r="D193" s="28" t="s">
        <v>520</v>
      </c>
      <c r="E193" t="s">
        <v>724</v>
      </c>
      <c r="F193" t="s">
        <v>544</v>
      </c>
      <c r="G193" t="s">
        <v>545</v>
      </c>
      <c r="H193" t="s">
        <v>546</v>
      </c>
      <c r="I193" t="s">
        <v>547</v>
      </c>
      <c r="K193" t="s">
        <v>597</v>
      </c>
      <c r="L193" t="s">
        <v>518</v>
      </c>
      <c r="M193" t="s">
        <v>526</v>
      </c>
      <c r="N193" t="s">
        <v>598</v>
      </c>
      <c r="O193" t="s">
        <v>526</v>
      </c>
      <c r="P193">
        <v>1</v>
      </c>
      <c r="Q193" t="s">
        <v>539</v>
      </c>
      <c r="R193">
        <v>77</v>
      </c>
    </row>
    <row r="194" spans="2:18">
      <c r="B194">
        <v>18</v>
      </c>
      <c r="C194" s="28" t="s">
        <v>519</v>
      </c>
      <c r="D194" s="28" t="s">
        <v>520</v>
      </c>
      <c r="E194" t="s">
        <v>724</v>
      </c>
      <c r="F194" t="s">
        <v>544</v>
      </c>
      <c r="G194" t="s">
        <v>550</v>
      </c>
      <c r="H194" t="s">
        <v>551</v>
      </c>
      <c r="I194" t="s">
        <v>552</v>
      </c>
      <c r="K194" t="s">
        <v>601</v>
      </c>
      <c r="L194" t="s">
        <v>518</v>
      </c>
      <c r="M194" t="s">
        <v>526</v>
      </c>
      <c r="N194" t="s">
        <v>602</v>
      </c>
      <c r="O194" t="s">
        <v>526</v>
      </c>
      <c r="P194">
        <v>1</v>
      </c>
      <c r="Q194" t="s">
        <v>603</v>
      </c>
      <c r="R194">
        <v>415</v>
      </c>
    </row>
    <row r="195" spans="2:18">
      <c r="B195">
        <v>19</v>
      </c>
      <c r="C195" s="28" t="s">
        <v>519</v>
      </c>
      <c r="D195" s="28" t="s">
        <v>520</v>
      </c>
      <c r="E195" t="s">
        <v>724</v>
      </c>
      <c r="F195" t="s">
        <v>544</v>
      </c>
      <c r="G195" t="s">
        <v>550</v>
      </c>
      <c r="H195" t="s">
        <v>555</v>
      </c>
      <c r="I195" t="s">
        <v>556</v>
      </c>
      <c r="K195" t="s">
        <v>611</v>
      </c>
      <c r="L195" t="s">
        <v>518</v>
      </c>
      <c r="M195" t="s">
        <v>526</v>
      </c>
      <c r="N195" t="s">
        <v>608</v>
      </c>
      <c r="O195" t="s">
        <v>526</v>
      </c>
      <c r="P195">
        <v>1</v>
      </c>
      <c r="Q195" t="s">
        <v>612</v>
      </c>
      <c r="R195">
        <v>77</v>
      </c>
    </row>
    <row r="196" spans="2:18">
      <c r="B196">
        <v>24</v>
      </c>
      <c r="C196" s="28" t="s">
        <v>519</v>
      </c>
      <c r="D196" s="28" t="s">
        <v>520</v>
      </c>
      <c r="E196" t="s">
        <v>724</v>
      </c>
      <c r="F196" t="s">
        <v>544</v>
      </c>
      <c r="G196" t="s">
        <v>550</v>
      </c>
      <c r="H196" t="s">
        <v>559</v>
      </c>
      <c r="I196" t="s">
        <v>560</v>
      </c>
      <c r="K196" t="s">
        <v>626</v>
      </c>
      <c r="L196" t="s">
        <v>518</v>
      </c>
      <c r="M196" t="s">
        <v>526</v>
      </c>
      <c r="N196" t="s">
        <v>526</v>
      </c>
      <c r="O196" t="s">
        <v>526</v>
      </c>
      <c r="P196">
        <v>1</v>
      </c>
      <c r="Q196" t="s">
        <v>539</v>
      </c>
      <c r="R196">
        <v>41</v>
      </c>
    </row>
    <row r="197" spans="2:18">
      <c r="B197">
        <v>26</v>
      </c>
      <c r="C197" s="28" t="s">
        <v>519</v>
      </c>
      <c r="D197" s="28" t="s">
        <v>520</v>
      </c>
      <c r="E197" t="s">
        <v>724</v>
      </c>
      <c r="F197" t="s">
        <v>544</v>
      </c>
      <c r="G197" t="s">
        <v>550</v>
      </c>
      <c r="H197" t="s">
        <v>562</v>
      </c>
      <c r="I197" t="s">
        <v>704</v>
      </c>
      <c r="K197" t="s">
        <v>717</v>
      </c>
      <c r="L197" t="s">
        <v>518</v>
      </c>
      <c r="M197" t="s">
        <v>526</v>
      </c>
      <c r="N197" t="s">
        <v>718</v>
      </c>
      <c r="O197" t="s">
        <v>526</v>
      </c>
      <c r="P197">
        <v>1</v>
      </c>
      <c r="Q197" t="s">
        <v>672</v>
      </c>
      <c r="R197">
        <v>660</v>
      </c>
    </row>
    <row r="198" spans="2:18">
      <c r="B198">
        <v>33</v>
      </c>
      <c r="C198" s="28" t="s">
        <v>519</v>
      </c>
      <c r="D198" s="28" t="s">
        <v>520</v>
      </c>
      <c r="E198" t="s">
        <v>724</v>
      </c>
      <c r="F198" t="s">
        <v>544</v>
      </c>
      <c r="G198" t="s">
        <v>566</v>
      </c>
      <c r="H198" t="s">
        <v>567</v>
      </c>
      <c r="I198" t="s">
        <v>568</v>
      </c>
      <c r="K198" t="s">
        <v>638</v>
      </c>
      <c r="L198" t="s">
        <v>518</v>
      </c>
      <c r="M198" t="s">
        <v>526</v>
      </c>
      <c r="N198" t="s">
        <v>526</v>
      </c>
      <c r="O198" t="s">
        <v>526</v>
      </c>
      <c r="P198">
        <v>1</v>
      </c>
      <c r="Q198" t="s">
        <v>639</v>
      </c>
      <c r="R198">
        <v>58</v>
      </c>
    </row>
    <row r="199" spans="2:18">
      <c r="B199">
        <v>19</v>
      </c>
      <c r="C199" s="28" t="s">
        <v>519</v>
      </c>
      <c r="D199" s="28" t="s">
        <v>520</v>
      </c>
      <c r="E199" t="s">
        <v>724</v>
      </c>
      <c r="F199" t="s">
        <v>544</v>
      </c>
      <c r="G199" t="s">
        <v>566</v>
      </c>
      <c r="H199" t="s">
        <v>570</v>
      </c>
      <c r="I199" t="s">
        <v>571</v>
      </c>
      <c r="K199" t="s">
        <v>614</v>
      </c>
      <c r="L199" t="s">
        <v>518</v>
      </c>
      <c r="M199" t="s">
        <v>526</v>
      </c>
      <c r="N199" t="s">
        <v>615</v>
      </c>
      <c r="O199" t="s">
        <v>526</v>
      </c>
      <c r="P199">
        <v>1</v>
      </c>
      <c r="Q199" t="s">
        <v>616</v>
      </c>
      <c r="R199">
        <v>53</v>
      </c>
    </row>
    <row r="200" spans="2:18">
      <c r="B200">
        <v>19</v>
      </c>
      <c r="C200" s="28" t="s">
        <v>519</v>
      </c>
      <c r="D200" s="28" t="s">
        <v>520</v>
      </c>
      <c r="E200" t="s">
        <v>724</v>
      </c>
      <c r="F200" t="s">
        <v>544</v>
      </c>
      <c r="G200" t="s">
        <v>574</v>
      </c>
      <c r="H200" t="s">
        <v>575</v>
      </c>
      <c r="I200" t="s">
        <v>576</v>
      </c>
      <c r="K200" t="s">
        <v>619</v>
      </c>
      <c r="L200" t="s">
        <v>518</v>
      </c>
      <c r="M200" t="s">
        <v>526</v>
      </c>
      <c r="N200" t="s">
        <v>620</v>
      </c>
      <c r="O200" t="s">
        <v>526</v>
      </c>
      <c r="P200">
        <v>1</v>
      </c>
      <c r="Q200" t="s">
        <v>539</v>
      </c>
      <c r="R200">
        <v>81</v>
      </c>
    </row>
    <row r="201" spans="2:18">
      <c r="B201">
        <v>20</v>
      </c>
      <c r="C201" s="28" t="s">
        <v>519</v>
      </c>
      <c r="D201" s="28" t="s">
        <v>520</v>
      </c>
      <c r="E201" t="s">
        <v>724</v>
      </c>
      <c r="F201" t="s">
        <v>544</v>
      </c>
      <c r="G201" t="s">
        <v>545</v>
      </c>
      <c r="H201" t="s">
        <v>579</v>
      </c>
      <c r="I201" t="s">
        <v>580</v>
      </c>
      <c r="K201" t="s">
        <v>622</v>
      </c>
      <c r="L201" t="s">
        <v>518</v>
      </c>
      <c r="M201" t="s">
        <v>526</v>
      </c>
      <c r="N201" t="s">
        <v>526</v>
      </c>
      <c r="O201" t="s">
        <v>526</v>
      </c>
      <c r="P201">
        <v>1</v>
      </c>
      <c r="Q201" t="s">
        <v>623</v>
      </c>
      <c r="R201">
        <v>1086</v>
      </c>
    </row>
    <row r="202" spans="2:18">
      <c r="B202">
        <v>27</v>
      </c>
      <c r="C202" s="28" t="s">
        <v>519</v>
      </c>
      <c r="D202" s="28" t="s">
        <v>520</v>
      </c>
      <c r="E202" t="s">
        <v>724</v>
      </c>
      <c r="F202" t="s">
        <v>544</v>
      </c>
      <c r="G202" t="s">
        <v>583</v>
      </c>
      <c r="H202" t="s">
        <v>584</v>
      </c>
      <c r="I202" t="s">
        <v>585</v>
      </c>
      <c r="K202" t="s">
        <v>719</v>
      </c>
      <c r="L202" t="s">
        <v>518</v>
      </c>
      <c r="M202" t="s">
        <v>526</v>
      </c>
      <c r="N202" t="s">
        <v>720</v>
      </c>
      <c r="O202" t="s">
        <v>526</v>
      </c>
      <c r="P202">
        <v>1</v>
      </c>
      <c r="Q202" t="s">
        <v>603</v>
      </c>
      <c r="R202">
        <v>800</v>
      </c>
    </row>
    <row r="203" spans="2:18">
      <c r="B203">
        <v>27</v>
      </c>
      <c r="C203" s="28" t="s">
        <v>519</v>
      </c>
      <c r="D203" s="28" t="s">
        <v>520</v>
      </c>
      <c r="E203" t="s">
        <v>724</v>
      </c>
      <c r="F203" t="s">
        <v>544</v>
      </c>
      <c r="G203" t="s">
        <v>550</v>
      </c>
      <c r="H203" t="s">
        <v>588</v>
      </c>
      <c r="I203" t="s">
        <v>589</v>
      </c>
      <c r="K203" t="s">
        <v>557</v>
      </c>
      <c r="L203" t="s">
        <v>518</v>
      </c>
      <c r="M203" t="s">
        <v>526</v>
      </c>
      <c r="N203" t="s">
        <v>526</v>
      </c>
      <c r="O203" t="s">
        <v>526</v>
      </c>
      <c r="P203">
        <v>1</v>
      </c>
      <c r="Q203" t="s">
        <v>558</v>
      </c>
      <c r="R203">
        <v>640</v>
      </c>
    </row>
    <row r="204" spans="2:18">
      <c r="B204">
        <v>27</v>
      </c>
      <c r="C204" s="28" t="s">
        <v>519</v>
      </c>
      <c r="D204" s="28" t="s">
        <v>520</v>
      </c>
      <c r="E204" t="s">
        <v>724</v>
      </c>
      <c r="F204" t="s">
        <v>544</v>
      </c>
      <c r="G204" t="s">
        <v>591</v>
      </c>
      <c r="H204" t="s">
        <v>592</v>
      </c>
      <c r="I204" t="s">
        <v>593</v>
      </c>
      <c r="K204" t="s">
        <v>561</v>
      </c>
      <c r="L204" t="s">
        <v>518</v>
      </c>
      <c r="M204" t="s">
        <v>526</v>
      </c>
      <c r="N204" t="s">
        <v>526</v>
      </c>
      <c r="O204" t="s">
        <v>526</v>
      </c>
      <c r="P204">
        <v>1</v>
      </c>
      <c r="Q204" t="s">
        <v>558</v>
      </c>
      <c r="R204">
        <v>425</v>
      </c>
    </row>
    <row r="205" spans="2:18">
      <c r="B205">
        <v>27</v>
      </c>
      <c r="C205" s="28" t="s">
        <v>519</v>
      </c>
      <c r="D205" s="28" t="s">
        <v>520</v>
      </c>
      <c r="E205" t="s">
        <v>724</v>
      </c>
      <c r="F205" t="s">
        <v>544</v>
      </c>
      <c r="G205" t="s">
        <v>550</v>
      </c>
      <c r="H205" t="s">
        <v>595</v>
      </c>
      <c r="I205" t="s">
        <v>596</v>
      </c>
      <c r="K205" t="s">
        <v>564</v>
      </c>
      <c r="L205" t="s">
        <v>518</v>
      </c>
      <c r="M205" t="s">
        <v>526</v>
      </c>
      <c r="N205" t="s">
        <v>565</v>
      </c>
      <c r="O205" t="s">
        <v>526</v>
      </c>
      <c r="P205">
        <v>1</v>
      </c>
      <c r="Q205" t="s">
        <v>539</v>
      </c>
      <c r="R205">
        <v>959</v>
      </c>
    </row>
    <row r="206" spans="2:18">
      <c r="B206">
        <v>33</v>
      </c>
      <c r="C206" s="28" t="s">
        <v>519</v>
      </c>
      <c r="D206" s="28" t="s">
        <v>520</v>
      </c>
      <c r="E206" t="s">
        <v>724</v>
      </c>
      <c r="F206" t="s">
        <v>544</v>
      </c>
      <c r="G206" t="s">
        <v>522</v>
      </c>
      <c r="H206" t="s">
        <v>599</v>
      </c>
      <c r="I206" t="s">
        <v>714</v>
      </c>
      <c r="K206" t="s">
        <v>601</v>
      </c>
      <c r="L206" t="s">
        <v>518</v>
      </c>
      <c r="M206" t="s">
        <v>526</v>
      </c>
      <c r="N206" t="s">
        <v>602</v>
      </c>
      <c r="O206" t="s">
        <v>526</v>
      </c>
      <c r="P206">
        <v>1</v>
      </c>
      <c r="Q206" t="s">
        <v>603</v>
      </c>
      <c r="R206">
        <v>415</v>
      </c>
    </row>
    <row r="207" spans="2:18">
      <c r="B207">
        <v>33</v>
      </c>
      <c r="C207" s="28" t="s">
        <v>519</v>
      </c>
      <c r="D207" s="28" t="s">
        <v>520</v>
      </c>
      <c r="E207" t="s">
        <v>724</v>
      </c>
      <c r="F207" t="s">
        <v>544</v>
      </c>
      <c r="G207" t="s">
        <v>604</v>
      </c>
      <c r="H207" t="s">
        <v>605</v>
      </c>
      <c r="I207" t="s">
        <v>610</v>
      </c>
      <c r="K207" t="s">
        <v>611</v>
      </c>
      <c r="L207" t="s">
        <v>518</v>
      </c>
      <c r="M207" t="s">
        <v>526</v>
      </c>
      <c r="N207" t="s">
        <v>608</v>
      </c>
      <c r="O207" t="s">
        <v>526</v>
      </c>
      <c r="P207">
        <v>1</v>
      </c>
      <c r="Q207" t="s">
        <v>612</v>
      </c>
      <c r="R207">
        <v>77</v>
      </c>
    </row>
    <row r="208" spans="2:18">
      <c r="B208">
        <v>33</v>
      </c>
      <c r="C208" s="28" t="s">
        <v>519</v>
      </c>
      <c r="D208" s="28" t="s">
        <v>520</v>
      </c>
      <c r="E208" t="s">
        <v>724</v>
      </c>
      <c r="F208" t="s">
        <v>544</v>
      </c>
      <c r="G208" t="s">
        <v>550</v>
      </c>
      <c r="H208" t="s">
        <v>477</v>
      </c>
      <c r="I208" t="s">
        <v>613</v>
      </c>
      <c r="K208" t="s">
        <v>569</v>
      </c>
      <c r="L208" t="s">
        <v>518</v>
      </c>
      <c r="M208" t="s">
        <v>526</v>
      </c>
      <c r="N208" t="s">
        <v>526</v>
      </c>
      <c r="O208" t="s">
        <v>526</v>
      </c>
      <c r="P208">
        <v>1</v>
      </c>
      <c r="Q208" t="s">
        <v>539</v>
      </c>
      <c r="R208">
        <v>1680</v>
      </c>
    </row>
    <row r="209" spans="2:18">
      <c r="B209">
        <v>33</v>
      </c>
      <c r="C209" s="28" t="s">
        <v>519</v>
      </c>
      <c r="D209" s="28" t="s">
        <v>520</v>
      </c>
      <c r="E209" t="s">
        <v>724</v>
      </c>
      <c r="F209" t="s">
        <v>544</v>
      </c>
      <c r="G209" t="s">
        <v>583</v>
      </c>
      <c r="H209" t="s">
        <v>617</v>
      </c>
      <c r="I209" t="s">
        <v>618</v>
      </c>
      <c r="K209" t="s">
        <v>572</v>
      </c>
      <c r="L209" t="s">
        <v>518</v>
      </c>
      <c r="M209" t="s">
        <v>526</v>
      </c>
      <c r="N209" t="s">
        <v>573</v>
      </c>
      <c r="O209" t="s">
        <v>526</v>
      </c>
      <c r="P209">
        <v>1</v>
      </c>
      <c r="Q209" t="s">
        <v>539</v>
      </c>
      <c r="R209">
        <v>10</v>
      </c>
    </row>
    <row r="210" spans="2:18">
      <c r="B210">
        <v>13</v>
      </c>
      <c r="C210" s="28" t="s">
        <v>519</v>
      </c>
      <c r="D210" s="28" t="s">
        <v>520</v>
      </c>
      <c r="E210" t="s">
        <v>724</v>
      </c>
      <c r="F210" t="s">
        <v>544</v>
      </c>
      <c r="G210" t="s">
        <v>550</v>
      </c>
      <c r="H210" t="s">
        <v>478</v>
      </c>
      <c r="I210" t="s">
        <v>621</v>
      </c>
      <c r="K210" t="s">
        <v>581</v>
      </c>
      <c r="L210" t="s">
        <v>518</v>
      </c>
      <c r="M210" t="s">
        <v>526</v>
      </c>
      <c r="N210" t="s">
        <v>582</v>
      </c>
      <c r="O210" t="s">
        <v>526</v>
      </c>
      <c r="P210">
        <v>1</v>
      </c>
      <c r="Q210" t="s">
        <v>539</v>
      </c>
      <c r="R210">
        <v>84</v>
      </c>
    </row>
    <row r="211" spans="2:18">
      <c r="B211">
        <v>12</v>
      </c>
      <c r="C211" s="28" t="s">
        <v>519</v>
      </c>
      <c r="D211" s="28" t="s">
        <v>520</v>
      </c>
      <c r="E211" t="s">
        <v>724</v>
      </c>
      <c r="F211" t="s">
        <v>544</v>
      </c>
      <c r="G211" t="s">
        <v>550</v>
      </c>
      <c r="H211" t="s">
        <v>624</v>
      </c>
      <c r="I211" t="s">
        <v>625</v>
      </c>
      <c r="K211" t="s">
        <v>577</v>
      </c>
      <c r="L211" t="s">
        <v>518</v>
      </c>
      <c r="M211" t="s">
        <v>526</v>
      </c>
      <c r="N211" t="s">
        <v>578</v>
      </c>
      <c r="O211" t="s">
        <v>526</v>
      </c>
      <c r="P211">
        <v>1</v>
      </c>
      <c r="Q211" t="s">
        <v>539</v>
      </c>
      <c r="R211">
        <v>74</v>
      </c>
    </row>
    <row r="212" spans="2:18">
      <c r="B212">
        <v>11</v>
      </c>
      <c r="C212" s="28" t="s">
        <v>519</v>
      </c>
      <c r="D212" s="28" t="s">
        <v>520</v>
      </c>
      <c r="E212" t="s">
        <v>724</v>
      </c>
      <c r="F212" t="s">
        <v>544</v>
      </c>
      <c r="G212" t="s">
        <v>550</v>
      </c>
      <c r="H212" t="s">
        <v>627</v>
      </c>
      <c r="I212" t="s">
        <v>628</v>
      </c>
      <c r="K212" t="s">
        <v>629</v>
      </c>
      <c r="L212" t="s">
        <v>518</v>
      </c>
      <c r="M212" t="s">
        <v>526</v>
      </c>
      <c r="N212" t="s">
        <v>630</v>
      </c>
      <c r="O212" t="s">
        <v>526</v>
      </c>
      <c r="P212">
        <v>1</v>
      </c>
      <c r="Q212" t="s">
        <v>558</v>
      </c>
      <c r="R212">
        <v>331</v>
      </c>
    </row>
    <row r="213" spans="2:18">
      <c r="B213">
        <v>10</v>
      </c>
      <c r="C213" s="28" t="s">
        <v>519</v>
      </c>
      <c r="D213" s="28" t="s">
        <v>520</v>
      </c>
      <c r="E213" t="s">
        <v>724</v>
      </c>
      <c r="F213" t="s">
        <v>631</v>
      </c>
      <c r="G213" t="s">
        <v>522</v>
      </c>
      <c r="H213" t="s">
        <v>632</v>
      </c>
      <c r="I213" t="s">
        <v>633</v>
      </c>
      <c r="K213" t="s">
        <v>634</v>
      </c>
      <c r="L213" t="s">
        <v>518</v>
      </c>
      <c r="M213" t="s">
        <v>526</v>
      </c>
      <c r="N213" t="s">
        <v>635</v>
      </c>
      <c r="O213" t="s">
        <v>526</v>
      </c>
      <c r="P213">
        <v>1</v>
      </c>
      <c r="Q213" t="s">
        <v>533</v>
      </c>
      <c r="R213">
        <v>92</v>
      </c>
    </row>
    <row r="214" spans="2:18">
      <c r="B214">
        <v>35</v>
      </c>
      <c r="C214" s="28" t="s">
        <v>519</v>
      </c>
      <c r="D214" s="28" t="s">
        <v>520</v>
      </c>
      <c r="E214" t="s">
        <v>724</v>
      </c>
      <c r="F214" t="s">
        <v>631</v>
      </c>
      <c r="G214" t="s">
        <v>566</v>
      </c>
      <c r="H214" t="s">
        <v>636</v>
      </c>
      <c r="I214" t="s">
        <v>637</v>
      </c>
      <c r="K214" t="s">
        <v>686</v>
      </c>
      <c r="L214" t="s">
        <v>518</v>
      </c>
      <c r="M214" t="s">
        <v>526</v>
      </c>
      <c r="N214" t="s">
        <v>687</v>
      </c>
      <c r="O214" t="s">
        <v>526</v>
      </c>
      <c r="P214">
        <v>1</v>
      </c>
      <c r="Q214" t="s">
        <v>603</v>
      </c>
      <c r="R214">
        <v>290</v>
      </c>
    </row>
    <row r="215" spans="2:18">
      <c r="B215">
        <v>37</v>
      </c>
      <c r="C215" s="28" t="s">
        <v>519</v>
      </c>
      <c r="D215" s="28" t="s">
        <v>520</v>
      </c>
      <c r="E215" t="s">
        <v>724</v>
      </c>
      <c r="F215" t="s">
        <v>631</v>
      </c>
      <c r="G215" t="s">
        <v>550</v>
      </c>
      <c r="H215" t="s">
        <v>640</v>
      </c>
      <c r="I215" t="s">
        <v>641</v>
      </c>
      <c r="K215" t="s">
        <v>688</v>
      </c>
      <c r="L215" t="s">
        <v>518</v>
      </c>
      <c r="M215" t="s">
        <v>526</v>
      </c>
      <c r="N215" t="s">
        <v>689</v>
      </c>
      <c r="O215" t="s">
        <v>526</v>
      </c>
      <c r="P215">
        <v>1</v>
      </c>
      <c r="Q215" t="s">
        <v>539</v>
      </c>
      <c r="R215">
        <v>100</v>
      </c>
    </row>
    <row r="216" spans="2:18">
      <c r="B216">
        <v>38</v>
      </c>
      <c r="C216" s="28" t="s">
        <v>519</v>
      </c>
      <c r="D216" s="28" t="s">
        <v>520</v>
      </c>
      <c r="E216" t="s">
        <v>724</v>
      </c>
      <c r="F216" t="s">
        <v>631</v>
      </c>
      <c r="G216" t="s">
        <v>574</v>
      </c>
      <c r="H216" t="s">
        <v>643</v>
      </c>
      <c r="I216" t="s">
        <v>644</v>
      </c>
      <c r="K216" t="s">
        <v>690</v>
      </c>
      <c r="L216" t="s">
        <v>518</v>
      </c>
      <c r="M216" t="s">
        <v>526</v>
      </c>
      <c r="N216" t="s">
        <v>691</v>
      </c>
      <c r="O216" t="s">
        <v>526</v>
      </c>
      <c r="P216">
        <v>1</v>
      </c>
      <c r="Q216" t="s">
        <v>616</v>
      </c>
      <c r="R216">
        <v>55</v>
      </c>
    </row>
    <row r="217" spans="2:18">
      <c r="B217">
        <v>39</v>
      </c>
      <c r="C217" s="28" t="s">
        <v>519</v>
      </c>
      <c r="D217" s="28" t="s">
        <v>520</v>
      </c>
      <c r="E217" t="s">
        <v>724</v>
      </c>
      <c r="F217" t="s">
        <v>631</v>
      </c>
      <c r="G217" t="s">
        <v>647</v>
      </c>
      <c r="H217" t="s">
        <v>648</v>
      </c>
      <c r="I217" t="s">
        <v>649</v>
      </c>
      <c r="K217" t="s">
        <v>692</v>
      </c>
      <c r="L217" t="s">
        <v>518</v>
      </c>
      <c r="M217" t="s">
        <v>526</v>
      </c>
      <c r="N217" t="s">
        <v>582</v>
      </c>
      <c r="O217" t="s">
        <v>526</v>
      </c>
      <c r="P217">
        <v>1</v>
      </c>
      <c r="Q217" t="s">
        <v>539</v>
      </c>
      <c r="R217">
        <v>66.26</v>
      </c>
    </row>
    <row r="218" spans="2:18">
      <c r="B218">
        <v>40</v>
      </c>
      <c r="C218" s="28" t="s">
        <v>519</v>
      </c>
      <c r="D218" s="28" t="s">
        <v>520</v>
      </c>
      <c r="E218" t="s">
        <v>724</v>
      </c>
      <c r="F218" t="s">
        <v>631</v>
      </c>
      <c r="G218" t="s">
        <v>647</v>
      </c>
      <c r="H218" t="s">
        <v>652</v>
      </c>
      <c r="I218" t="s">
        <v>653</v>
      </c>
      <c r="K218" t="s">
        <v>693</v>
      </c>
      <c r="L218" t="s">
        <v>518</v>
      </c>
      <c r="M218" t="s">
        <v>526</v>
      </c>
      <c r="N218" t="s">
        <v>694</v>
      </c>
      <c r="O218" t="s">
        <v>526</v>
      </c>
      <c r="P218">
        <v>1</v>
      </c>
      <c r="Q218" t="s">
        <v>539</v>
      </c>
      <c r="R218">
        <v>101</v>
      </c>
    </row>
    <row r="219" spans="2:18">
      <c r="B219">
        <v>41</v>
      </c>
      <c r="C219" s="28" t="s">
        <v>519</v>
      </c>
      <c r="D219" s="28" t="s">
        <v>520</v>
      </c>
      <c r="E219" t="s">
        <v>724</v>
      </c>
      <c r="F219" t="s">
        <v>631</v>
      </c>
      <c r="G219" t="s">
        <v>647</v>
      </c>
      <c r="H219" t="s">
        <v>656</v>
      </c>
      <c r="I219" t="s">
        <v>657</v>
      </c>
      <c r="K219" t="s">
        <v>695</v>
      </c>
      <c r="L219" t="s">
        <v>518</v>
      </c>
      <c r="M219" t="s">
        <v>526</v>
      </c>
      <c r="N219" t="s">
        <v>696</v>
      </c>
      <c r="O219" t="s">
        <v>526</v>
      </c>
      <c r="P219">
        <v>1</v>
      </c>
      <c r="Q219" t="s">
        <v>539</v>
      </c>
      <c r="R219">
        <v>418</v>
      </c>
    </row>
    <row r="220" spans="2:18">
      <c r="B220">
        <v>42</v>
      </c>
      <c r="C220" s="28" t="s">
        <v>519</v>
      </c>
      <c r="D220" s="28" t="s">
        <v>520</v>
      </c>
      <c r="E220" t="s">
        <v>724</v>
      </c>
      <c r="F220" t="s">
        <v>631</v>
      </c>
      <c r="G220" t="s">
        <v>566</v>
      </c>
      <c r="H220" t="s">
        <v>660</v>
      </c>
      <c r="I220" t="s">
        <v>661</v>
      </c>
      <c r="K220" t="s">
        <v>697</v>
      </c>
      <c r="L220" t="s">
        <v>518</v>
      </c>
      <c r="M220" t="s">
        <v>526</v>
      </c>
      <c r="N220" t="s">
        <v>698</v>
      </c>
      <c r="O220" t="s">
        <v>526</v>
      </c>
      <c r="P220">
        <v>1</v>
      </c>
      <c r="Q220" t="s">
        <v>539</v>
      </c>
      <c r="R220">
        <v>37</v>
      </c>
    </row>
    <row r="221" spans="2:18">
      <c r="B221">
        <v>43</v>
      </c>
      <c r="C221" s="28" t="s">
        <v>519</v>
      </c>
      <c r="D221" s="28" t="s">
        <v>520</v>
      </c>
      <c r="E221" t="s">
        <v>724</v>
      </c>
      <c r="F221" t="s">
        <v>631</v>
      </c>
      <c r="G221" t="s">
        <v>534</v>
      </c>
      <c r="H221" t="s">
        <v>664</v>
      </c>
      <c r="I221" t="s">
        <v>665</v>
      </c>
      <c r="K221" t="s">
        <v>722</v>
      </c>
      <c r="L221" t="s">
        <v>518</v>
      </c>
      <c r="M221" t="s">
        <v>526</v>
      </c>
      <c r="N221" t="s">
        <v>723</v>
      </c>
      <c r="O221" t="s">
        <v>526</v>
      </c>
      <c r="P221">
        <v>1</v>
      </c>
      <c r="Q221" t="s">
        <v>672</v>
      </c>
      <c r="R221">
        <v>430</v>
      </c>
    </row>
    <row r="222" spans="2:18">
      <c r="B222">
        <v>44</v>
      </c>
      <c r="C222" s="28" t="s">
        <v>519</v>
      </c>
      <c r="D222" s="28" t="s">
        <v>520</v>
      </c>
      <c r="E222" t="s">
        <v>724</v>
      </c>
      <c r="F222" t="s">
        <v>631</v>
      </c>
      <c r="G222" t="s">
        <v>647</v>
      </c>
      <c r="H222" t="s">
        <v>668</v>
      </c>
      <c r="I222" t="s">
        <v>669</v>
      </c>
      <c r="K222" t="s">
        <v>675</v>
      </c>
      <c r="L222" t="s">
        <v>518</v>
      </c>
      <c r="M222" t="s">
        <v>526</v>
      </c>
      <c r="N222" t="s">
        <v>676</v>
      </c>
      <c r="O222" t="s">
        <v>526</v>
      </c>
      <c r="P222">
        <v>1</v>
      </c>
      <c r="Q222" t="s">
        <v>558</v>
      </c>
      <c r="R222">
        <v>4.7</v>
      </c>
    </row>
    <row r="223" spans="2:18">
      <c r="B223">
        <v>45</v>
      </c>
      <c r="C223" s="28" t="s">
        <v>519</v>
      </c>
      <c r="D223" s="28" t="s">
        <v>520</v>
      </c>
      <c r="E223" t="s">
        <v>724</v>
      </c>
      <c r="F223" t="s">
        <v>631</v>
      </c>
      <c r="G223" t="s">
        <v>647</v>
      </c>
      <c r="H223" t="s">
        <v>673</v>
      </c>
      <c r="I223" t="s">
        <v>674</v>
      </c>
      <c r="K223" t="s">
        <v>699</v>
      </c>
      <c r="L223" t="s">
        <v>518</v>
      </c>
      <c r="M223" t="s">
        <v>526</v>
      </c>
      <c r="N223" t="s">
        <v>700</v>
      </c>
      <c r="O223" t="s">
        <v>526</v>
      </c>
      <c r="P223">
        <v>1</v>
      </c>
      <c r="Q223" t="s">
        <v>623</v>
      </c>
      <c r="R223">
        <v>370</v>
      </c>
    </row>
    <row r="224" spans="2:18">
      <c r="B224">
        <v>46</v>
      </c>
      <c r="C224" s="28" t="s">
        <v>519</v>
      </c>
      <c r="D224" s="28" t="s">
        <v>520</v>
      </c>
      <c r="E224" t="s">
        <v>724</v>
      </c>
      <c r="F224" t="s">
        <v>631</v>
      </c>
      <c r="G224" t="s">
        <v>647</v>
      </c>
      <c r="H224" t="s">
        <v>677</v>
      </c>
      <c r="I224" t="s">
        <v>678</v>
      </c>
      <c r="K224" t="s">
        <v>701</v>
      </c>
      <c r="L224" t="s">
        <v>518</v>
      </c>
      <c r="M224" t="s">
        <v>526</v>
      </c>
      <c r="N224" t="s">
        <v>702</v>
      </c>
      <c r="O224" t="s">
        <v>526</v>
      </c>
      <c r="P224">
        <v>1</v>
      </c>
      <c r="Q224" t="s">
        <v>539</v>
      </c>
      <c r="R224">
        <v>39.5</v>
      </c>
    </row>
    <row r="225" spans="2:18">
      <c r="B225">
        <v>47</v>
      </c>
      <c r="C225" s="28" t="s">
        <v>519</v>
      </c>
      <c r="D225" s="28" t="s">
        <v>520</v>
      </c>
      <c r="E225" t="s">
        <v>725</v>
      </c>
      <c r="F225" t="s">
        <v>726</v>
      </c>
      <c r="G225" t="s">
        <v>534</v>
      </c>
      <c r="H225" t="s">
        <v>727</v>
      </c>
      <c r="I225" t="s">
        <v>728</v>
      </c>
      <c r="K225" t="s">
        <v>703</v>
      </c>
      <c r="L225" t="s">
        <v>518</v>
      </c>
      <c r="M225" t="s">
        <v>526</v>
      </c>
      <c r="N225" t="s">
        <v>702</v>
      </c>
      <c r="O225" t="s">
        <v>526</v>
      </c>
      <c r="P225">
        <v>1</v>
      </c>
      <c r="Q225" t="s">
        <v>539</v>
      </c>
      <c r="R225">
        <v>17.2</v>
      </c>
    </row>
    <row r="226" spans="2:18">
      <c r="B226">
        <v>1</v>
      </c>
      <c r="C226" s="28" t="s">
        <v>519</v>
      </c>
      <c r="D226" s="28" t="s">
        <v>520</v>
      </c>
      <c r="E226" t="s">
        <v>725</v>
      </c>
      <c r="F226" t="s">
        <v>726</v>
      </c>
      <c r="G226" t="s">
        <v>534</v>
      </c>
      <c r="H226" t="s">
        <v>729</v>
      </c>
      <c r="I226" t="s">
        <v>729</v>
      </c>
      <c r="K226" t="s">
        <v>525</v>
      </c>
      <c r="L226" t="s">
        <v>518</v>
      </c>
      <c r="M226" t="s">
        <v>526</v>
      </c>
      <c r="N226" t="s">
        <v>527</v>
      </c>
      <c r="O226" t="s">
        <v>526</v>
      </c>
      <c r="P226">
        <v>1</v>
      </c>
      <c r="Q226" t="s">
        <v>528</v>
      </c>
      <c r="R226">
        <v>920</v>
      </c>
    </row>
    <row r="227" spans="2:18">
      <c r="B227">
        <v>2</v>
      </c>
      <c r="C227" s="28" t="s">
        <v>519</v>
      </c>
      <c r="D227" s="28" t="s">
        <v>520</v>
      </c>
      <c r="E227" t="s">
        <v>725</v>
      </c>
      <c r="F227" t="s">
        <v>730</v>
      </c>
      <c r="G227" t="s">
        <v>731</v>
      </c>
      <c r="H227" t="s">
        <v>732</v>
      </c>
      <c r="I227" t="s">
        <v>733</v>
      </c>
      <c r="K227" t="s">
        <v>531</v>
      </c>
      <c r="L227" t="s">
        <v>518</v>
      </c>
      <c r="M227" t="s">
        <v>526</v>
      </c>
      <c r="N227" t="s">
        <v>532</v>
      </c>
      <c r="O227" t="s">
        <v>526</v>
      </c>
      <c r="P227">
        <v>1</v>
      </c>
      <c r="Q227" t="s">
        <v>533</v>
      </c>
      <c r="R227">
        <v>380</v>
      </c>
    </row>
    <row r="228" spans="2:18">
      <c r="B228">
        <v>3</v>
      </c>
      <c r="C228" s="28" t="s">
        <v>519</v>
      </c>
      <c r="D228" s="28" t="s">
        <v>520</v>
      </c>
      <c r="E228" t="s">
        <v>725</v>
      </c>
      <c r="F228" t="s">
        <v>734</v>
      </c>
      <c r="G228" t="s">
        <v>735</v>
      </c>
      <c r="H228" t="s">
        <v>736</v>
      </c>
      <c r="I228" t="s">
        <v>737</v>
      </c>
      <c r="K228" t="s">
        <v>537</v>
      </c>
      <c r="L228" t="s">
        <v>518</v>
      </c>
      <c r="M228" t="s">
        <v>526</v>
      </c>
      <c r="N228" t="s">
        <v>538</v>
      </c>
      <c r="O228" t="s">
        <v>526</v>
      </c>
      <c r="P228">
        <v>1</v>
      </c>
      <c r="Q228" t="s">
        <v>539</v>
      </c>
      <c r="R228">
        <v>14</v>
      </c>
    </row>
    <row r="229" spans="2:18">
      <c r="B229">
        <v>4</v>
      </c>
      <c r="C229" s="28" t="s">
        <v>519</v>
      </c>
      <c r="D229" s="28" t="s">
        <v>520</v>
      </c>
      <c r="E229" t="s">
        <v>725</v>
      </c>
      <c r="F229" t="s">
        <v>734</v>
      </c>
      <c r="G229" t="s">
        <v>738</v>
      </c>
      <c r="H229" t="s">
        <v>739</v>
      </c>
      <c r="I229" t="s">
        <v>740</v>
      </c>
      <c r="K229" t="s">
        <v>542</v>
      </c>
      <c r="L229" t="s">
        <v>518</v>
      </c>
      <c r="M229" t="s">
        <v>526</v>
      </c>
      <c r="N229" t="s">
        <v>543</v>
      </c>
      <c r="O229" t="s">
        <v>526</v>
      </c>
      <c r="P229">
        <v>1</v>
      </c>
      <c r="Q229" t="s">
        <v>539</v>
      </c>
      <c r="R229">
        <v>33</v>
      </c>
    </row>
    <row r="230" spans="2:18">
      <c r="B230">
        <v>5</v>
      </c>
      <c r="C230" s="28" t="s">
        <v>519</v>
      </c>
      <c r="D230" s="28" t="s">
        <v>520</v>
      </c>
      <c r="E230" t="s">
        <v>725</v>
      </c>
      <c r="F230" t="s">
        <v>734</v>
      </c>
      <c r="G230" t="s">
        <v>741</v>
      </c>
      <c r="H230" t="s">
        <v>742</v>
      </c>
      <c r="I230" t="s">
        <v>743</v>
      </c>
      <c r="K230" t="s">
        <v>548</v>
      </c>
      <c r="L230" t="s">
        <v>518</v>
      </c>
      <c r="M230" t="s">
        <v>526</v>
      </c>
      <c r="N230" t="s">
        <v>549</v>
      </c>
      <c r="O230" t="s">
        <v>526</v>
      </c>
      <c r="P230">
        <v>1</v>
      </c>
      <c r="Q230" t="s">
        <v>539</v>
      </c>
      <c r="R230">
        <v>0</v>
      </c>
    </row>
    <row r="231" spans="2:18">
      <c r="B231">
        <v>6</v>
      </c>
      <c r="C231" s="28" t="s">
        <v>519</v>
      </c>
      <c r="D231" s="28" t="s">
        <v>520</v>
      </c>
      <c r="E231" t="s">
        <v>725</v>
      </c>
      <c r="F231" t="s">
        <v>734</v>
      </c>
      <c r="G231" t="s">
        <v>591</v>
      </c>
      <c r="H231" t="s">
        <v>744</v>
      </c>
      <c r="I231" t="s">
        <v>745</v>
      </c>
      <c r="K231" t="s">
        <v>553</v>
      </c>
      <c r="L231" t="s">
        <v>518</v>
      </c>
      <c r="M231" t="s">
        <v>526</v>
      </c>
      <c r="N231" t="s">
        <v>554</v>
      </c>
      <c r="O231" t="s">
        <v>526</v>
      </c>
      <c r="P231">
        <v>1</v>
      </c>
      <c r="Q231" t="s">
        <v>539</v>
      </c>
      <c r="R231">
        <v>223</v>
      </c>
    </row>
    <row r="232" spans="2:18">
      <c r="B232">
        <v>27</v>
      </c>
      <c r="C232" s="28" t="s">
        <v>519</v>
      </c>
      <c r="D232" s="28" t="s">
        <v>520</v>
      </c>
      <c r="E232" t="s">
        <v>725</v>
      </c>
      <c r="F232" t="s">
        <v>726</v>
      </c>
      <c r="G232" t="s">
        <v>522</v>
      </c>
      <c r="H232" t="s">
        <v>746</v>
      </c>
      <c r="I232" t="s">
        <v>747</v>
      </c>
      <c r="K232" t="s">
        <v>557</v>
      </c>
      <c r="L232" t="s">
        <v>518</v>
      </c>
      <c r="M232" t="s">
        <v>526</v>
      </c>
      <c r="N232" t="s">
        <v>526</v>
      </c>
      <c r="O232" t="s">
        <v>526</v>
      </c>
      <c r="P232">
        <v>1</v>
      </c>
      <c r="Q232" t="s">
        <v>558</v>
      </c>
      <c r="R232">
        <v>640</v>
      </c>
    </row>
    <row r="233" spans="2:18">
      <c r="B233">
        <v>27</v>
      </c>
      <c r="C233" s="28" t="s">
        <v>519</v>
      </c>
      <c r="D233" s="28" t="s">
        <v>520</v>
      </c>
      <c r="E233" t="s">
        <v>725</v>
      </c>
      <c r="F233" t="s">
        <v>726</v>
      </c>
      <c r="G233" t="s">
        <v>748</v>
      </c>
      <c r="H233" t="s">
        <v>749</v>
      </c>
      <c r="I233" t="s">
        <v>750</v>
      </c>
      <c r="K233" t="s">
        <v>561</v>
      </c>
      <c r="L233" t="s">
        <v>518</v>
      </c>
      <c r="M233" t="s">
        <v>526</v>
      </c>
      <c r="N233" t="s">
        <v>526</v>
      </c>
      <c r="O233" t="s">
        <v>526</v>
      </c>
      <c r="P233">
        <v>1</v>
      </c>
      <c r="Q233" t="s">
        <v>558</v>
      </c>
      <c r="R233">
        <v>425</v>
      </c>
    </row>
    <row r="234" spans="2:18">
      <c r="B234">
        <v>27</v>
      </c>
      <c r="C234" s="28" t="s">
        <v>519</v>
      </c>
      <c r="D234" s="28" t="s">
        <v>520</v>
      </c>
      <c r="E234" t="s">
        <v>725</v>
      </c>
      <c r="F234" t="s">
        <v>726</v>
      </c>
      <c r="G234" t="s">
        <v>534</v>
      </c>
      <c r="H234" t="s">
        <v>751</v>
      </c>
      <c r="I234" t="s">
        <v>751</v>
      </c>
      <c r="K234" t="s">
        <v>564</v>
      </c>
      <c r="L234" t="s">
        <v>518</v>
      </c>
      <c r="M234" t="s">
        <v>526</v>
      </c>
      <c r="N234" t="s">
        <v>565</v>
      </c>
      <c r="O234" t="s">
        <v>526</v>
      </c>
      <c r="P234">
        <v>1</v>
      </c>
      <c r="Q234" t="s">
        <v>539</v>
      </c>
      <c r="R234">
        <v>959</v>
      </c>
    </row>
    <row r="235" spans="2:18">
      <c r="B235">
        <v>10</v>
      </c>
      <c r="C235" s="28" t="s">
        <v>519</v>
      </c>
      <c r="D235" s="28" t="s">
        <v>520</v>
      </c>
      <c r="E235" t="s">
        <v>725</v>
      </c>
      <c r="F235" t="s">
        <v>752</v>
      </c>
      <c r="G235" t="s">
        <v>545</v>
      </c>
      <c r="H235" t="s">
        <v>753</v>
      </c>
      <c r="I235" t="s">
        <v>754</v>
      </c>
      <c r="K235" t="s">
        <v>569</v>
      </c>
      <c r="L235" t="s">
        <v>518</v>
      </c>
      <c r="M235" t="s">
        <v>526</v>
      </c>
      <c r="N235" t="s">
        <v>526</v>
      </c>
      <c r="O235" t="s">
        <v>526</v>
      </c>
      <c r="P235">
        <v>1</v>
      </c>
      <c r="Q235" t="s">
        <v>539</v>
      </c>
      <c r="R235">
        <v>1680</v>
      </c>
    </row>
    <row r="236" spans="2:18">
      <c r="B236">
        <v>11</v>
      </c>
      <c r="C236" s="28" t="s">
        <v>519</v>
      </c>
      <c r="D236" s="28" t="s">
        <v>520</v>
      </c>
      <c r="E236" t="s">
        <v>725</v>
      </c>
      <c r="F236" t="s">
        <v>752</v>
      </c>
      <c r="G236" t="s">
        <v>574</v>
      </c>
      <c r="H236" t="s">
        <v>755</v>
      </c>
      <c r="I236" t="s">
        <v>756</v>
      </c>
      <c r="K236" t="s">
        <v>572</v>
      </c>
      <c r="L236" t="s">
        <v>518</v>
      </c>
      <c r="M236" t="s">
        <v>526</v>
      </c>
      <c r="N236" t="s">
        <v>573</v>
      </c>
      <c r="O236" t="s">
        <v>526</v>
      </c>
      <c r="P236">
        <v>1</v>
      </c>
      <c r="Q236" t="s">
        <v>539</v>
      </c>
      <c r="R236">
        <v>10</v>
      </c>
    </row>
    <row r="237" spans="2:18">
      <c r="B237">
        <v>12</v>
      </c>
      <c r="C237" s="28" t="s">
        <v>519</v>
      </c>
      <c r="D237" s="28" t="s">
        <v>520</v>
      </c>
      <c r="E237" t="s">
        <v>725</v>
      </c>
      <c r="F237" t="s">
        <v>752</v>
      </c>
      <c r="G237" t="s">
        <v>583</v>
      </c>
      <c r="H237" t="s">
        <v>617</v>
      </c>
      <c r="I237" t="s">
        <v>757</v>
      </c>
      <c r="K237" t="s">
        <v>577</v>
      </c>
      <c r="L237" t="s">
        <v>518</v>
      </c>
      <c r="M237" t="s">
        <v>526</v>
      </c>
      <c r="N237" t="s">
        <v>578</v>
      </c>
      <c r="O237" t="s">
        <v>526</v>
      </c>
      <c r="P237">
        <v>1</v>
      </c>
      <c r="Q237" t="s">
        <v>539</v>
      </c>
      <c r="R237">
        <v>74</v>
      </c>
    </row>
    <row r="238" spans="2:18">
      <c r="B238">
        <v>13</v>
      </c>
      <c r="C238" s="28" t="s">
        <v>519</v>
      </c>
      <c r="D238" s="28" t="s">
        <v>520</v>
      </c>
      <c r="E238" t="s">
        <v>725</v>
      </c>
      <c r="F238" t="s">
        <v>752</v>
      </c>
      <c r="G238" t="s">
        <v>758</v>
      </c>
      <c r="H238" t="s">
        <v>759</v>
      </c>
      <c r="I238" t="s">
        <v>760</v>
      </c>
      <c r="K238" t="s">
        <v>581</v>
      </c>
      <c r="L238" t="s">
        <v>518</v>
      </c>
      <c r="M238" t="s">
        <v>526</v>
      </c>
      <c r="N238" t="s">
        <v>582</v>
      </c>
      <c r="O238" t="s">
        <v>526</v>
      </c>
      <c r="P238">
        <v>1</v>
      </c>
      <c r="Q238" t="s">
        <v>539</v>
      </c>
      <c r="R238">
        <v>84</v>
      </c>
    </row>
    <row r="239" spans="2:18">
      <c r="B239">
        <v>14</v>
      </c>
      <c r="C239" s="28" t="s">
        <v>519</v>
      </c>
      <c r="D239" s="28" t="s">
        <v>520</v>
      </c>
      <c r="E239" t="s">
        <v>725</v>
      </c>
      <c r="F239" t="s">
        <v>752</v>
      </c>
      <c r="G239" t="s">
        <v>758</v>
      </c>
      <c r="H239" t="s">
        <v>761</v>
      </c>
      <c r="I239" t="s">
        <v>762</v>
      </c>
      <c r="K239" t="s">
        <v>586</v>
      </c>
      <c r="L239" t="s">
        <v>518</v>
      </c>
      <c r="M239" t="s">
        <v>526</v>
      </c>
      <c r="N239" t="s">
        <v>587</v>
      </c>
      <c r="O239" t="s">
        <v>526</v>
      </c>
      <c r="P239">
        <v>1</v>
      </c>
      <c r="Q239" t="s">
        <v>539</v>
      </c>
      <c r="R239">
        <v>165</v>
      </c>
    </row>
    <row r="240" spans="2:18">
      <c r="B240">
        <v>15</v>
      </c>
      <c r="C240" s="28" t="s">
        <v>519</v>
      </c>
      <c r="D240" s="28" t="s">
        <v>520</v>
      </c>
      <c r="E240" t="s">
        <v>725</v>
      </c>
      <c r="F240" t="s">
        <v>752</v>
      </c>
      <c r="G240" t="s">
        <v>534</v>
      </c>
      <c r="H240" t="s">
        <v>664</v>
      </c>
      <c r="I240" t="s">
        <v>665</v>
      </c>
      <c r="K240" t="s">
        <v>590</v>
      </c>
      <c r="L240" t="s">
        <v>518</v>
      </c>
      <c r="M240" t="s">
        <v>526</v>
      </c>
      <c r="N240" t="s">
        <v>526</v>
      </c>
      <c r="O240" t="s">
        <v>526</v>
      </c>
      <c r="P240">
        <v>1</v>
      </c>
      <c r="Q240" t="s">
        <v>539</v>
      </c>
      <c r="R240">
        <v>43</v>
      </c>
    </row>
    <row r="241" spans="2:18">
      <c r="B241">
        <v>16</v>
      </c>
      <c r="C241" s="28" t="s">
        <v>519</v>
      </c>
      <c r="D241" s="28" t="s">
        <v>520</v>
      </c>
      <c r="E241" t="s">
        <v>725</v>
      </c>
      <c r="F241" t="s">
        <v>752</v>
      </c>
      <c r="G241" t="s">
        <v>735</v>
      </c>
      <c r="H241" t="s">
        <v>763</v>
      </c>
      <c r="I241" t="s">
        <v>764</v>
      </c>
      <c r="K241" t="s">
        <v>594</v>
      </c>
      <c r="L241" t="s">
        <v>518</v>
      </c>
      <c r="M241" t="s">
        <v>526</v>
      </c>
      <c r="N241" t="s">
        <v>582</v>
      </c>
      <c r="O241" t="s">
        <v>526</v>
      </c>
      <c r="P241">
        <v>1</v>
      </c>
      <c r="Q241" t="s">
        <v>539</v>
      </c>
      <c r="R241">
        <v>425</v>
      </c>
    </row>
    <row r="242" spans="2:18">
      <c r="B242">
        <v>17</v>
      </c>
      <c r="C242" s="28" t="s">
        <v>519</v>
      </c>
      <c r="D242" s="28" t="s">
        <v>520</v>
      </c>
      <c r="E242" t="s">
        <v>725</v>
      </c>
      <c r="F242" t="s">
        <v>752</v>
      </c>
      <c r="G242" t="s">
        <v>545</v>
      </c>
      <c r="H242" t="s">
        <v>765</v>
      </c>
      <c r="I242" t="s">
        <v>766</v>
      </c>
      <c r="K242" t="s">
        <v>597</v>
      </c>
      <c r="L242" t="s">
        <v>518</v>
      </c>
      <c r="M242" t="s">
        <v>526</v>
      </c>
      <c r="N242" t="s">
        <v>598</v>
      </c>
      <c r="O242" t="s">
        <v>526</v>
      </c>
      <c r="P242">
        <v>1</v>
      </c>
      <c r="Q242" t="s">
        <v>539</v>
      </c>
      <c r="R242">
        <v>77</v>
      </c>
    </row>
    <row r="243" spans="2:18">
      <c r="B243">
        <v>18</v>
      </c>
      <c r="C243" s="28" t="s">
        <v>519</v>
      </c>
      <c r="D243" s="28" t="s">
        <v>520</v>
      </c>
      <c r="E243" t="s">
        <v>725</v>
      </c>
      <c r="F243" t="s">
        <v>752</v>
      </c>
      <c r="G243" t="s">
        <v>583</v>
      </c>
      <c r="H243" t="s">
        <v>767</v>
      </c>
      <c r="I243" t="s">
        <v>768</v>
      </c>
      <c r="K243" t="s">
        <v>601</v>
      </c>
      <c r="L243" t="s">
        <v>518</v>
      </c>
      <c r="M243" t="s">
        <v>526</v>
      </c>
      <c r="N243" t="s">
        <v>602</v>
      </c>
      <c r="O243" t="s">
        <v>526</v>
      </c>
      <c r="P243">
        <v>1</v>
      </c>
      <c r="Q243" t="s">
        <v>603</v>
      </c>
      <c r="R243">
        <v>415</v>
      </c>
    </row>
    <row r="244" spans="2:18">
      <c r="B244">
        <v>33</v>
      </c>
      <c r="C244" s="28" t="s">
        <v>519</v>
      </c>
      <c r="D244" s="28" t="s">
        <v>520</v>
      </c>
      <c r="E244" t="s">
        <v>725</v>
      </c>
      <c r="F244" t="s">
        <v>752</v>
      </c>
      <c r="G244" t="s">
        <v>534</v>
      </c>
      <c r="H244" t="s">
        <v>540</v>
      </c>
      <c r="I244" t="s">
        <v>769</v>
      </c>
      <c r="K244" t="s">
        <v>611</v>
      </c>
      <c r="L244" t="s">
        <v>518</v>
      </c>
      <c r="M244" t="s">
        <v>526</v>
      </c>
      <c r="N244" t="s">
        <v>608</v>
      </c>
      <c r="O244" t="s">
        <v>526</v>
      </c>
      <c r="P244">
        <v>1</v>
      </c>
      <c r="Q244" t="s">
        <v>612</v>
      </c>
      <c r="R244">
        <v>77</v>
      </c>
    </row>
    <row r="245" spans="2:18">
      <c r="B245">
        <v>19</v>
      </c>
      <c r="C245" s="28" t="s">
        <v>519</v>
      </c>
      <c r="D245" s="28" t="s">
        <v>520</v>
      </c>
      <c r="E245" t="s">
        <v>725</v>
      </c>
      <c r="F245" t="s">
        <v>752</v>
      </c>
      <c r="G245" t="s">
        <v>735</v>
      </c>
      <c r="H245" t="s">
        <v>736</v>
      </c>
      <c r="I245" t="s">
        <v>770</v>
      </c>
      <c r="K245" t="s">
        <v>614</v>
      </c>
      <c r="L245" t="s">
        <v>518</v>
      </c>
      <c r="M245" t="s">
        <v>526</v>
      </c>
      <c r="N245" t="s">
        <v>615</v>
      </c>
      <c r="O245" t="s">
        <v>526</v>
      </c>
      <c r="P245">
        <v>1</v>
      </c>
      <c r="Q245" t="s">
        <v>616</v>
      </c>
      <c r="R245">
        <v>53</v>
      </c>
    </row>
    <row r="246" spans="2:18">
      <c r="B246">
        <v>19</v>
      </c>
      <c r="C246" s="28" t="s">
        <v>519</v>
      </c>
      <c r="D246" s="28" t="s">
        <v>520</v>
      </c>
      <c r="E246" t="s">
        <v>725</v>
      </c>
      <c r="F246" t="s">
        <v>752</v>
      </c>
      <c r="G246" t="s">
        <v>574</v>
      </c>
      <c r="H246" t="s">
        <v>771</v>
      </c>
      <c r="I246" t="s">
        <v>772</v>
      </c>
      <c r="K246" t="s">
        <v>619</v>
      </c>
      <c r="L246" t="s">
        <v>518</v>
      </c>
      <c r="M246" t="s">
        <v>526</v>
      </c>
      <c r="N246" t="s">
        <v>620</v>
      </c>
      <c r="O246" t="s">
        <v>526</v>
      </c>
      <c r="P246">
        <v>1</v>
      </c>
      <c r="Q246" t="s">
        <v>539</v>
      </c>
      <c r="R246">
        <v>81</v>
      </c>
    </row>
    <row r="247" spans="2:18">
      <c r="B247">
        <v>20</v>
      </c>
      <c r="C247" s="28" t="s">
        <v>519</v>
      </c>
      <c r="D247" s="28" t="s">
        <v>520</v>
      </c>
      <c r="E247" t="s">
        <v>725</v>
      </c>
      <c r="F247" t="s">
        <v>752</v>
      </c>
      <c r="G247" t="s">
        <v>545</v>
      </c>
      <c r="H247" t="s">
        <v>579</v>
      </c>
      <c r="I247" t="s">
        <v>580</v>
      </c>
      <c r="K247" t="s">
        <v>773</v>
      </c>
      <c r="L247" t="s">
        <v>518</v>
      </c>
      <c r="M247" t="s">
        <v>526</v>
      </c>
      <c r="N247" t="s">
        <v>526</v>
      </c>
      <c r="O247" t="s">
        <v>526</v>
      </c>
      <c r="P247">
        <v>1</v>
      </c>
      <c r="Q247" t="s">
        <v>623</v>
      </c>
      <c r="R247">
        <v>875</v>
      </c>
    </row>
    <row r="248" spans="2:18">
      <c r="B248">
        <v>24</v>
      </c>
      <c r="C248" s="28" t="s">
        <v>519</v>
      </c>
      <c r="D248" s="28" t="s">
        <v>520</v>
      </c>
      <c r="E248" t="s">
        <v>725</v>
      </c>
      <c r="F248" t="s">
        <v>752</v>
      </c>
      <c r="G248" t="s">
        <v>545</v>
      </c>
      <c r="H248" t="s">
        <v>774</v>
      </c>
      <c r="I248" t="s">
        <v>775</v>
      </c>
      <c r="K248" t="s">
        <v>626</v>
      </c>
      <c r="L248" t="s">
        <v>518</v>
      </c>
      <c r="M248" t="s">
        <v>526</v>
      </c>
      <c r="N248" t="s">
        <v>526</v>
      </c>
      <c r="O248" t="s">
        <v>526</v>
      </c>
      <c r="P248">
        <v>1</v>
      </c>
      <c r="Q248" t="s">
        <v>539</v>
      </c>
      <c r="R248">
        <v>41</v>
      </c>
    </row>
    <row r="249" spans="2:18">
      <c r="B249">
        <v>26</v>
      </c>
      <c r="C249" s="28" t="s">
        <v>519</v>
      </c>
      <c r="D249" s="28" t="s">
        <v>520</v>
      </c>
      <c r="E249" t="s">
        <v>725</v>
      </c>
      <c r="F249" t="s">
        <v>752</v>
      </c>
      <c r="G249" t="s">
        <v>545</v>
      </c>
      <c r="H249" t="s">
        <v>776</v>
      </c>
      <c r="I249" t="s">
        <v>777</v>
      </c>
      <c r="K249" t="s">
        <v>629</v>
      </c>
      <c r="L249" t="s">
        <v>518</v>
      </c>
      <c r="M249" t="s">
        <v>526</v>
      </c>
      <c r="N249" t="s">
        <v>630</v>
      </c>
      <c r="O249" t="s">
        <v>526</v>
      </c>
      <c r="P249">
        <v>1</v>
      </c>
      <c r="Q249" t="s">
        <v>558</v>
      </c>
      <c r="R249">
        <v>331</v>
      </c>
    </row>
    <row r="250" spans="2:18">
      <c r="B250">
        <v>27</v>
      </c>
      <c r="C250" s="28" t="s">
        <v>519</v>
      </c>
      <c r="D250" s="28" t="s">
        <v>520</v>
      </c>
      <c r="E250" t="s">
        <v>725</v>
      </c>
      <c r="F250" t="s">
        <v>752</v>
      </c>
      <c r="G250" t="s">
        <v>545</v>
      </c>
      <c r="H250" t="s">
        <v>778</v>
      </c>
      <c r="I250" t="s">
        <v>779</v>
      </c>
      <c r="K250" t="s">
        <v>634</v>
      </c>
      <c r="L250" t="s">
        <v>518</v>
      </c>
      <c r="M250" t="s">
        <v>526</v>
      </c>
      <c r="N250" t="s">
        <v>635</v>
      </c>
      <c r="O250" t="s">
        <v>526</v>
      </c>
      <c r="P250">
        <v>1</v>
      </c>
      <c r="Q250" t="s">
        <v>533</v>
      </c>
      <c r="R250">
        <v>92</v>
      </c>
    </row>
    <row r="251" spans="2:18">
      <c r="B251">
        <v>33</v>
      </c>
      <c r="C251" s="28" t="s">
        <v>519</v>
      </c>
      <c r="D251" s="28" t="s">
        <v>520</v>
      </c>
      <c r="E251" t="s">
        <v>725</v>
      </c>
      <c r="F251" t="s">
        <v>752</v>
      </c>
      <c r="G251" t="s">
        <v>758</v>
      </c>
      <c r="H251" t="s">
        <v>761</v>
      </c>
      <c r="I251" t="s">
        <v>762</v>
      </c>
      <c r="K251" t="s">
        <v>638</v>
      </c>
      <c r="L251" t="s">
        <v>518</v>
      </c>
      <c r="M251" t="s">
        <v>526</v>
      </c>
      <c r="N251" t="s">
        <v>526</v>
      </c>
      <c r="O251" t="s">
        <v>526</v>
      </c>
      <c r="P251">
        <v>1</v>
      </c>
      <c r="Q251" t="s">
        <v>639</v>
      </c>
      <c r="R251">
        <v>58</v>
      </c>
    </row>
    <row r="252" spans="2:18">
      <c r="B252">
        <v>35</v>
      </c>
      <c r="C252" s="28" t="s">
        <v>519</v>
      </c>
      <c r="D252" s="28" t="s">
        <v>520</v>
      </c>
      <c r="E252" t="s">
        <v>725</v>
      </c>
      <c r="F252" t="s">
        <v>752</v>
      </c>
      <c r="G252" t="s">
        <v>545</v>
      </c>
      <c r="H252" t="s">
        <v>780</v>
      </c>
      <c r="I252" t="s">
        <v>781</v>
      </c>
      <c r="K252" t="s">
        <v>686</v>
      </c>
      <c r="L252" t="s">
        <v>518</v>
      </c>
      <c r="M252" t="s">
        <v>526</v>
      </c>
      <c r="N252" t="s">
        <v>687</v>
      </c>
      <c r="O252" t="s">
        <v>526</v>
      </c>
      <c r="P252">
        <v>1</v>
      </c>
      <c r="Q252" t="s">
        <v>603</v>
      </c>
      <c r="R252">
        <v>290</v>
      </c>
    </row>
    <row r="253" spans="2:18">
      <c r="B253">
        <v>37</v>
      </c>
      <c r="C253" s="28" t="s">
        <v>519</v>
      </c>
      <c r="D253" s="28" t="s">
        <v>520</v>
      </c>
      <c r="E253" t="s">
        <v>725</v>
      </c>
      <c r="F253" t="s">
        <v>752</v>
      </c>
      <c r="G253" t="s">
        <v>545</v>
      </c>
      <c r="H253" t="s">
        <v>546</v>
      </c>
      <c r="I253" t="s">
        <v>547</v>
      </c>
      <c r="K253" t="s">
        <v>688</v>
      </c>
      <c r="L253" t="s">
        <v>518</v>
      </c>
      <c r="M253" t="s">
        <v>526</v>
      </c>
      <c r="N253" t="s">
        <v>689</v>
      </c>
      <c r="O253" t="s">
        <v>526</v>
      </c>
      <c r="P253">
        <v>1</v>
      </c>
      <c r="Q253" t="s">
        <v>539</v>
      </c>
      <c r="R253">
        <v>100</v>
      </c>
    </row>
    <row r="254" spans="2:18">
      <c r="B254">
        <v>38</v>
      </c>
      <c r="C254" s="28" t="s">
        <v>519</v>
      </c>
      <c r="D254" s="28" t="s">
        <v>520</v>
      </c>
      <c r="E254" t="s">
        <v>782</v>
      </c>
      <c r="F254" t="s">
        <v>783</v>
      </c>
      <c r="G254" t="s">
        <v>574</v>
      </c>
      <c r="H254" t="s">
        <v>755</v>
      </c>
      <c r="I254" t="s">
        <v>756</v>
      </c>
      <c r="K254" t="s">
        <v>690</v>
      </c>
      <c r="L254" t="s">
        <v>518</v>
      </c>
      <c r="M254" t="s">
        <v>526</v>
      </c>
      <c r="N254" t="s">
        <v>691</v>
      </c>
      <c r="O254" t="s">
        <v>526</v>
      </c>
      <c r="P254">
        <v>1</v>
      </c>
      <c r="Q254" t="s">
        <v>616</v>
      </c>
      <c r="R254">
        <v>55</v>
      </c>
    </row>
    <row r="255" spans="2:18">
      <c r="B255">
        <v>39</v>
      </c>
      <c r="C255" s="28" t="s">
        <v>519</v>
      </c>
      <c r="D255" s="28" t="s">
        <v>520</v>
      </c>
      <c r="E255" t="s">
        <v>782</v>
      </c>
      <c r="F255" t="s">
        <v>783</v>
      </c>
      <c r="G255" t="s">
        <v>545</v>
      </c>
      <c r="H255" t="s">
        <v>784</v>
      </c>
      <c r="I255" t="s">
        <v>785</v>
      </c>
      <c r="K255" t="s">
        <v>692</v>
      </c>
      <c r="L255" t="s">
        <v>518</v>
      </c>
      <c r="M255" t="s">
        <v>526</v>
      </c>
      <c r="N255" t="s">
        <v>582</v>
      </c>
      <c r="O255" t="s">
        <v>526</v>
      </c>
      <c r="P255">
        <v>1</v>
      </c>
      <c r="Q255" t="s">
        <v>539</v>
      </c>
      <c r="R255">
        <v>66.26</v>
      </c>
    </row>
    <row r="256" spans="2:18">
      <c r="B256">
        <v>40</v>
      </c>
      <c r="C256" s="28" t="s">
        <v>519</v>
      </c>
      <c r="D256" s="28" t="s">
        <v>520</v>
      </c>
      <c r="E256" t="s">
        <v>782</v>
      </c>
      <c r="F256" t="s">
        <v>783</v>
      </c>
      <c r="G256" t="s">
        <v>574</v>
      </c>
      <c r="H256" t="s">
        <v>771</v>
      </c>
      <c r="I256" t="s">
        <v>772</v>
      </c>
      <c r="K256" t="s">
        <v>693</v>
      </c>
      <c r="L256" t="s">
        <v>518</v>
      </c>
      <c r="M256" t="s">
        <v>526</v>
      </c>
      <c r="N256" t="s">
        <v>694</v>
      </c>
      <c r="O256" t="s">
        <v>526</v>
      </c>
      <c r="P256">
        <v>1</v>
      </c>
      <c r="Q256" t="s">
        <v>539</v>
      </c>
      <c r="R256">
        <v>101</v>
      </c>
    </row>
    <row r="257" spans="2:18">
      <c r="B257">
        <v>41</v>
      </c>
      <c r="C257" s="28" t="s">
        <v>519</v>
      </c>
      <c r="D257" s="28" t="s">
        <v>520</v>
      </c>
      <c r="E257" t="s">
        <v>782</v>
      </c>
      <c r="F257" t="s">
        <v>783</v>
      </c>
      <c r="G257" t="s">
        <v>735</v>
      </c>
      <c r="H257" t="s">
        <v>736</v>
      </c>
      <c r="I257" t="s">
        <v>770</v>
      </c>
      <c r="K257" t="s">
        <v>695</v>
      </c>
      <c r="L257" t="s">
        <v>518</v>
      </c>
      <c r="M257" t="s">
        <v>526</v>
      </c>
      <c r="N257" t="s">
        <v>696</v>
      </c>
      <c r="O257" t="s">
        <v>526</v>
      </c>
      <c r="P257">
        <v>1</v>
      </c>
      <c r="Q257" t="s">
        <v>539</v>
      </c>
      <c r="R257">
        <v>418</v>
      </c>
    </row>
    <row r="258" spans="2:18">
      <c r="B258">
        <v>42</v>
      </c>
      <c r="C258" s="28" t="s">
        <v>519</v>
      </c>
      <c r="D258" s="28" t="s">
        <v>520</v>
      </c>
      <c r="E258" t="s">
        <v>782</v>
      </c>
      <c r="F258" t="s">
        <v>783</v>
      </c>
      <c r="G258" t="s">
        <v>545</v>
      </c>
      <c r="H258" t="s">
        <v>776</v>
      </c>
      <c r="I258" t="s">
        <v>777</v>
      </c>
      <c r="K258" t="s">
        <v>697</v>
      </c>
      <c r="L258" t="s">
        <v>518</v>
      </c>
      <c r="M258" t="s">
        <v>526</v>
      </c>
      <c r="N258" t="s">
        <v>698</v>
      </c>
      <c r="O258" t="s">
        <v>526</v>
      </c>
      <c r="P258">
        <v>1</v>
      </c>
      <c r="Q258" t="s">
        <v>539</v>
      </c>
      <c r="R258">
        <v>37</v>
      </c>
    </row>
    <row r="259" spans="2:18">
      <c r="B259">
        <v>43</v>
      </c>
      <c r="C259" s="28" t="s">
        <v>519</v>
      </c>
      <c r="D259" s="28" t="s">
        <v>520</v>
      </c>
      <c r="E259" t="s">
        <v>782</v>
      </c>
      <c r="F259" t="s">
        <v>783</v>
      </c>
      <c r="G259" t="s">
        <v>545</v>
      </c>
      <c r="H259" t="s">
        <v>778</v>
      </c>
      <c r="I259" t="s">
        <v>779</v>
      </c>
      <c r="K259" t="s">
        <v>670</v>
      </c>
      <c r="L259" t="s">
        <v>518</v>
      </c>
      <c r="M259" t="s">
        <v>526</v>
      </c>
      <c r="N259" t="s">
        <v>671</v>
      </c>
      <c r="O259" t="s">
        <v>526</v>
      </c>
      <c r="P259">
        <v>1</v>
      </c>
      <c r="Q259" t="s">
        <v>672</v>
      </c>
      <c r="R259">
        <v>370</v>
      </c>
    </row>
    <row r="260" spans="2:18">
      <c r="B260">
        <v>44</v>
      </c>
      <c r="C260" s="28" t="s">
        <v>519</v>
      </c>
      <c r="D260" s="28" t="s">
        <v>520</v>
      </c>
      <c r="E260" t="s">
        <v>782</v>
      </c>
      <c r="F260" t="s">
        <v>783</v>
      </c>
      <c r="G260" t="s">
        <v>545</v>
      </c>
      <c r="H260" t="s">
        <v>786</v>
      </c>
      <c r="I260" t="s">
        <v>787</v>
      </c>
      <c r="K260" t="s">
        <v>675</v>
      </c>
      <c r="L260" t="s">
        <v>518</v>
      </c>
      <c r="M260" t="s">
        <v>526</v>
      </c>
      <c r="N260" t="s">
        <v>676</v>
      </c>
      <c r="O260" t="s">
        <v>526</v>
      </c>
      <c r="P260">
        <v>1</v>
      </c>
      <c r="Q260" t="s">
        <v>558</v>
      </c>
      <c r="R260">
        <v>4.7</v>
      </c>
    </row>
    <row r="261" spans="2:18">
      <c r="B261">
        <v>45</v>
      </c>
      <c r="C261" s="28" t="s">
        <v>519</v>
      </c>
      <c r="D261" s="28" t="s">
        <v>520</v>
      </c>
      <c r="E261" t="s">
        <v>782</v>
      </c>
      <c r="F261" t="s">
        <v>783</v>
      </c>
      <c r="G261" t="s">
        <v>545</v>
      </c>
      <c r="H261" t="s">
        <v>579</v>
      </c>
      <c r="I261" t="s">
        <v>580</v>
      </c>
      <c r="K261" t="s">
        <v>699</v>
      </c>
      <c r="L261" t="s">
        <v>518</v>
      </c>
      <c r="M261" t="s">
        <v>526</v>
      </c>
      <c r="N261" t="s">
        <v>700</v>
      </c>
      <c r="O261" t="s">
        <v>526</v>
      </c>
      <c r="P261">
        <v>1</v>
      </c>
      <c r="Q261" t="s">
        <v>623</v>
      </c>
      <c r="R261">
        <v>370</v>
      </c>
    </row>
    <row r="262" spans="2:18">
      <c r="B262">
        <v>46</v>
      </c>
      <c r="C262" s="28" t="s">
        <v>519</v>
      </c>
      <c r="D262" s="28" t="s">
        <v>520</v>
      </c>
      <c r="E262" t="s">
        <v>782</v>
      </c>
      <c r="F262" t="s">
        <v>783</v>
      </c>
      <c r="G262" t="s">
        <v>583</v>
      </c>
      <c r="H262" t="s">
        <v>767</v>
      </c>
      <c r="I262" t="s">
        <v>788</v>
      </c>
      <c r="K262" t="s">
        <v>701</v>
      </c>
      <c r="L262" t="s">
        <v>518</v>
      </c>
      <c r="M262" t="s">
        <v>526</v>
      </c>
      <c r="N262" t="s">
        <v>702</v>
      </c>
      <c r="O262" t="s">
        <v>526</v>
      </c>
      <c r="P262">
        <v>1</v>
      </c>
      <c r="Q262" t="s">
        <v>539</v>
      </c>
      <c r="R262">
        <v>39.5</v>
      </c>
    </row>
    <row r="263" spans="2:18">
      <c r="B263">
        <v>47</v>
      </c>
      <c r="C263" s="28" t="s">
        <v>519</v>
      </c>
      <c r="D263" s="28" t="s">
        <v>520</v>
      </c>
      <c r="E263" t="s">
        <v>782</v>
      </c>
      <c r="F263" t="s">
        <v>783</v>
      </c>
      <c r="G263" t="s">
        <v>534</v>
      </c>
      <c r="H263" t="s">
        <v>664</v>
      </c>
      <c r="I263" t="s">
        <v>665</v>
      </c>
      <c r="K263" t="s">
        <v>703</v>
      </c>
      <c r="L263" t="s">
        <v>518</v>
      </c>
      <c r="M263" t="s">
        <v>526</v>
      </c>
      <c r="N263" t="s">
        <v>702</v>
      </c>
      <c r="O263" t="s">
        <v>526</v>
      </c>
      <c r="P263">
        <v>1</v>
      </c>
      <c r="Q263" t="s">
        <v>539</v>
      </c>
      <c r="R263">
        <v>17.2</v>
      </c>
    </row>
    <row r="264" spans="2:18">
      <c r="B264">
        <v>1</v>
      </c>
      <c r="C264" s="28" t="s">
        <v>519</v>
      </c>
      <c r="D264" s="28" t="s">
        <v>520</v>
      </c>
      <c r="E264" t="s">
        <v>782</v>
      </c>
      <c r="F264" t="s">
        <v>783</v>
      </c>
      <c r="G264" t="s">
        <v>741</v>
      </c>
      <c r="H264" t="s">
        <v>789</v>
      </c>
      <c r="I264" t="s">
        <v>790</v>
      </c>
      <c r="K264" t="s">
        <v>525</v>
      </c>
      <c r="L264" t="s">
        <v>518</v>
      </c>
      <c r="M264" t="s">
        <v>526</v>
      </c>
      <c r="N264" t="s">
        <v>527</v>
      </c>
      <c r="O264" t="s">
        <v>526</v>
      </c>
      <c r="P264">
        <v>1</v>
      </c>
      <c r="Q264" t="s">
        <v>528</v>
      </c>
      <c r="R264">
        <v>920</v>
      </c>
    </row>
    <row r="265" spans="2:18">
      <c r="B265">
        <v>2</v>
      </c>
      <c r="C265" s="28" t="s">
        <v>519</v>
      </c>
      <c r="D265" s="28" t="s">
        <v>520</v>
      </c>
      <c r="E265" t="s">
        <v>782</v>
      </c>
      <c r="F265" t="s">
        <v>752</v>
      </c>
      <c r="G265" t="s">
        <v>534</v>
      </c>
      <c r="H265" t="s">
        <v>791</v>
      </c>
      <c r="I265" t="s">
        <v>792</v>
      </c>
      <c r="K265" t="s">
        <v>531</v>
      </c>
      <c r="L265" t="s">
        <v>518</v>
      </c>
      <c r="M265" t="s">
        <v>526</v>
      </c>
      <c r="N265" t="s">
        <v>532</v>
      </c>
      <c r="O265" t="s">
        <v>526</v>
      </c>
      <c r="P265">
        <v>1</v>
      </c>
      <c r="Q265" t="s">
        <v>533</v>
      </c>
      <c r="R265">
        <v>380</v>
      </c>
    </row>
    <row r="266" spans="2:18">
      <c r="B266">
        <v>3</v>
      </c>
      <c r="C266" s="28" t="s">
        <v>519</v>
      </c>
      <c r="D266" s="28" t="s">
        <v>520</v>
      </c>
      <c r="E266" t="s">
        <v>782</v>
      </c>
      <c r="F266" t="s">
        <v>752</v>
      </c>
      <c r="G266" t="s">
        <v>522</v>
      </c>
      <c r="H266" t="s">
        <v>793</v>
      </c>
      <c r="I266" t="s">
        <v>794</v>
      </c>
      <c r="K266" t="s">
        <v>537</v>
      </c>
      <c r="L266" t="s">
        <v>518</v>
      </c>
      <c r="M266" t="s">
        <v>526</v>
      </c>
      <c r="N266" t="s">
        <v>538</v>
      </c>
      <c r="O266" t="s">
        <v>526</v>
      </c>
      <c r="P266">
        <v>1</v>
      </c>
      <c r="Q266" t="s">
        <v>539</v>
      </c>
      <c r="R266">
        <v>14</v>
      </c>
    </row>
    <row r="267" spans="2:18">
      <c r="B267">
        <v>4</v>
      </c>
      <c r="C267" s="28" t="s">
        <v>519</v>
      </c>
      <c r="D267" s="28" t="s">
        <v>520</v>
      </c>
      <c r="E267" t="s">
        <v>782</v>
      </c>
      <c r="F267" t="s">
        <v>752</v>
      </c>
      <c r="G267" t="s">
        <v>574</v>
      </c>
      <c r="H267" t="s">
        <v>755</v>
      </c>
      <c r="I267" t="s">
        <v>756</v>
      </c>
      <c r="K267" t="s">
        <v>542</v>
      </c>
      <c r="L267" t="s">
        <v>518</v>
      </c>
      <c r="M267" t="s">
        <v>526</v>
      </c>
      <c r="N267" t="s">
        <v>543</v>
      </c>
      <c r="O267" t="s">
        <v>526</v>
      </c>
      <c r="P267">
        <v>1</v>
      </c>
      <c r="Q267" t="s">
        <v>539</v>
      </c>
      <c r="R267">
        <v>33</v>
      </c>
    </row>
    <row r="268" spans="2:18">
      <c r="B268">
        <v>5</v>
      </c>
      <c r="C268" s="28" t="s">
        <v>519</v>
      </c>
      <c r="D268" s="28" t="s">
        <v>520</v>
      </c>
      <c r="E268" t="s">
        <v>782</v>
      </c>
      <c r="F268" t="s">
        <v>752</v>
      </c>
      <c r="G268" t="s">
        <v>574</v>
      </c>
      <c r="H268" t="s">
        <v>771</v>
      </c>
      <c r="I268" t="s">
        <v>772</v>
      </c>
      <c r="K268" t="s">
        <v>548</v>
      </c>
      <c r="L268" t="s">
        <v>518</v>
      </c>
      <c r="M268" t="s">
        <v>526</v>
      </c>
      <c r="N268" t="s">
        <v>549</v>
      </c>
      <c r="O268" t="s">
        <v>526</v>
      </c>
      <c r="P268">
        <v>1</v>
      </c>
      <c r="Q268" t="s">
        <v>539</v>
      </c>
      <c r="R268">
        <v>0</v>
      </c>
    </row>
    <row r="269" spans="2:18">
      <c r="B269">
        <v>6</v>
      </c>
      <c r="C269" s="28" t="s">
        <v>519</v>
      </c>
      <c r="D269" s="28" t="s">
        <v>520</v>
      </c>
      <c r="E269" t="s">
        <v>782</v>
      </c>
      <c r="F269" t="s">
        <v>752</v>
      </c>
      <c r="G269" t="s">
        <v>545</v>
      </c>
      <c r="H269" t="s">
        <v>546</v>
      </c>
      <c r="I269" t="s">
        <v>795</v>
      </c>
      <c r="K269" t="s">
        <v>553</v>
      </c>
      <c r="L269" t="s">
        <v>518</v>
      </c>
      <c r="M269" t="s">
        <v>526</v>
      </c>
      <c r="N269" t="s">
        <v>554</v>
      </c>
      <c r="O269" t="s">
        <v>526</v>
      </c>
      <c r="P269">
        <v>1</v>
      </c>
      <c r="Q269" t="s">
        <v>539</v>
      </c>
      <c r="R269">
        <v>223</v>
      </c>
    </row>
    <row r="270" spans="2:18">
      <c r="B270">
        <v>7</v>
      </c>
      <c r="C270" s="28" t="s">
        <v>519</v>
      </c>
      <c r="D270" s="28" t="s">
        <v>520</v>
      </c>
      <c r="E270" t="s">
        <v>782</v>
      </c>
      <c r="F270" t="s">
        <v>752</v>
      </c>
      <c r="G270" t="s">
        <v>545</v>
      </c>
      <c r="H270" t="s">
        <v>765</v>
      </c>
      <c r="I270" t="s">
        <v>766</v>
      </c>
      <c r="K270" t="s">
        <v>796</v>
      </c>
      <c r="L270" t="s">
        <v>518</v>
      </c>
      <c r="M270" t="s">
        <v>526</v>
      </c>
      <c r="N270" t="s">
        <v>526</v>
      </c>
      <c r="O270" t="s">
        <v>526</v>
      </c>
      <c r="P270">
        <v>1</v>
      </c>
      <c r="Q270" t="s">
        <v>558</v>
      </c>
      <c r="R270">
        <v>609</v>
      </c>
    </row>
    <row r="271" spans="2:18">
      <c r="B271">
        <v>8</v>
      </c>
      <c r="C271" s="28" t="s">
        <v>519</v>
      </c>
      <c r="D271" s="28" t="s">
        <v>520</v>
      </c>
      <c r="E271" t="s">
        <v>782</v>
      </c>
      <c r="F271" t="s">
        <v>752</v>
      </c>
      <c r="G271" t="s">
        <v>534</v>
      </c>
      <c r="H271" t="s">
        <v>664</v>
      </c>
      <c r="I271" t="s">
        <v>665</v>
      </c>
      <c r="K271" t="s">
        <v>797</v>
      </c>
      <c r="L271" t="s">
        <v>518</v>
      </c>
      <c r="M271" t="s">
        <v>526</v>
      </c>
      <c r="N271" t="s">
        <v>526</v>
      </c>
      <c r="O271" t="s">
        <v>526</v>
      </c>
      <c r="P271">
        <v>1</v>
      </c>
      <c r="Q271" t="s">
        <v>558</v>
      </c>
      <c r="R271">
        <v>388</v>
      </c>
    </row>
    <row r="272" spans="2:18">
      <c r="B272">
        <v>9</v>
      </c>
      <c r="C272" s="28" t="s">
        <v>519</v>
      </c>
      <c r="D272" s="28" t="s">
        <v>520</v>
      </c>
      <c r="E272" t="s">
        <v>798</v>
      </c>
      <c r="F272" t="s">
        <v>783</v>
      </c>
      <c r="G272" t="s">
        <v>574</v>
      </c>
      <c r="H272" t="s">
        <v>755</v>
      </c>
      <c r="I272" t="s">
        <v>756</v>
      </c>
      <c r="K272" t="s">
        <v>564</v>
      </c>
      <c r="L272" t="s">
        <v>518</v>
      </c>
      <c r="M272" t="s">
        <v>526</v>
      </c>
      <c r="N272" t="s">
        <v>565</v>
      </c>
      <c r="O272" t="s">
        <v>526</v>
      </c>
      <c r="P272">
        <v>1</v>
      </c>
      <c r="Q272" t="s">
        <v>539</v>
      </c>
      <c r="R272">
        <v>959</v>
      </c>
    </row>
    <row r="273" spans="2:18">
      <c r="B273">
        <v>10</v>
      </c>
      <c r="C273" s="28" t="s">
        <v>519</v>
      </c>
      <c r="D273" s="28" t="s">
        <v>520</v>
      </c>
      <c r="E273" t="s">
        <v>798</v>
      </c>
      <c r="F273" t="s">
        <v>783</v>
      </c>
      <c r="G273" t="s">
        <v>545</v>
      </c>
      <c r="H273" t="s">
        <v>784</v>
      </c>
      <c r="I273" t="s">
        <v>785</v>
      </c>
      <c r="K273" t="s">
        <v>569</v>
      </c>
      <c r="L273" t="s">
        <v>518</v>
      </c>
      <c r="M273" t="s">
        <v>526</v>
      </c>
      <c r="N273" t="s">
        <v>526</v>
      </c>
      <c r="O273" t="s">
        <v>526</v>
      </c>
      <c r="P273">
        <v>1</v>
      </c>
      <c r="Q273" t="s">
        <v>539</v>
      </c>
      <c r="R273">
        <v>1680</v>
      </c>
    </row>
    <row r="274" spans="2:18">
      <c r="B274">
        <v>11</v>
      </c>
      <c r="C274" s="28" t="s">
        <v>519</v>
      </c>
      <c r="D274" s="28" t="s">
        <v>520</v>
      </c>
      <c r="E274" t="s">
        <v>798</v>
      </c>
      <c r="F274" t="s">
        <v>783</v>
      </c>
      <c r="G274" t="s">
        <v>574</v>
      </c>
      <c r="H274" t="s">
        <v>771</v>
      </c>
      <c r="I274" t="s">
        <v>772</v>
      </c>
      <c r="K274" t="s">
        <v>572</v>
      </c>
      <c r="L274" t="s">
        <v>518</v>
      </c>
      <c r="M274" t="s">
        <v>526</v>
      </c>
      <c r="N274" t="s">
        <v>573</v>
      </c>
      <c r="O274" t="s">
        <v>526</v>
      </c>
      <c r="P274">
        <v>1</v>
      </c>
      <c r="Q274" t="s">
        <v>539</v>
      </c>
      <c r="R274">
        <v>10</v>
      </c>
    </row>
    <row r="275" spans="2:18">
      <c r="B275">
        <v>12</v>
      </c>
      <c r="C275" s="28" t="s">
        <v>519</v>
      </c>
      <c r="D275" s="28" t="s">
        <v>520</v>
      </c>
      <c r="E275" t="s">
        <v>798</v>
      </c>
      <c r="F275" t="s">
        <v>783</v>
      </c>
      <c r="G275" t="s">
        <v>735</v>
      </c>
      <c r="H275" t="s">
        <v>736</v>
      </c>
      <c r="I275" t="s">
        <v>770</v>
      </c>
      <c r="K275" t="s">
        <v>577</v>
      </c>
      <c r="L275" t="s">
        <v>518</v>
      </c>
      <c r="M275" t="s">
        <v>526</v>
      </c>
      <c r="N275" t="s">
        <v>578</v>
      </c>
      <c r="O275" t="s">
        <v>526</v>
      </c>
      <c r="P275">
        <v>1</v>
      </c>
      <c r="Q275" t="s">
        <v>539</v>
      </c>
      <c r="R275">
        <v>74</v>
      </c>
    </row>
    <row r="276" spans="2:18">
      <c r="B276">
        <v>13</v>
      </c>
      <c r="C276" s="28" t="s">
        <v>519</v>
      </c>
      <c r="D276" s="28" t="s">
        <v>520</v>
      </c>
      <c r="E276" t="s">
        <v>798</v>
      </c>
      <c r="F276" t="s">
        <v>783</v>
      </c>
      <c r="G276" t="s">
        <v>545</v>
      </c>
      <c r="H276" t="s">
        <v>776</v>
      </c>
      <c r="I276" t="s">
        <v>777</v>
      </c>
      <c r="K276" t="s">
        <v>581</v>
      </c>
      <c r="L276" t="s">
        <v>518</v>
      </c>
      <c r="M276" t="s">
        <v>526</v>
      </c>
      <c r="N276" t="s">
        <v>582</v>
      </c>
      <c r="O276" t="s">
        <v>526</v>
      </c>
      <c r="P276">
        <v>1</v>
      </c>
      <c r="Q276" t="s">
        <v>539</v>
      </c>
      <c r="R276">
        <v>84</v>
      </c>
    </row>
    <row r="277" spans="2:18">
      <c r="B277">
        <v>14</v>
      </c>
      <c r="C277" s="28" t="s">
        <v>519</v>
      </c>
      <c r="D277" s="28" t="s">
        <v>520</v>
      </c>
      <c r="E277" t="s">
        <v>798</v>
      </c>
      <c r="F277" t="s">
        <v>783</v>
      </c>
      <c r="G277" t="s">
        <v>545</v>
      </c>
      <c r="H277" t="s">
        <v>778</v>
      </c>
      <c r="I277" t="s">
        <v>779</v>
      </c>
      <c r="K277" t="s">
        <v>586</v>
      </c>
      <c r="L277" t="s">
        <v>518</v>
      </c>
      <c r="M277" t="s">
        <v>526</v>
      </c>
      <c r="N277" t="s">
        <v>587</v>
      </c>
      <c r="O277" t="s">
        <v>526</v>
      </c>
      <c r="P277">
        <v>1</v>
      </c>
      <c r="Q277" t="s">
        <v>539</v>
      </c>
      <c r="R277">
        <v>165</v>
      </c>
    </row>
    <row r="278" spans="2:18">
      <c r="B278">
        <v>15</v>
      </c>
      <c r="C278" s="28" t="s">
        <v>519</v>
      </c>
      <c r="D278" s="28" t="s">
        <v>520</v>
      </c>
      <c r="E278" t="s">
        <v>798</v>
      </c>
      <c r="F278" t="s">
        <v>783</v>
      </c>
      <c r="G278" t="s">
        <v>545</v>
      </c>
      <c r="H278" t="s">
        <v>786</v>
      </c>
      <c r="I278" t="s">
        <v>787</v>
      </c>
      <c r="K278" t="s">
        <v>590</v>
      </c>
      <c r="L278" t="s">
        <v>518</v>
      </c>
      <c r="M278" t="s">
        <v>526</v>
      </c>
      <c r="N278" t="s">
        <v>526</v>
      </c>
      <c r="O278" t="s">
        <v>526</v>
      </c>
      <c r="P278">
        <v>1</v>
      </c>
      <c r="Q278" t="s">
        <v>539</v>
      </c>
      <c r="R278">
        <v>43</v>
      </c>
    </row>
    <row r="279" spans="2:18">
      <c r="B279">
        <v>16</v>
      </c>
      <c r="C279" s="28" t="s">
        <v>519</v>
      </c>
      <c r="D279" s="28" t="s">
        <v>520</v>
      </c>
      <c r="E279" t="s">
        <v>798</v>
      </c>
      <c r="F279" t="s">
        <v>783</v>
      </c>
      <c r="G279" t="s">
        <v>545</v>
      </c>
      <c r="H279" t="s">
        <v>579</v>
      </c>
      <c r="I279" t="s">
        <v>580</v>
      </c>
      <c r="K279" t="s">
        <v>594</v>
      </c>
      <c r="L279" t="s">
        <v>518</v>
      </c>
      <c r="M279" t="s">
        <v>526</v>
      </c>
      <c r="N279" t="s">
        <v>582</v>
      </c>
      <c r="O279" t="s">
        <v>526</v>
      </c>
      <c r="P279">
        <v>1</v>
      </c>
      <c r="Q279" t="s">
        <v>539</v>
      </c>
      <c r="R279">
        <v>425</v>
      </c>
    </row>
    <row r="280" spans="2:18">
      <c r="B280">
        <v>17</v>
      </c>
      <c r="C280" s="28" t="s">
        <v>519</v>
      </c>
      <c r="D280" s="28" t="s">
        <v>520</v>
      </c>
      <c r="E280" t="s">
        <v>798</v>
      </c>
      <c r="F280" t="s">
        <v>783</v>
      </c>
      <c r="G280" t="s">
        <v>583</v>
      </c>
      <c r="H280" t="s">
        <v>767</v>
      </c>
      <c r="I280" t="s">
        <v>788</v>
      </c>
      <c r="K280" t="s">
        <v>597</v>
      </c>
      <c r="L280" t="s">
        <v>518</v>
      </c>
      <c r="M280" t="s">
        <v>526</v>
      </c>
      <c r="N280" t="s">
        <v>598</v>
      </c>
      <c r="O280" t="s">
        <v>526</v>
      </c>
      <c r="P280">
        <v>1</v>
      </c>
      <c r="Q280" t="s">
        <v>539</v>
      </c>
      <c r="R280">
        <v>77</v>
      </c>
    </row>
    <row r="281" spans="2:18">
      <c r="B281">
        <v>18</v>
      </c>
      <c r="C281" s="28" t="s">
        <v>519</v>
      </c>
      <c r="D281" s="28" t="s">
        <v>520</v>
      </c>
      <c r="E281" t="s">
        <v>798</v>
      </c>
      <c r="F281" t="s">
        <v>783</v>
      </c>
      <c r="G281" t="s">
        <v>534</v>
      </c>
      <c r="H281" t="s">
        <v>664</v>
      </c>
      <c r="I281" t="s">
        <v>665</v>
      </c>
      <c r="K281" t="s">
        <v>601</v>
      </c>
      <c r="L281" t="s">
        <v>518</v>
      </c>
      <c r="M281" t="s">
        <v>526</v>
      </c>
      <c r="N281" t="s">
        <v>602</v>
      </c>
      <c r="O281" t="s">
        <v>526</v>
      </c>
      <c r="P281">
        <v>1</v>
      </c>
      <c r="Q281" t="s">
        <v>603</v>
      </c>
      <c r="R281">
        <v>415</v>
      </c>
    </row>
    <row r="282" spans="2:18">
      <c r="B282">
        <v>19</v>
      </c>
      <c r="C282" s="28" t="s">
        <v>519</v>
      </c>
      <c r="D282" s="28" t="s">
        <v>520</v>
      </c>
      <c r="E282" t="s">
        <v>798</v>
      </c>
      <c r="F282" t="s">
        <v>783</v>
      </c>
      <c r="G282" t="s">
        <v>741</v>
      </c>
      <c r="H282" t="s">
        <v>789</v>
      </c>
      <c r="I282" t="s">
        <v>790</v>
      </c>
      <c r="K282" t="s">
        <v>611</v>
      </c>
      <c r="L282" t="s">
        <v>518</v>
      </c>
      <c r="M282" t="s">
        <v>526</v>
      </c>
      <c r="N282" t="s">
        <v>608</v>
      </c>
      <c r="O282" t="s">
        <v>526</v>
      </c>
      <c r="P282">
        <v>1</v>
      </c>
      <c r="Q282" t="s">
        <v>612</v>
      </c>
      <c r="R282">
        <v>77</v>
      </c>
    </row>
    <row r="283" spans="2:18">
      <c r="B283">
        <v>20</v>
      </c>
      <c r="C283" s="28" t="s">
        <v>519</v>
      </c>
      <c r="D283" s="28" t="s">
        <v>520</v>
      </c>
      <c r="E283" t="s">
        <v>798</v>
      </c>
      <c r="F283" t="s">
        <v>752</v>
      </c>
      <c r="G283" t="s">
        <v>534</v>
      </c>
      <c r="H283" t="s">
        <v>791</v>
      </c>
      <c r="I283" t="s">
        <v>792</v>
      </c>
      <c r="K283" t="s">
        <v>799</v>
      </c>
      <c r="L283" t="s">
        <v>518</v>
      </c>
      <c r="M283" t="s">
        <v>526</v>
      </c>
      <c r="N283" t="s">
        <v>526</v>
      </c>
      <c r="O283" t="s">
        <v>526</v>
      </c>
      <c r="P283">
        <v>1</v>
      </c>
      <c r="Q283" t="s">
        <v>623</v>
      </c>
      <c r="R283">
        <v>988</v>
      </c>
    </row>
    <row r="284" spans="2:18">
      <c r="B284">
        <v>24</v>
      </c>
      <c r="C284" s="28" t="s">
        <v>519</v>
      </c>
      <c r="D284" s="28" t="s">
        <v>520</v>
      </c>
      <c r="E284" t="s">
        <v>798</v>
      </c>
      <c r="F284" t="s">
        <v>752</v>
      </c>
      <c r="G284" t="s">
        <v>522</v>
      </c>
      <c r="H284" t="s">
        <v>793</v>
      </c>
      <c r="I284" t="s">
        <v>794</v>
      </c>
      <c r="K284" t="s">
        <v>626</v>
      </c>
      <c r="L284" t="s">
        <v>518</v>
      </c>
      <c r="M284" t="s">
        <v>526</v>
      </c>
      <c r="N284" t="s">
        <v>526</v>
      </c>
      <c r="O284" t="s">
        <v>526</v>
      </c>
      <c r="P284">
        <v>1</v>
      </c>
      <c r="Q284" t="s">
        <v>539</v>
      </c>
      <c r="R284">
        <v>41</v>
      </c>
    </row>
    <row r="285" spans="2:18">
      <c r="B285">
        <v>26</v>
      </c>
      <c r="C285" s="28" t="s">
        <v>519</v>
      </c>
      <c r="D285" s="28" t="s">
        <v>520</v>
      </c>
      <c r="E285" t="s">
        <v>798</v>
      </c>
      <c r="F285" t="s">
        <v>752</v>
      </c>
      <c r="G285" t="s">
        <v>574</v>
      </c>
      <c r="H285" t="s">
        <v>755</v>
      </c>
      <c r="I285" t="s">
        <v>756</v>
      </c>
      <c r="K285" t="s">
        <v>629</v>
      </c>
      <c r="L285" t="s">
        <v>518</v>
      </c>
      <c r="M285" t="s">
        <v>526</v>
      </c>
      <c r="N285" t="s">
        <v>630</v>
      </c>
      <c r="O285" t="s">
        <v>526</v>
      </c>
      <c r="P285">
        <v>1</v>
      </c>
      <c r="Q285" t="s">
        <v>558</v>
      </c>
      <c r="R285">
        <v>331</v>
      </c>
    </row>
    <row r="286" spans="2:18">
      <c r="B286">
        <v>27</v>
      </c>
      <c r="C286" s="28" t="s">
        <v>519</v>
      </c>
      <c r="D286" s="28" t="s">
        <v>520</v>
      </c>
      <c r="E286" t="s">
        <v>798</v>
      </c>
      <c r="F286" t="s">
        <v>752</v>
      </c>
      <c r="G286" t="s">
        <v>574</v>
      </c>
      <c r="H286" t="s">
        <v>771</v>
      </c>
      <c r="I286" t="s">
        <v>772</v>
      </c>
      <c r="K286" t="s">
        <v>634</v>
      </c>
      <c r="L286" t="s">
        <v>518</v>
      </c>
      <c r="M286" t="s">
        <v>526</v>
      </c>
      <c r="N286" t="s">
        <v>635</v>
      </c>
      <c r="O286" t="s">
        <v>526</v>
      </c>
      <c r="P286">
        <v>1</v>
      </c>
      <c r="Q286" t="s">
        <v>533</v>
      </c>
      <c r="R286">
        <v>92</v>
      </c>
    </row>
    <row r="287" spans="2:18">
      <c r="B287">
        <v>33</v>
      </c>
      <c r="C287" s="28" t="s">
        <v>519</v>
      </c>
      <c r="D287" s="28" t="s">
        <v>520</v>
      </c>
      <c r="E287" t="s">
        <v>798</v>
      </c>
      <c r="F287" t="s">
        <v>752</v>
      </c>
      <c r="G287" t="s">
        <v>545</v>
      </c>
      <c r="H287" t="s">
        <v>546</v>
      </c>
      <c r="I287" t="s">
        <v>795</v>
      </c>
      <c r="K287" t="s">
        <v>638</v>
      </c>
      <c r="L287" t="s">
        <v>518</v>
      </c>
      <c r="M287" t="s">
        <v>526</v>
      </c>
      <c r="N287" t="s">
        <v>526</v>
      </c>
      <c r="O287" t="s">
        <v>526</v>
      </c>
      <c r="P287">
        <v>1</v>
      </c>
      <c r="Q287" t="s">
        <v>639</v>
      </c>
      <c r="R287">
        <v>58</v>
      </c>
    </row>
    <row r="288" spans="2:18">
      <c r="B288">
        <v>20</v>
      </c>
      <c r="C288" s="28" t="s">
        <v>519</v>
      </c>
      <c r="D288" s="28" t="s">
        <v>520</v>
      </c>
      <c r="E288" t="s">
        <v>798</v>
      </c>
      <c r="F288" t="s">
        <v>752</v>
      </c>
      <c r="G288" t="s">
        <v>545</v>
      </c>
      <c r="H288" t="s">
        <v>765</v>
      </c>
      <c r="I288" t="s">
        <v>766</v>
      </c>
      <c r="K288" t="s">
        <v>800</v>
      </c>
      <c r="L288" t="s">
        <v>518</v>
      </c>
      <c r="M288" t="s">
        <v>526</v>
      </c>
      <c r="N288" t="s">
        <v>526</v>
      </c>
      <c r="O288" t="s">
        <v>526</v>
      </c>
      <c r="P288">
        <v>1</v>
      </c>
      <c r="Q288" t="s">
        <v>672</v>
      </c>
      <c r="R288">
        <v>595</v>
      </c>
    </row>
    <row r="289" spans="2:18">
      <c r="B289">
        <v>20</v>
      </c>
      <c r="C289" s="28" t="s">
        <v>519</v>
      </c>
      <c r="D289" s="28" t="s">
        <v>520</v>
      </c>
      <c r="E289" t="s">
        <v>798</v>
      </c>
      <c r="F289" t="s">
        <v>752</v>
      </c>
      <c r="G289" t="s">
        <v>534</v>
      </c>
      <c r="H289" t="s">
        <v>664</v>
      </c>
      <c r="I289" t="s">
        <v>665</v>
      </c>
      <c r="K289" t="s">
        <v>801</v>
      </c>
      <c r="L289" t="s">
        <v>518</v>
      </c>
      <c r="M289" t="s">
        <v>526</v>
      </c>
      <c r="N289" t="s">
        <v>802</v>
      </c>
      <c r="O289" t="s">
        <v>526</v>
      </c>
      <c r="P289">
        <v>1</v>
      </c>
      <c r="Q289" t="s">
        <v>603</v>
      </c>
      <c r="R289">
        <v>439</v>
      </c>
    </row>
    <row r="290" spans="2:18">
      <c r="B290">
        <v>20</v>
      </c>
      <c r="C290" s="28" t="s">
        <v>519</v>
      </c>
      <c r="D290" s="28" t="s">
        <v>520</v>
      </c>
      <c r="E290" t="s">
        <v>803</v>
      </c>
      <c r="F290" t="s">
        <v>783</v>
      </c>
      <c r="G290" t="s">
        <v>574</v>
      </c>
      <c r="H290" t="s">
        <v>755</v>
      </c>
      <c r="I290" t="s">
        <v>756</v>
      </c>
      <c r="K290" t="s">
        <v>611</v>
      </c>
      <c r="L290" t="s">
        <v>518</v>
      </c>
      <c r="M290" t="s">
        <v>526</v>
      </c>
      <c r="N290" t="s">
        <v>608</v>
      </c>
      <c r="O290" t="s">
        <v>526</v>
      </c>
      <c r="P290">
        <v>1</v>
      </c>
      <c r="Q290" t="s">
        <v>612</v>
      </c>
      <c r="R290">
        <v>77</v>
      </c>
    </row>
    <row r="291" spans="2:18">
      <c r="B291">
        <v>20</v>
      </c>
      <c r="C291" s="28" t="s">
        <v>519</v>
      </c>
      <c r="D291" s="28" t="s">
        <v>520</v>
      </c>
      <c r="E291" t="s">
        <v>803</v>
      </c>
      <c r="F291" t="s">
        <v>783</v>
      </c>
      <c r="G291" t="s">
        <v>545</v>
      </c>
      <c r="H291" t="s">
        <v>784</v>
      </c>
      <c r="I291" t="s">
        <v>785</v>
      </c>
      <c r="K291" t="s">
        <v>804</v>
      </c>
      <c r="L291" t="s">
        <v>518</v>
      </c>
      <c r="M291" t="s">
        <v>526</v>
      </c>
      <c r="N291" t="s">
        <v>805</v>
      </c>
      <c r="O291" t="s">
        <v>526</v>
      </c>
      <c r="P291">
        <v>1</v>
      </c>
      <c r="Q291" t="s">
        <v>539</v>
      </c>
      <c r="R291">
        <v>48</v>
      </c>
    </row>
    <row r="292" spans="2:18">
      <c r="B292">
        <v>20</v>
      </c>
      <c r="C292" s="28" t="s">
        <v>519</v>
      </c>
      <c r="D292" s="28" t="s">
        <v>520</v>
      </c>
      <c r="E292" t="s">
        <v>803</v>
      </c>
      <c r="F292" t="s">
        <v>783</v>
      </c>
      <c r="G292" t="s">
        <v>574</v>
      </c>
      <c r="H292" t="s">
        <v>771</v>
      </c>
      <c r="I292" t="s">
        <v>772</v>
      </c>
      <c r="K292" t="s">
        <v>806</v>
      </c>
      <c r="L292" t="s">
        <v>518</v>
      </c>
      <c r="M292" t="s">
        <v>526</v>
      </c>
      <c r="N292" t="s">
        <v>807</v>
      </c>
      <c r="O292" t="s">
        <v>526</v>
      </c>
      <c r="P292">
        <v>1</v>
      </c>
      <c r="Q292" t="s">
        <v>612</v>
      </c>
      <c r="R292">
        <v>288</v>
      </c>
    </row>
    <row r="293" spans="2:18">
      <c r="B293">
        <v>35</v>
      </c>
      <c r="C293" s="28" t="s">
        <v>519</v>
      </c>
      <c r="D293" s="28" t="s">
        <v>520</v>
      </c>
      <c r="E293" t="s">
        <v>803</v>
      </c>
      <c r="F293" t="s">
        <v>783</v>
      </c>
      <c r="G293" t="s">
        <v>735</v>
      </c>
      <c r="H293" t="s">
        <v>736</v>
      </c>
      <c r="I293" t="s">
        <v>770</v>
      </c>
      <c r="K293" t="s">
        <v>686</v>
      </c>
      <c r="L293" t="s">
        <v>518</v>
      </c>
      <c r="M293" t="s">
        <v>526</v>
      </c>
      <c r="N293" t="s">
        <v>687</v>
      </c>
      <c r="O293" t="s">
        <v>526</v>
      </c>
      <c r="P293">
        <v>1</v>
      </c>
      <c r="Q293" t="s">
        <v>603</v>
      </c>
      <c r="R293">
        <v>290</v>
      </c>
    </row>
    <row r="294" spans="2:18">
      <c r="B294">
        <v>37</v>
      </c>
      <c r="C294" s="28" t="s">
        <v>519</v>
      </c>
      <c r="D294" s="28" t="s">
        <v>520</v>
      </c>
      <c r="E294" t="s">
        <v>803</v>
      </c>
      <c r="F294" t="s">
        <v>783</v>
      </c>
      <c r="G294" t="s">
        <v>545</v>
      </c>
      <c r="H294" t="s">
        <v>776</v>
      </c>
      <c r="I294" t="s">
        <v>777</v>
      </c>
      <c r="K294" t="s">
        <v>688</v>
      </c>
      <c r="L294" t="s">
        <v>518</v>
      </c>
      <c r="M294" t="s">
        <v>526</v>
      </c>
      <c r="N294" t="s">
        <v>689</v>
      </c>
      <c r="O294" t="s">
        <v>526</v>
      </c>
      <c r="P294">
        <v>1</v>
      </c>
      <c r="Q294" t="s">
        <v>539</v>
      </c>
      <c r="R294">
        <v>100</v>
      </c>
    </row>
    <row r="295" spans="2:18">
      <c r="B295">
        <v>38</v>
      </c>
      <c r="C295" s="28" t="s">
        <v>519</v>
      </c>
      <c r="D295" s="28" t="s">
        <v>520</v>
      </c>
      <c r="E295" t="s">
        <v>803</v>
      </c>
      <c r="F295" t="s">
        <v>783</v>
      </c>
      <c r="G295" t="s">
        <v>545</v>
      </c>
      <c r="H295" t="s">
        <v>778</v>
      </c>
      <c r="I295" t="s">
        <v>779</v>
      </c>
      <c r="K295" t="s">
        <v>690</v>
      </c>
      <c r="L295" t="s">
        <v>518</v>
      </c>
      <c r="M295" t="s">
        <v>526</v>
      </c>
      <c r="N295" t="s">
        <v>691</v>
      </c>
      <c r="O295" t="s">
        <v>526</v>
      </c>
      <c r="P295">
        <v>1</v>
      </c>
      <c r="Q295" t="s">
        <v>616</v>
      </c>
      <c r="R295">
        <v>55</v>
      </c>
    </row>
    <row r="296" spans="2:18">
      <c r="B296">
        <v>39</v>
      </c>
      <c r="C296" s="28" t="s">
        <v>519</v>
      </c>
      <c r="D296" s="28" t="s">
        <v>520</v>
      </c>
      <c r="E296" t="s">
        <v>803</v>
      </c>
      <c r="F296" t="s">
        <v>783</v>
      </c>
      <c r="G296" t="s">
        <v>545</v>
      </c>
      <c r="H296" t="s">
        <v>786</v>
      </c>
      <c r="I296" t="s">
        <v>787</v>
      </c>
      <c r="K296" t="s">
        <v>692</v>
      </c>
      <c r="L296" t="s">
        <v>518</v>
      </c>
      <c r="M296" t="s">
        <v>526</v>
      </c>
      <c r="N296" t="s">
        <v>582</v>
      </c>
      <c r="O296" t="s">
        <v>526</v>
      </c>
      <c r="P296">
        <v>1</v>
      </c>
      <c r="Q296" t="s">
        <v>539</v>
      </c>
      <c r="R296">
        <v>66.26</v>
      </c>
    </row>
    <row r="297" spans="2:18">
      <c r="B297">
        <v>40</v>
      </c>
      <c r="C297" s="28" t="s">
        <v>519</v>
      </c>
      <c r="D297" s="28" t="s">
        <v>520</v>
      </c>
      <c r="E297" t="s">
        <v>803</v>
      </c>
      <c r="F297" t="s">
        <v>783</v>
      </c>
      <c r="G297" t="s">
        <v>545</v>
      </c>
      <c r="H297" t="s">
        <v>579</v>
      </c>
      <c r="I297" t="s">
        <v>580</v>
      </c>
      <c r="K297" t="s">
        <v>693</v>
      </c>
      <c r="L297" t="s">
        <v>518</v>
      </c>
      <c r="M297" t="s">
        <v>526</v>
      </c>
      <c r="N297" t="s">
        <v>694</v>
      </c>
      <c r="O297" t="s">
        <v>526</v>
      </c>
      <c r="P297">
        <v>1</v>
      </c>
      <c r="Q297" t="s">
        <v>539</v>
      </c>
      <c r="R297">
        <v>101</v>
      </c>
    </row>
    <row r="298" spans="2:18">
      <c r="B298">
        <v>41</v>
      </c>
      <c r="C298" s="28" t="s">
        <v>519</v>
      </c>
      <c r="D298" s="28" t="s">
        <v>520</v>
      </c>
      <c r="E298" t="s">
        <v>803</v>
      </c>
      <c r="F298" t="s">
        <v>783</v>
      </c>
      <c r="G298" t="s">
        <v>583</v>
      </c>
      <c r="H298" t="s">
        <v>767</v>
      </c>
      <c r="I298" t="s">
        <v>788</v>
      </c>
      <c r="K298" t="s">
        <v>695</v>
      </c>
      <c r="L298" t="s">
        <v>518</v>
      </c>
      <c r="M298" t="s">
        <v>526</v>
      </c>
      <c r="N298" t="s">
        <v>696</v>
      </c>
      <c r="O298" t="s">
        <v>526</v>
      </c>
      <c r="P298">
        <v>1</v>
      </c>
      <c r="Q298" t="s">
        <v>539</v>
      </c>
      <c r="R298">
        <v>418</v>
      </c>
    </row>
    <row r="299" spans="2:18">
      <c r="B299">
        <v>42</v>
      </c>
      <c r="C299" s="28" t="s">
        <v>519</v>
      </c>
      <c r="D299" s="28" t="s">
        <v>520</v>
      </c>
      <c r="E299" t="s">
        <v>803</v>
      </c>
      <c r="F299" t="s">
        <v>783</v>
      </c>
      <c r="G299" t="s">
        <v>534</v>
      </c>
      <c r="H299" t="s">
        <v>664</v>
      </c>
      <c r="I299" t="s">
        <v>665</v>
      </c>
      <c r="K299" t="s">
        <v>697</v>
      </c>
      <c r="L299" t="s">
        <v>518</v>
      </c>
      <c r="M299" t="s">
        <v>526</v>
      </c>
      <c r="N299" t="s">
        <v>698</v>
      </c>
      <c r="O299" t="s">
        <v>526</v>
      </c>
      <c r="P299">
        <v>1</v>
      </c>
      <c r="Q299" t="s">
        <v>539</v>
      </c>
      <c r="R299">
        <v>37</v>
      </c>
    </row>
    <row r="300" spans="2:18">
      <c r="B300">
        <v>43</v>
      </c>
      <c r="C300" s="28" t="s">
        <v>519</v>
      </c>
      <c r="D300" s="28" t="s">
        <v>520</v>
      </c>
      <c r="E300" t="s">
        <v>803</v>
      </c>
      <c r="F300" t="s">
        <v>783</v>
      </c>
      <c r="G300" t="s">
        <v>741</v>
      </c>
      <c r="H300" t="s">
        <v>789</v>
      </c>
      <c r="I300" t="s">
        <v>790</v>
      </c>
      <c r="K300" t="s">
        <v>670</v>
      </c>
      <c r="L300" t="s">
        <v>518</v>
      </c>
      <c r="M300" t="s">
        <v>526</v>
      </c>
      <c r="N300" t="s">
        <v>671</v>
      </c>
      <c r="O300" t="s">
        <v>526</v>
      </c>
      <c r="P300">
        <v>1</v>
      </c>
      <c r="Q300" t="s">
        <v>672</v>
      </c>
      <c r="R300">
        <v>370</v>
      </c>
    </row>
    <row r="301" spans="2:18">
      <c r="B301">
        <v>44</v>
      </c>
      <c r="C301" s="28" t="s">
        <v>519</v>
      </c>
      <c r="D301" s="28" t="s">
        <v>520</v>
      </c>
      <c r="E301" t="s">
        <v>803</v>
      </c>
      <c r="F301" t="s">
        <v>752</v>
      </c>
      <c r="G301" t="s">
        <v>534</v>
      </c>
      <c r="H301" t="s">
        <v>791</v>
      </c>
      <c r="I301" t="s">
        <v>792</v>
      </c>
      <c r="K301" t="s">
        <v>675</v>
      </c>
      <c r="L301" t="s">
        <v>518</v>
      </c>
      <c r="M301" t="s">
        <v>526</v>
      </c>
      <c r="N301" t="s">
        <v>676</v>
      </c>
      <c r="O301" t="s">
        <v>526</v>
      </c>
      <c r="P301">
        <v>1</v>
      </c>
      <c r="Q301" t="s">
        <v>558</v>
      </c>
      <c r="R301">
        <v>4.7</v>
      </c>
    </row>
    <row r="302" spans="2:18">
      <c r="B302">
        <v>46</v>
      </c>
      <c r="C302" s="28" t="s">
        <v>519</v>
      </c>
      <c r="D302" s="28" t="s">
        <v>520</v>
      </c>
      <c r="E302" t="s">
        <v>803</v>
      </c>
      <c r="F302" t="s">
        <v>752</v>
      </c>
      <c r="G302" t="s">
        <v>522</v>
      </c>
      <c r="H302" t="s">
        <v>793</v>
      </c>
      <c r="I302" t="s">
        <v>794</v>
      </c>
      <c r="K302" t="s">
        <v>701</v>
      </c>
      <c r="L302" t="s">
        <v>518</v>
      </c>
      <c r="M302" t="s">
        <v>526</v>
      </c>
      <c r="N302" t="s">
        <v>702</v>
      </c>
      <c r="O302" t="s">
        <v>526</v>
      </c>
      <c r="P302">
        <v>1</v>
      </c>
      <c r="Q302" t="s">
        <v>539</v>
      </c>
      <c r="R302">
        <v>39.5</v>
      </c>
    </row>
    <row r="303" spans="2:18">
      <c r="B303">
        <v>47</v>
      </c>
      <c r="C303" s="28" t="s">
        <v>519</v>
      </c>
      <c r="D303" s="28" t="s">
        <v>520</v>
      </c>
      <c r="E303" t="s">
        <v>803</v>
      </c>
      <c r="F303" t="s">
        <v>752</v>
      </c>
      <c r="G303" t="s">
        <v>574</v>
      </c>
      <c r="H303" t="s">
        <v>755</v>
      </c>
      <c r="I303" t="s">
        <v>756</v>
      </c>
      <c r="K303" t="s">
        <v>703</v>
      </c>
      <c r="L303" t="s">
        <v>518</v>
      </c>
      <c r="M303" t="s">
        <v>526</v>
      </c>
      <c r="N303" t="s">
        <v>702</v>
      </c>
      <c r="O303" t="s">
        <v>526</v>
      </c>
      <c r="P303">
        <v>1</v>
      </c>
      <c r="Q303" t="s">
        <v>539</v>
      </c>
      <c r="R303">
        <v>17.2</v>
      </c>
    </row>
    <row r="304" spans="2:18">
      <c r="B304">
        <v>1</v>
      </c>
      <c r="C304" s="28" t="s">
        <v>519</v>
      </c>
      <c r="D304" s="28" t="s">
        <v>520</v>
      </c>
      <c r="E304" t="s">
        <v>803</v>
      </c>
      <c r="F304" t="s">
        <v>752</v>
      </c>
      <c r="G304" t="s">
        <v>574</v>
      </c>
      <c r="H304" t="s">
        <v>771</v>
      </c>
      <c r="I304" t="s">
        <v>772</v>
      </c>
      <c r="K304" t="s">
        <v>525</v>
      </c>
      <c r="L304" t="s">
        <v>518</v>
      </c>
      <c r="M304" t="s">
        <v>526</v>
      </c>
      <c r="N304" t="s">
        <v>527</v>
      </c>
      <c r="O304" t="s">
        <v>526</v>
      </c>
      <c r="P304">
        <v>1</v>
      </c>
      <c r="Q304" t="s">
        <v>528</v>
      </c>
      <c r="R304">
        <v>920</v>
      </c>
    </row>
    <row r="305" spans="2:18">
      <c r="B305">
        <v>2</v>
      </c>
      <c r="C305" s="28" t="s">
        <v>519</v>
      </c>
      <c r="D305" s="28" t="s">
        <v>520</v>
      </c>
      <c r="E305" t="s">
        <v>803</v>
      </c>
      <c r="F305" t="s">
        <v>752</v>
      </c>
      <c r="G305" t="s">
        <v>545</v>
      </c>
      <c r="H305" t="s">
        <v>546</v>
      </c>
      <c r="I305" t="s">
        <v>795</v>
      </c>
      <c r="K305" t="s">
        <v>531</v>
      </c>
      <c r="L305" t="s">
        <v>518</v>
      </c>
      <c r="M305" t="s">
        <v>526</v>
      </c>
      <c r="N305" t="s">
        <v>532</v>
      </c>
      <c r="O305" t="s">
        <v>526</v>
      </c>
      <c r="P305">
        <v>1</v>
      </c>
      <c r="Q305" t="s">
        <v>533</v>
      </c>
      <c r="R305">
        <v>380</v>
      </c>
    </row>
    <row r="306" spans="2:18">
      <c r="B306">
        <v>3</v>
      </c>
      <c r="C306" s="28" t="s">
        <v>519</v>
      </c>
      <c r="D306" s="28" t="s">
        <v>520</v>
      </c>
      <c r="E306" t="s">
        <v>803</v>
      </c>
      <c r="F306" t="s">
        <v>752</v>
      </c>
      <c r="G306" t="s">
        <v>545</v>
      </c>
      <c r="H306" t="s">
        <v>765</v>
      </c>
      <c r="I306" t="s">
        <v>766</v>
      </c>
      <c r="K306" t="s">
        <v>537</v>
      </c>
      <c r="L306" t="s">
        <v>518</v>
      </c>
      <c r="M306" t="s">
        <v>526</v>
      </c>
      <c r="N306" t="s">
        <v>538</v>
      </c>
      <c r="O306" t="s">
        <v>526</v>
      </c>
      <c r="P306">
        <v>1</v>
      </c>
      <c r="Q306" t="s">
        <v>539</v>
      </c>
      <c r="R306">
        <v>14</v>
      </c>
    </row>
    <row r="307" spans="2:18">
      <c r="B307">
        <v>4</v>
      </c>
      <c r="C307" s="28" t="s">
        <v>519</v>
      </c>
      <c r="D307" s="28" t="s">
        <v>520</v>
      </c>
      <c r="E307" t="s">
        <v>803</v>
      </c>
      <c r="F307" t="s">
        <v>752</v>
      </c>
      <c r="G307" t="s">
        <v>534</v>
      </c>
      <c r="H307" t="s">
        <v>664</v>
      </c>
      <c r="I307" t="s">
        <v>665</v>
      </c>
      <c r="K307" t="s">
        <v>542</v>
      </c>
      <c r="L307" t="s">
        <v>518</v>
      </c>
      <c r="M307" t="s">
        <v>526</v>
      </c>
      <c r="N307" t="s">
        <v>543</v>
      </c>
      <c r="O307" t="s">
        <v>526</v>
      </c>
      <c r="P307">
        <v>1</v>
      </c>
      <c r="Q307" t="s">
        <v>539</v>
      </c>
      <c r="R307">
        <v>33</v>
      </c>
    </row>
    <row r="308" spans="2:18">
      <c r="B308">
        <v>5</v>
      </c>
      <c r="C308" s="28" t="s">
        <v>519</v>
      </c>
      <c r="D308" s="28" t="s">
        <v>520</v>
      </c>
      <c r="E308" t="s">
        <v>808</v>
      </c>
      <c r="F308" t="s">
        <v>783</v>
      </c>
      <c r="G308" t="s">
        <v>574</v>
      </c>
      <c r="H308" t="s">
        <v>755</v>
      </c>
      <c r="I308" t="s">
        <v>756</v>
      </c>
      <c r="K308" t="s">
        <v>548</v>
      </c>
      <c r="L308" t="s">
        <v>518</v>
      </c>
      <c r="M308" t="s">
        <v>526</v>
      </c>
      <c r="N308" t="s">
        <v>549</v>
      </c>
      <c r="O308" t="s">
        <v>526</v>
      </c>
      <c r="P308">
        <v>1</v>
      </c>
      <c r="Q308" t="s">
        <v>539</v>
      </c>
      <c r="R308">
        <v>0</v>
      </c>
    </row>
    <row r="309" spans="2:18">
      <c r="B309">
        <v>6</v>
      </c>
      <c r="C309" s="28" t="s">
        <v>519</v>
      </c>
      <c r="D309" s="28" t="s">
        <v>520</v>
      </c>
      <c r="E309" t="s">
        <v>808</v>
      </c>
      <c r="F309" t="s">
        <v>783</v>
      </c>
      <c r="G309" t="s">
        <v>545</v>
      </c>
      <c r="H309" t="s">
        <v>784</v>
      </c>
      <c r="I309" t="s">
        <v>785</v>
      </c>
      <c r="K309" t="s">
        <v>553</v>
      </c>
      <c r="L309" t="s">
        <v>518</v>
      </c>
      <c r="M309" t="s">
        <v>526</v>
      </c>
      <c r="N309" t="s">
        <v>554</v>
      </c>
      <c r="O309" t="s">
        <v>526</v>
      </c>
      <c r="P309">
        <v>1</v>
      </c>
      <c r="Q309" t="s">
        <v>539</v>
      </c>
      <c r="R309">
        <v>223</v>
      </c>
    </row>
    <row r="310" spans="2:18">
      <c r="B310">
        <v>7</v>
      </c>
      <c r="C310" s="28" t="s">
        <v>519</v>
      </c>
      <c r="D310" s="28" t="s">
        <v>520</v>
      </c>
      <c r="E310" t="s">
        <v>808</v>
      </c>
      <c r="F310" t="s">
        <v>783</v>
      </c>
      <c r="G310" t="s">
        <v>574</v>
      </c>
      <c r="H310" t="s">
        <v>771</v>
      </c>
      <c r="I310" t="s">
        <v>772</v>
      </c>
      <c r="K310" t="s">
        <v>796</v>
      </c>
      <c r="L310" t="s">
        <v>518</v>
      </c>
      <c r="M310" t="s">
        <v>526</v>
      </c>
      <c r="N310" t="s">
        <v>526</v>
      </c>
      <c r="O310" t="s">
        <v>526</v>
      </c>
      <c r="P310">
        <v>1</v>
      </c>
      <c r="Q310" t="s">
        <v>558</v>
      </c>
      <c r="R310">
        <v>609</v>
      </c>
    </row>
    <row r="311" spans="2:18">
      <c r="B311">
        <v>8</v>
      </c>
      <c r="C311" s="28" t="s">
        <v>519</v>
      </c>
      <c r="D311" s="28" t="s">
        <v>520</v>
      </c>
      <c r="E311" t="s">
        <v>808</v>
      </c>
      <c r="F311" t="s">
        <v>783</v>
      </c>
      <c r="G311" t="s">
        <v>735</v>
      </c>
      <c r="H311" t="s">
        <v>736</v>
      </c>
      <c r="I311" t="s">
        <v>770</v>
      </c>
      <c r="K311" t="s">
        <v>797</v>
      </c>
      <c r="L311" t="s">
        <v>518</v>
      </c>
      <c r="M311" t="s">
        <v>526</v>
      </c>
      <c r="N311" t="s">
        <v>526</v>
      </c>
      <c r="O311" t="s">
        <v>526</v>
      </c>
      <c r="P311">
        <v>1</v>
      </c>
      <c r="Q311" t="s">
        <v>558</v>
      </c>
      <c r="R311">
        <v>388</v>
      </c>
    </row>
    <row r="312" spans="2:18">
      <c r="B312">
        <v>9</v>
      </c>
      <c r="C312" s="28" t="s">
        <v>519</v>
      </c>
      <c r="D312" s="28" t="s">
        <v>520</v>
      </c>
      <c r="E312" t="s">
        <v>808</v>
      </c>
      <c r="F312" t="s">
        <v>783</v>
      </c>
      <c r="G312" t="s">
        <v>545</v>
      </c>
      <c r="H312" t="s">
        <v>776</v>
      </c>
      <c r="I312" t="s">
        <v>777</v>
      </c>
      <c r="K312" t="s">
        <v>809</v>
      </c>
      <c r="L312" t="s">
        <v>518</v>
      </c>
      <c r="M312" t="s">
        <v>526</v>
      </c>
      <c r="N312" t="s">
        <v>810</v>
      </c>
      <c r="O312" t="s">
        <v>526</v>
      </c>
      <c r="P312">
        <v>1</v>
      </c>
      <c r="Q312" t="s">
        <v>539</v>
      </c>
      <c r="R312">
        <v>922</v>
      </c>
    </row>
    <row r="313" spans="2:18">
      <c r="B313">
        <v>10</v>
      </c>
      <c r="C313" s="28" t="s">
        <v>519</v>
      </c>
      <c r="D313" s="28" t="s">
        <v>520</v>
      </c>
      <c r="E313" t="s">
        <v>808</v>
      </c>
      <c r="F313" t="s">
        <v>783</v>
      </c>
      <c r="G313" t="s">
        <v>545</v>
      </c>
      <c r="H313" t="s">
        <v>778</v>
      </c>
      <c r="I313" t="s">
        <v>779</v>
      </c>
      <c r="K313" t="s">
        <v>569</v>
      </c>
      <c r="L313" t="s">
        <v>518</v>
      </c>
      <c r="M313" t="s">
        <v>526</v>
      </c>
      <c r="N313" t="s">
        <v>526</v>
      </c>
      <c r="O313" t="s">
        <v>526</v>
      </c>
      <c r="P313">
        <v>1</v>
      </c>
      <c r="Q313" t="s">
        <v>539</v>
      </c>
      <c r="R313">
        <v>1680</v>
      </c>
    </row>
    <row r="314" spans="2:18">
      <c r="B314">
        <v>11</v>
      </c>
      <c r="C314" s="28" t="s">
        <v>519</v>
      </c>
      <c r="D314" s="28" t="s">
        <v>520</v>
      </c>
      <c r="E314" t="s">
        <v>808</v>
      </c>
      <c r="F314" t="s">
        <v>783</v>
      </c>
      <c r="G314" t="s">
        <v>545</v>
      </c>
      <c r="H314" t="s">
        <v>786</v>
      </c>
      <c r="I314" t="s">
        <v>787</v>
      </c>
      <c r="K314" t="s">
        <v>572</v>
      </c>
      <c r="L314" t="s">
        <v>518</v>
      </c>
      <c r="M314" t="s">
        <v>526</v>
      </c>
      <c r="N314" t="s">
        <v>573</v>
      </c>
      <c r="O314" t="s">
        <v>526</v>
      </c>
      <c r="P314">
        <v>1</v>
      </c>
      <c r="Q314" t="s">
        <v>539</v>
      </c>
      <c r="R314">
        <v>10</v>
      </c>
    </row>
    <row r="315" spans="2:18">
      <c r="B315">
        <v>12</v>
      </c>
      <c r="C315" s="28" t="s">
        <v>519</v>
      </c>
      <c r="D315" s="28" t="s">
        <v>520</v>
      </c>
      <c r="E315" t="s">
        <v>808</v>
      </c>
      <c r="F315" t="s">
        <v>783</v>
      </c>
      <c r="G315" t="s">
        <v>545</v>
      </c>
      <c r="H315" t="s">
        <v>579</v>
      </c>
      <c r="I315" t="s">
        <v>580</v>
      </c>
      <c r="K315" t="s">
        <v>577</v>
      </c>
      <c r="L315" t="s">
        <v>518</v>
      </c>
      <c r="M315" t="s">
        <v>526</v>
      </c>
      <c r="N315" t="s">
        <v>578</v>
      </c>
      <c r="O315" t="s">
        <v>526</v>
      </c>
      <c r="P315">
        <v>1</v>
      </c>
      <c r="Q315" t="s">
        <v>539</v>
      </c>
      <c r="R315">
        <v>74</v>
      </c>
    </row>
    <row r="316" spans="2:18">
      <c r="B316">
        <v>13</v>
      </c>
      <c r="C316" s="28" t="s">
        <v>519</v>
      </c>
      <c r="D316" s="28" t="s">
        <v>520</v>
      </c>
      <c r="E316" t="s">
        <v>808</v>
      </c>
      <c r="F316" t="s">
        <v>783</v>
      </c>
      <c r="G316" t="s">
        <v>583</v>
      </c>
      <c r="H316" t="s">
        <v>767</v>
      </c>
      <c r="I316" t="s">
        <v>788</v>
      </c>
      <c r="K316" t="s">
        <v>581</v>
      </c>
      <c r="L316" t="s">
        <v>518</v>
      </c>
      <c r="M316" t="s">
        <v>526</v>
      </c>
      <c r="N316" t="s">
        <v>582</v>
      </c>
      <c r="O316" t="s">
        <v>526</v>
      </c>
      <c r="P316">
        <v>1</v>
      </c>
      <c r="Q316" t="s">
        <v>539</v>
      </c>
      <c r="R316">
        <v>84</v>
      </c>
    </row>
    <row r="317" spans="2:18">
      <c r="B317">
        <v>14</v>
      </c>
      <c r="C317" s="28" t="s">
        <v>519</v>
      </c>
      <c r="D317" s="28" t="s">
        <v>520</v>
      </c>
      <c r="E317" t="s">
        <v>808</v>
      </c>
      <c r="F317" t="s">
        <v>783</v>
      </c>
      <c r="G317" t="s">
        <v>534</v>
      </c>
      <c r="H317" t="s">
        <v>664</v>
      </c>
      <c r="I317" t="s">
        <v>665</v>
      </c>
      <c r="K317" t="s">
        <v>586</v>
      </c>
      <c r="L317" t="s">
        <v>518</v>
      </c>
      <c r="M317" t="s">
        <v>526</v>
      </c>
      <c r="N317" t="s">
        <v>587</v>
      </c>
      <c r="O317" t="s">
        <v>526</v>
      </c>
      <c r="P317">
        <v>1</v>
      </c>
      <c r="Q317" t="s">
        <v>539</v>
      </c>
      <c r="R317">
        <v>165</v>
      </c>
    </row>
    <row r="318" spans="2:18">
      <c r="B318">
        <v>15</v>
      </c>
      <c r="C318" s="28" t="s">
        <v>519</v>
      </c>
      <c r="D318" s="28" t="s">
        <v>520</v>
      </c>
      <c r="E318" t="s">
        <v>808</v>
      </c>
      <c r="F318" t="s">
        <v>783</v>
      </c>
      <c r="G318" t="s">
        <v>741</v>
      </c>
      <c r="H318" t="s">
        <v>789</v>
      </c>
      <c r="I318" t="s">
        <v>790</v>
      </c>
      <c r="K318" t="s">
        <v>590</v>
      </c>
      <c r="L318" t="s">
        <v>518</v>
      </c>
      <c r="M318" t="s">
        <v>526</v>
      </c>
      <c r="N318" t="s">
        <v>526</v>
      </c>
      <c r="O318" t="s">
        <v>526</v>
      </c>
      <c r="P318">
        <v>1</v>
      </c>
      <c r="Q318" t="s">
        <v>539</v>
      </c>
      <c r="R318">
        <v>43</v>
      </c>
    </row>
    <row r="319" spans="2:18">
      <c r="B319">
        <v>16</v>
      </c>
      <c r="C319" s="28" t="s">
        <v>519</v>
      </c>
      <c r="D319" s="28" t="s">
        <v>520</v>
      </c>
      <c r="E319" t="s">
        <v>808</v>
      </c>
      <c r="F319" t="s">
        <v>752</v>
      </c>
      <c r="G319" t="s">
        <v>534</v>
      </c>
      <c r="H319" t="s">
        <v>791</v>
      </c>
      <c r="I319" t="s">
        <v>792</v>
      </c>
      <c r="K319" t="s">
        <v>594</v>
      </c>
      <c r="L319" t="s">
        <v>518</v>
      </c>
      <c r="M319" t="s">
        <v>526</v>
      </c>
      <c r="N319" t="s">
        <v>582</v>
      </c>
      <c r="O319" t="s">
        <v>526</v>
      </c>
      <c r="P319">
        <v>1</v>
      </c>
      <c r="Q319" t="s">
        <v>539</v>
      </c>
      <c r="R319">
        <v>425</v>
      </c>
    </row>
    <row r="320" spans="2:18">
      <c r="B320">
        <v>17</v>
      </c>
      <c r="C320" s="28" t="s">
        <v>519</v>
      </c>
      <c r="D320" s="28" t="s">
        <v>520</v>
      </c>
      <c r="E320" t="s">
        <v>808</v>
      </c>
      <c r="F320" t="s">
        <v>752</v>
      </c>
      <c r="G320" t="s">
        <v>522</v>
      </c>
      <c r="H320" t="s">
        <v>793</v>
      </c>
      <c r="I320" t="s">
        <v>794</v>
      </c>
      <c r="K320" t="s">
        <v>597</v>
      </c>
      <c r="L320" t="s">
        <v>518</v>
      </c>
      <c r="M320" t="s">
        <v>526</v>
      </c>
      <c r="N320" t="s">
        <v>598</v>
      </c>
      <c r="O320" t="s">
        <v>526</v>
      </c>
      <c r="P320">
        <v>1</v>
      </c>
      <c r="Q320" t="s">
        <v>539</v>
      </c>
      <c r="R320">
        <v>77</v>
      </c>
    </row>
    <row r="321" spans="2:18">
      <c r="B321">
        <v>18</v>
      </c>
      <c r="C321" s="28" t="s">
        <v>519</v>
      </c>
      <c r="D321" s="28" t="s">
        <v>520</v>
      </c>
      <c r="E321" t="s">
        <v>808</v>
      </c>
      <c r="F321" t="s">
        <v>752</v>
      </c>
      <c r="G321" t="s">
        <v>574</v>
      </c>
      <c r="H321" t="s">
        <v>755</v>
      </c>
      <c r="I321" t="s">
        <v>756</v>
      </c>
      <c r="K321" t="s">
        <v>811</v>
      </c>
      <c r="L321" t="s">
        <v>518</v>
      </c>
      <c r="M321" t="s">
        <v>526</v>
      </c>
      <c r="N321" t="s">
        <v>812</v>
      </c>
      <c r="O321" t="s">
        <v>526</v>
      </c>
      <c r="P321">
        <v>1</v>
      </c>
      <c r="Q321" t="s">
        <v>623</v>
      </c>
      <c r="R321">
        <v>459</v>
      </c>
    </row>
    <row r="322" spans="2:18">
      <c r="B322">
        <v>19</v>
      </c>
      <c r="C322" s="28" t="s">
        <v>519</v>
      </c>
      <c r="D322" s="28" t="s">
        <v>520</v>
      </c>
      <c r="E322" t="s">
        <v>808</v>
      </c>
      <c r="F322" t="s">
        <v>752</v>
      </c>
      <c r="G322" t="s">
        <v>574</v>
      </c>
      <c r="H322" t="s">
        <v>771</v>
      </c>
      <c r="I322" t="s">
        <v>772</v>
      </c>
      <c r="K322" t="s">
        <v>607</v>
      </c>
      <c r="L322" t="s">
        <v>518</v>
      </c>
      <c r="M322" t="s">
        <v>526</v>
      </c>
      <c r="N322" t="s">
        <v>608</v>
      </c>
      <c r="O322" t="s">
        <v>526</v>
      </c>
      <c r="P322">
        <v>1</v>
      </c>
      <c r="Q322" t="s">
        <v>609</v>
      </c>
      <c r="R322">
        <v>53</v>
      </c>
    </row>
    <row r="323" spans="2:18">
      <c r="B323">
        <v>19</v>
      </c>
      <c r="C323" s="28" t="s">
        <v>519</v>
      </c>
      <c r="D323" s="28" t="s">
        <v>520</v>
      </c>
      <c r="E323" t="s">
        <v>808</v>
      </c>
      <c r="F323" t="s">
        <v>752</v>
      </c>
      <c r="G323" t="s">
        <v>545</v>
      </c>
      <c r="H323" t="s">
        <v>546</v>
      </c>
      <c r="I323" t="s">
        <v>795</v>
      </c>
      <c r="K323" t="s">
        <v>611</v>
      </c>
      <c r="L323" t="s">
        <v>518</v>
      </c>
      <c r="M323" t="s">
        <v>526</v>
      </c>
      <c r="N323" t="s">
        <v>608</v>
      </c>
      <c r="O323" t="s">
        <v>526</v>
      </c>
      <c r="P323">
        <v>1</v>
      </c>
      <c r="Q323" t="s">
        <v>612</v>
      </c>
      <c r="R323">
        <v>77</v>
      </c>
    </row>
    <row r="324" spans="2:18">
      <c r="B324">
        <v>19</v>
      </c>
      <c r="C324" s="28" t="s">
        <v>519</v>
      </c>
      <c r="D324" s="28" t="s">
        <v>520</v>
      </c>
      <c r="E324" t="s">
        <v>808</v>
      </c>
      <c r="F324" t="s">
        <v>752</v>
      </c>
      <c r="G324" t="s">
        <v>545</v>
      </c>
      <c r="H324" t="s">
        <v>765</v>
      </c>
      <c r="I324" t="s">
        <v>766</v>
      </c>
      <c r="K324" t="s">
        <v>614</v>
      </c>
      <c r="L324" t="s">
        <v>518</v>
      </c>
      <c r="M324" t="s">
        <v>526</v>
      </c>
      <c r="N324" t="s">
        <v>615</v>
      </c>
      <c r="O324" t="s">
        <v>526</v>
      </c>
      <c r="P324">
        <v>1</v>
      </c>
      <c r="Q324" t="s">
        <v>616</v>
      </c>
      <c r="R324">
        <v>53</v>
      </c>
    </row>
    <row r="325" spans="2:18">
      <c r="B325">
        <v>19</v>
      </c>
      <c r="C325" s="28" t="s">
        <v>519</v>
      </c>
      <c r="D325" s="28" t="s">
        <v>520</v>
      </c>
      <c r="E325" t="s">
        <v>808</v>
      </c>
      <c r="F325" t="s">
        <v>752</v>
      </c>
      <c r="G325" t="s">
        <v>534</v>
      </c>
      <c r="H325" t="s">
        <v>664</v>
      </c>
      <c r="I325" t="s">
        <v>665</v>
      </c>
      <c r="K325" t="s">
        <v>619</v>
      </c>
      <c r="L325" t="s">
        <v>518</v>
      </c>
      <c r="M325" t="s">
        <v>526</v>
      </c>
      <c r="N325" t="s">
        <v>620</v>
      </c>
      <c r="O325" t="s">
        <v>526</v>
      </c>
      <c r="P325">
        <v>1</v>
      </c>
      <c r="Q325" t="s">
        <v>539</v>
      </c>
      <c r="R325">
        <v>81</v>
      </c>
    </row>
    <row r="326" spans="2:18">
      <c r="B326">
        <v>20</v>
      </c>
      <c r="C326" s="28" t="s">
        <v>519</v>
      </c>
      <c r="D326" s="28" t="s">
        <v>520</v>
      </c>
      <c r="E326" t="s">
        <v>813</v>
      </c>
      <c r="F326" t="s">
        <v>783</v>
      </c>
      <c r="G326" t="s">
        <v>574</v>
      </c>
      <c r="H326" t="s">
        <v>755</v>
      </c>
      <c r="I326" t="s">
        <v>756</v>
      </c>
      <c r="K326" t="s">
        <v>799</v>
      </c>
      <c r="L326" t="s">
        <v>518</v>
      </c>
      <c r="M326" t="s">
        <v>526</v>
      </c>
      <c r="N326" t="s">
        <v>526</v>
      </c>
      <c r="O326" t="s">
        <v>526</v>
      </c>
      <c r="P326">
        <v>1</v>
      </c>
      <c r="Q326" t="s">
        <v>623</v>
      </c>
      <c r="R326">
        <v>988</v>
      </c>
    </row>
    <row r="327" spans="2:18">
      <c r="B327">
        <v>24</v>
      </c>
      <c r="C327" s="28" t="s">
        <v>519</v>
      </c>
      <c r="D327" s="28" t="s">
        <v>520</v>
      </c>
      <c r="E327" t="s">
        <v>813</v>
      </c>
      <c r="F327" t="s">
        <v>783</v>
      </c>
      <c r="G327" t="s">
        <v>545</v>
      </c>
      <c r="H327" t="s">
        <v>784</v>
      </c>
      <c r="I327" t="s">
        <v>785</v>
      </c>
      <c r="K327" t="s">
        <v>626</v>
      </c>
      <c r="L327" t="s">
        <v>518</v>
      </c>
      <c r="M327" t="s">
        <v>526</v>
      </c>
      <c r="N327" t="s">
        <v>526</v>
      </c>
      <c r="O327" t="s">
        <v>526</v>
      </c>
      <c r="P327">
        <v>1</v>
      </c>
      <c r="Q327" t="s">
        <v>539</v>
      </c>
      <c r="R327">
        <v>41</v>
      </c>
    </row>
    <row r="328" spans="2:18">
      <c r="B328">
        <v>26</v>
      </c>
      <c r="C328" s="28" t="s">
        <v>519</v>
      </c>
      <c r="D328" s="28" t="s">
        <v>520</v>
      </c>
      <c r="E328" t="s">
        <v>813</v>
      </c>
      <c r="F328" t="s">
        <v>783</v>
      </c>
      <c r="G328" t="s">
        <v>574</v>
      </c>
      <c r="H328" t="s">
        <v>771</v>
      </c>
      <c r="I328" t="s">
        <v>772</v>
      </c>
      <c r="K328" t="s">
        <v>629</v>
      </c>
      <c r="L328" t="s">
        <v>518</v>
      </c>
      <c r="M328" t="s">
        <v>526</v>
      </c>
      <c r="N328" t="s">
        <v>630</v>
      </c>
      <c r="O328" t="s">
        <v>526</v>
      </c>
      <c r="P328">
        <v>1</v>
      </c>
      <c r="Q328" t="s">
        <v>558</v>
      </c>
      <c r="R328">
        <v>331</v>
      </c>
    </row>
    <row r="329" spans="2:18">
      <c r="B329">
        <v>27</v>
      </c>
      <c r="C329" s="28" t="s">
        <v>519</v>
      </c>
      <c r="D329" s="28" t="s">
        <v>520</v>
      </c>
      <c r="E329" t="s">
        <v>813</v>
      </c>
      <c r="F329" t="s">
        <v>783</v>
      </c>
      <c r="G329" t="s">
        <v>735</v>
      </c>
      <c r="H329" t="s">
        <v>736</v>
      </c>
      <c r="I329" t="s">
        <v>770</v>
      </c>
      <c r="K329" t="s">
        <v>634</v>
      </c>
      <c r="L329" t="s">
        <v>518</v>
      </c>
      <c r="M329" t="s">
        <v>526</v>
      </c>
      <c r="N329" t="s">
        <v>635</v>
      </c>
      <c r="O329" t="s">
        <v>526</v>
      </c>
      <c r="P329">
        <v>1</v>
      </c>
      <c r="Q329" t="s">
        <v>533</v>
      </c>
      <c r="R329">
        <v>92</v>
      </c>
    </row>
    <row r="330" spans="2:18">
      <c r="B330">
        <v>33</v>
      </c>
      <c r="C330" s="28" t="s">
        <v>519</v>
      </c>
      <c r="D330" s="28" t="s">
        <v>520</v>
      </c>
      <c r="E330" t="s">
        <v>813</v>
      </c>
      <c r="F330" t="s">
        <v>783</v>
      </c>
      <c r="G330" t="s">
        <v>545</v>
      </c>
      <c r="H330" t="s">
        <v>776</v>
      </c>
      <c r="I330" t="s">
        <v>777</v>
      </c>
      <c r="K330" t="s">
        <v>638</v>
      </c>
      <c r="L330" t="s">
        <v>518</v>
      </c>
      <c r="M330" t="s">
        <v>526</v>
      </c>
      <c r="N330" t="s">
        <v>526</v>
      </c>
      <c r="O330" t="s">
        <v>526</v>
      </c>
      <c r="P330">
        <v>1</v>
      </c>
      <c r="Q330" t="s">
        <v>639</v>
      </c>
      <c r="R330">
        <v>58</v>
      </c>
    </row>
    <row r="331" spans="2:18">
      <c r="B331">
        <v>20</v>
      </c>
      <c r="C331" s="28" t="s">
        <v>519</v>
      </c>
      <c r="D331" s="28" t="s">
        <v>520</v>
      </c>
      <c r="E331" t="s">
        <v>813</v>
      </c>
      <c r="F331" t="s">
        <v>783</v>
      </c>
      <c r="G331" t="s">
        <v>545</v>
      </c>
      <c r="H331" t="s">
        <v>778</v>
      </c>
      <c r="I331" t="s">
        <v>779</v>
      </c>
      <c r="K331" t="s">
        <v>800</v>
      </c>
      <c r="L331" t="s">
        <v>518</v>
      </c>
      <c r="M331" t="s">
        <v>526</v>
      </c>
      <c r="N331" t="s">
        <v>526</v>
      </c>
      <c r="O331" t="s">
        <v>526</v>
      </c>
      <c r="P331">
        <v>1</v>
      </c>
      <c r="Q331" t="s">
        <v>672</v>
      </c>
      <c r="R331">
        <v>595</v>
      </c>
    </row>
    <row r="332" spans="2:18">
      <c r="B332">
        <v>20</v>
      </c>
      <c r="C332" s="28" t="s">
        <v>519</v>
      </c>
      <c r="D332" s="28" t="s">
        <v>520</v>
      </c>
      <c r="E332" t="s">
        <v>813</v>
      </c>
      <c r="F332" t="s">
        <v>783</v>
      </c>
      <c r="G332" t="s">
        <v>545</v>
      </c>
      <c r="H332" t="s">
        <v>786</v>
      </c>
      <c r="I332" t="s">
        <v>787</v>
      </c>
      <c r="K332" t="s">
        <v>804</v>
      </c>
      <c r="L332" t="s">
        <v>518</v>
      </c>
      <c r="M332" t="s">
        <v>526</v>
      </c>
      <c r="N332" t="s">
        <v>805</v>
      </c>
      <c r="O332" t="s">
        <v>526</v>
      </c>
      <c r="P332">
        <v>1</v>
      </c>
      <c r="Q332" t="s">
        <v>539</v>
      </c>
      <c r="R332">
        <v>48</v>
      </c>
    </row>
    <row r="333" spans="2:18">
      <c r="B333">
        <v>20</v>
      </c>
      <c r="C333" s="28" t="s">
        <v>519</v>
      </c>
      <c r="D333" s="28" t="s">
        <v>520</v>
      </c>
      <c r="E333" t="s">
        <v>813</v>
      </c>
      <c r="F333" t="s">
        <v>783</v>
      </c>
      <c r="G333" t="s">
        <v>545</v>
      </c>
      <c r="H333" t="s">
        <v>579</v>
      </c>
      <c r="I333" t="s">
        <v>580</v>
      </c>
      <c r="K333" t="s">
        <v>806</v>
      </c>
      <c r="L333" t="s">
        <v>518</v>
      </c>
      <c r="M333" t="s">
        <v>526</v>
      </c>
      <c r="N333" t="s">
        <v>807</v>
      </c>
      <c r="O333" t="s">
        <v>526</v>
      </c>
      <c r="P333">
        <v>1</v>
      </c>
      <c r="Q333" t="s">
        <v>612</v>
      </c>
      <c r="R333">
        <v>288</v>
      </c>
    </row>
    <row r="334" spans="2:18">
      <c r="B334">
        <v>35</v>
      </c>
      <c r="C334" s="28" t="s">
        <v>519</v>
      </c>
      <c r="D334" s="28" t="s">
        <v>520</v>
      </c>
      <c r="E334" t="s">
        <v>813</v>
      </c>
      <c r="F334" t="s">
        <v>783</v>
      </c>
      <c r="G334" t="s">
        <v>583</v>
      </c>
      <c r="H334" t="s">
        <v>767</v>
      </c>
      <c r="I334" t="s">
        <v>788</v>
      </c>
      <c r="K334" t="s">
        <v>686</v>
      </c>
      <c r="L334" t="s">
        <v>518</v>
      </c>
      <c r="M334" t="s">
        <v>526</v>
      </c>
      <c r="N334" t="s">
        <v>687</v>
      </c>
      <c r="O334" t="s">
        <v>526</v>
      </c>
      <c r="P334">
        <v>1</v>
      </c>
      <c r="Q334" t="s">
        <v>603</v>
      </c>
      <c r="R334">
        <v>290</v>
      </c>
    </row>
    <row r="335" spans="2:18">
      <c r="B335">
        <v>37</v>
      </c>
      <c r="C335" s="28" t="s">
        <v>519</v>
      </c>
      <c r="D335" s="28" t="s">
        <v>520</v>
      </c>
      <c r="E335" t="s">
        <v>813</v>
      </c>
      <c r="F335" t="s">
        <v>783</v>
      </c>
      <c r="G335" t="s">
        <v>534</v>
      </c>
      <c r="H335" t="s">
        <v>664</v>
      </c>
      <c r="I335" t="s">
        <v>665</v>
      </c>
      <c r="K335" t="s">
        <v>688</v>
      </c>
      <c r="L335" t="s">
        <v>518</v>
      </c>
      <c r="M335" t="s">
        <v>526</v>
      </c>
      <c r="N335" t="s">
        <v>689</v>
      </c>
      <c r="O335" t="s">
        <v>526</v>
      </c>
      <c r="P335">
        <v>1</v>
      </c>
      <c r="Q335" t="s">
        <v>539</v>
      </c>
      <c r="R335">
        <v>100</v>
      </c>
    </row>
    <row r="336" spans="2:18">
      <c r="B336">
        <v>38</v>
      </c>
      <c r="C336" s="28" t="s">
        <v>519</v>
      </c>
      <c r="D336" s="28" t="s">
        <v>520</v>
      </c>
      <c r="E336" t="s">
        <v>813</v>
      </c>
      <c r="F336" t="s">
        <v>783</v>
      </c>
      <c r="G336" t="s">
        <v>741</v>
      </c>
      <c r="H336" t="s">
        <v>789</v>
      </c>
      <c r="I336" t="s">
        <v>790</v>
      </c>
      <c r="K336" t="s">
        <v>690</v>
      </c>
      <c r="L336" t="s">
        <v>518</v>
      </c>
      <c r="M336" t="s">
        <v>526</v>
      </c>
      <c r="N336" t="s">
        <v>691</v>
      </c>
      <c r="O336" t="s">
        <v>526</v>
      </c>
      <c r="P336">
        <v>1</v>
      </c>
      <c r="Q336" t="s">
        <v>616</v>
      </c>
      <c r="R336">
        <v>55</v>
      </c>
    </row>
    <row r="337" spans="2:18">
      <c r="B337">
        <v>39</v>
      </c>
      <c r="C337" s="28" t="s">
        <v>519</v>
      </c>
      <c r="D337" s="28" t="s">
        <v>520</v>
      </c>
      <c r="E337" t="s">
        <v>813</v>
      </c>
      <c r="F337" t="s">
        <v>752</v>
      </c>
      <c r="G337" t="s">
        <v>534</v>
      </c>
      <c r="H337" t="s">
        <v>791</v>
      </c>
      <c r="I337" t="s">
        <v>792</v>
      </c>
      <c r="K337" t="s">
        <v>692</v>
      </c>
      <c r="L337" t="s">
        <v>518</v>
      </c>
      <c r="M337" t="s">
        <v>526</v>
      </c>
      <c r="N337" t="s">
        <v>582</v>
      </c>
      <c r="O337" t="s">
        <v>526</v>
      </c>
      <c r="P337">
        <v>1</v>
      </c>
      <c r="Q337" t="s">
        <v>539</v>
      </c>
      <c r="R337">
        <v>66.26</v>
      </c>
    </row>
    <row r="338" spans="2:18">
      <c r="B338">
        <v>40</v>
      </c>
      <c r="C338" s="28" t="s">
        <v>519</v>
      </c>
      <c r="D338" s="28" t="s">
        <v>520</v>
      </c>
      <c r="E338" t="s">
        <v>813</v>
      </c>
      <c r="F338" t="s">
        <v>752</v>
      </c>
      <c r="G338" t="s">
        <v>522</v>
      </c>
      <c r="H338" t="s">
        <v>793</v>
      </c>
      <c r="I338" t="s">
        <v>794</v>
      </c>
      <c r="K338" t="s">
        <v>693</v>
      </c>
      <c r="L338" t="s">
        <v>518</v>
      </c>
      <c r="M338" t="s">
        <v>526</v>
      </c>
      <c r="N338" t="s">
        <v>694</v>
      </c>
      <c r="O338" t="s">
        <v>526</v>
      </c>
      <c r="P338">
        <v>1</v>
      </c>
      <c r="Q338" t="s">
        <v>539</v>
      </c>
      <c r="R338">
        <v>101</v>
      </c>
    </row>
    <row r="339" spans="2:18">
      <c r="B339">
        <v>41</v>
      </c>
      <c r="C339" s="28" t="s">
        <v>519</v>
      </c>
      <c r="D339" s="28" t="s">
        <v>520</v>
      </c>
      <c r="E339" t="s">
        <v>813</v>
      </c>
      <c r="F339" t="s">
        <v>752</v>
      </c>
      <c r="G339" t="s">
        <v>574</v>
      </c>
      <c r="H339" t="s">
        <v>755</v>
      </c>
      <c r="I339" t="s">
        <v>756</v>
      </c>
      <c r="K339" t="s">
        <v>695</v>
      </c>
      <c r="L339" t="s">
        <v>518</v>
      </c>
      <c r="M339" t="s">
        <v>526</v>
      </c>
      <c r="N339" t="s">
        <v>696</v>
      </c>
      <c r="O339" t="s">
        <v>526</v>
      </c>
      <c r="P339">
        <v>1</v>
      </c>
      <c r="Q339" t="s">
        <v>539</v>
      </c>
      <c r="R339">
        <v>418</v>
      </c>
    </row>
    <row r="340" spans="2:18">
      <c r="B340">
        <v>42</v>
      </c>
      <c r="C340" s="28" t="s">
        <v>519</v>
      </c>
      <c r="D340" s="28" t="s">
        <v>520</v>
      </c>
      <c r="E340" t="s">
        <v>813</v>
      </c>
      <c r="F340" t="s">
        <v>752</v>
      </c>
      <c r="G340" t="s">
        <v>574</v>
      </c>
      <c r="H340" t="s">
        <v>771</v>
      </c>
      <c r="I340" t="s">
        <v>772</v>
      </c>
      <c r="K340" t="s">
        <v>697</v>
      </c>
      <c r="L340" t="s">
        <v>518</v>
      </c>
      <c r="M340" t="s">
        <v>526</v>
      </c>
      <c r="N340" t="s">
        <v>698</v>
      </c>
      <c r="O340" t="s">
        <v>526</v>
      </c>
      <c r="P340">
        <v>1</v>
      </c>
      <c r="Q340" t="s">
        <v>539</v>
      </c>
      <c r="R340">
        <v>37</v>
      </c>
    </row>
    <row r="341" spans="2:18">
      <c r="B341">
        <v>43</v>
      </c>
      <c r="C341" s="28" t="s">
        <v>519</v>
      </c>
      <c r="D341" s="28" t="s">
        <v>520</v>
      </c>
      <c r="E341" t="s">
        <v>813</v>
      </c>
      <c r="F341" t="s">
        <v>752</v>
      </c>
      <c r="G341" t="s">
        <v>545</v>
      </c>
      <c r="H341" t="s">
        <v>546</v>
      </c>
      <c r="I341" t="s">
        <v>795</v>
      </c>
      <c r="K341" t="s">
        <v>670</v>
      </c>
      <c r="L341" t="s">
        <v>518</v>
      </c>
      <c r="M341" t="s">
        <v>526</v>
      </c>
      <c r="N341" t="s">
        <v>671</v>
      </c>
      <c r="O341" t="s">
        <v>526</v>
      </c>
      <c r="P341">
        <v>1</v>
      </c>
      <c r="Q341" t="s">
        <v>672</v>
      </c>
      <c r="R341">
        <v>370</v>
      </c>
    </row>
    <row r="342" spans="2:18">
      <c r="B342">
        <v>44</v>
      </c>
      <c r="C342" s="28" t="s">
        <v>519</v>
      </c>
      <c r="D342" s="28" t="s">
        <v>520</v>
      </c>
      <c r="E342" t="s">
        <v>813</v>
      </c>
      <c r="F342" t="s">
        <v>752</v>
      </c>
      <c r="G342" t="s">
        <v>545</v>
      </c>
      <c r="H342" t="s">
        <v>765</v>
      </c>
      <c r="I342" t="s">
        <v>766</v>
      </c>
      <c r="K342" t="s">
        <v>675</v>
      </c>
      <c r="L342" t="s">
        <v>518</v>
      </c>
      <c r="M342" t="s">
        <v>526</v>
      </c>
      <c r="N342" t="s">
        <v>676</v>
      </c>
      <c r="O342" t="s">
        <v>526</v>
      </c>
      <c r="P342">
        <v>1</v>
      </c>
      <c r="Q342" t="s">
        <v>558</v>
      </c>
      <c r="R342">
        <v>4.7</v>
      </c>
    </row>
    <row r="343" spans="2:18">
      <c r="B343">
        <v>45</v>
      </c>
      <c r="C343" s="28" t="s">
        <v>519</v>
      </c>
      <c r="D343" s="28" t="s">
        <v>520</v>
      </c>
      <c r="E343" t="s">
        <v>813</v>
      </c>
      <c r="F343" t="s">
        <v>752</v>
      </c>
      <c r="G343" t="s">
        <v>534</v>
      </c>
      <c r="H343" t="s">
        <v>664</v>
      </c>
      <c r="I343" t="s">
        <v>665</v>
      </c>
      <c r="K343" t="s">
        <v>699</v>
      </c>
      <c r="L343" t="s">
        <v>518</v>
      </c>
      <c r="M343" t="s">
        <v>526</v>
      </c>
      <c r="N343" t="s">
        <v>700</v>
      </c>
      <c r="O343" t="s">
        <v>526</v>
      </c>
      <c r="P343">
        <v>1</v>
      </c>
      <c r="Q343" t="s">
        <v>623</v>
      </c>
      <c r="R343">
        <v>370</v>
      </c>
    </row>
    <row r="344" spans="2:18">
      <c r="B344">
        <v>46</v>
      </c>
      <c r="C344" s="28" t="s">
        <v>519</v>
      </c>
      <c r="D344" s="28" t="s">
        <v>520</v>
      </c>
      <c r="E344" t="s">
        <v>814</v>
      </c>
      <c r="F344" t="s">
        <v>783</v>
      </c>
      <c r="G344" t="s">
        <v>574</v>
      </c>
      <c r="H344" t="s">
        <v>755</v>
      </c>
      <c r="I344" t="s">
        <v>756</v>
      </c>
      <c r="K344" t="s">
        <v>701</v>
      </c>
      <c r="L344" t="s">
        <v>518</v>
      </c>
      <c r="M344" t="s">
        <v>526</v>
      </c>
      <c r="N344" t="s">
        <v>702</v>
      </c>
      <c r="O344" t="s">
        <v>526</v>
      </c>
      <c r="P344">
        <v>1</v>
      </c>
      <c r="Q344" t="s">
        <v>539</v>
      </c>
      <c r="R344">
        <v>39.5</v>
      </c>
    </row>
    <row r="345" spans="2:18">
      <c r="B345">
        <v>47</v>
      </c>
      <c r="C345" s="28" t="s">
        <v>519</v>
      </c>
      <c r="D345" s="28" t="s">
        <v>520</v>
      </c>
      <c r="E345" t="s">
        <v>814</v>
      </c>
      <c r="F345" t="s">
        <v>783</v>
      </c>
      <c r="G345" t="s">
        <v>545</v>
      </c>
      <c r="H345" t="s">
        <v>784</v>
      </c>
      <c r="I345" t="s">
        <v>785</v>
      </c>
      <c r="K345" t="s">
        <v>703</v>
      </c>
      <c r="L345" t="s">
        <v>518</v>
      </c>
      <c r="M345" t="s">
        <v>526</v>
      </c>
      <c r="N345" t="s">
        <v>702</v>
      </c>
      <c r="O345" t="s">
        <v>526</v>
      </c>
      <c r="P345">
        <v>1</v>
      </c>
      <c r="Q345" t="s">
        <v>539</v>
      </c>
      <c r="R345">
        <v>17.2</v>
      </c>
    </row>
    <row r="346" spans="2:18">
      <c r="B346">
        <v>1</v>
      </c>
      <c r="C346" s="28" t="s">
        <v>519</v>
      </c>
      <c r="D346" s="28" t="s">
        <v>520</v>
      </c>
      <c r="E346" t="s">
        <v>814</v>
      </c>
      <c r="F346" t="s">
        <v>783</v>
      </c>
      <c r="G346" t="s">
        <v>574</v>
      </c>
      <c r="H346" t="s">
        <v>771</v>
      </c>
      <c r="I346" t="s">
        <v>772</v>
      </c>
      <c r="K346" t="s">
        <v>525</v>
      </c>
      <c r="L346" t="s">
        <v>518</v>
      </c>
      <c r="M346" t="s">
        <v>526</v>
      </c>
      <c r="N346" t="s">
        <v>527</v>
      </c>
      <c r="O346" t="s">
        <v>526</v>
      </c>
      <c r="P346">
        <v>1</v>
      </c>
      <c r="Q346" t="s">
        <v>528</v>
      </c>
      <c r="R346">
        <v>920</v>
      </c>
    </row>
    <row r="347" spans="2:18">
      <c r="B347">
        <v>2</v>
      </c>
      <c r="C347" s="28" t="s">
        <v>519</v>
      </c>
      <c r="D347" s="28" t="s">
        <v>520</v>
      </c>
      <c r="E347" t="s">
        <v>814</v>
      </c>
      <c r="F347" t="s">
        <v>783</v>
      </c>
      <c r="G347" t="s">
        <v>735</v>
      </c>
      <c r="H347" t="s">
        <v>736</v>
      </c>
      <c r="I347" t="s">
        <v>770</v>
      </c>
      <c r="K347" t="s">
        <v>531</v>
      </c>
      <c r="L347" t="s">
        <v>518</v>
      </c>
      <c r="M347" t="s">
        <v>526</v>
      </c>
      <c r="N347" t="s">
        <v>532</v>
      </c>
      <c r="O347" t="s">
        <v>526</v>
      </c>
      <c r="P347">
        <v>1</v>
      </c>
      <c r="Q347" t="s">
        <v>533</v>
      </c>
      <c r="R347">
        <v>380</v>
      </c>
    </row>
    <row r="348" spans="2:18">
      <c r="B348">
        <v>3</v>
      </c>
      <c r="C348" s="28" t="s">
        <v>519</v>
      </c>
      <c r="D348" s="28" t="s">
        <v>520</v>
      </c>
      <c r="E348" t="s">
        <v>814</v>
      </c>
      <c r="F348" t="s">
        <v>783</v>
      </c>
      <c r="G348" t="s">
        <v>545</v>
      </c>
      <c r="H348" t="s">
        <v>776</v>
      </c>
      <c r="I348" t="s">
        <v>777</v>
      </c>
      <c r="K348" t="s">
        <v>537</v>
      </c>
      <c r="L348" t="s">
        <v>518</v>
      </c>
      <c r="M348" t="s">
        <v>526</v>
      </c>
      <c r="N348" t="s">
        <v>538</v>
      </c>
      <c r="O348" t="s">
        <v>526</v>
      </c>
      <c r="P348">
        <v>1</v>
      </c>
      <c r="Q348" t="s">
        <v>539</v>
      </c>
      <c r="R348">
        <v>14</v>
      </c>
    </row>
    <row r="349" spans="2:18">
      <c r="B349">
        <v>4</v>
      </c>
      <c r="C349" s="28" t="s">
        <v>519</v>
      </c>
      <c r="D349" s="28" t="s">
        <v>520</v>
      </c>
      <c r="E349" t="s">
        <v>814</v>
      </c>
      <c r="F349" t="s">
        <v>783</v>
      </c>
      <c r="G349" t="s">
        <v>545</v>
      </c>
      <c r="H349" t="s">
        <v>778</v>
      </c>
      <c r="I349" t="s">
        <v>779</v>
      </c>
      <c r="K349" t="s">
        <v>542</v>
      </c>
      <c r="L349" t="s">
        <v>518</v>
      </c>
      <c r="M349" t="s">
        <v>526</v>
      </c>
      <c r="N349" t="s">
        <v>543</v>
      </c>
      <c r="O349" t="s">
        <v>526</v>
      </c>
      <c r="P349">
        <v>1</v>
      </c>
      <c r="Q349" t="s">
        <v>539</v>
      </c>
      <c r="R349">
        <v>33</v>
      </c>
    </row>
    <row r="350" spans="2:18">
      <c r="B350">
        <v>5</v>
      </c>
      <c r="C350" s="28" t="s">
        <v>519</v>
      </c>
      <c r="D350" s="28" t="s">
        <v>520</v>
      </c>
      <c r="E350" t="s">
        <v>814</v>
      </c>
      <c r="F350" t="s">
        <v>783</v>
      </c>
      <c r="G350" t="s">
        <v>545</v>
      </c>
      <c r="H350" t="s">
        <v>786</v>
      </c>
      <c r="I350" t="s">
        <v>787</v>
      </c>
      <c r="K350" t="s">
        <v>548</v>
      </c>
      <c r="L350" t="s">
        <v>518</v>
      </c>
      <c r="M350" t="s">
        <v>526</v>
      </c>
      <c r="N350" t="s">
        <v>549</v>
      </c>
      <c r="O350" t="s">
        <v>526</v>
      </c>
      <c r="P350">
        <v>1</v>
      </c>
      <c r="Q350" t="s">
        <v>539</v>
      </c>
      <c r="R350">
        <v>0</v>
      </c>
    </row>
    <row r="351" spans="2:18">
      <c r="B351">
        <v>6</v>
      </c>
      <c r="C351" s="28" t="s">
        <v>519</v>
      </c>
      <c r="D351" s="28" t="s">
        <v>520</v>
      </c>
      <c r="E351" t="s">
        <v>814</v>
      </c>
      <c r="F351" t="s">
        <v>783</v>
      </c>
      <c r="G351" t="s">
        <v>545</v>
      </c>
      <c r="H351" t="s">
        <v>579</v>
      </c>
      <c r="I351" t="s">
        <v>580</v>
      </c>
      <c r="K351" t="s">
        <v>553</v>
      </c>
      <c r="L351" t="s">
        <v>518</v>
      </c>
      <c r="M351" t="s">
        <v>526</v>
      </c>
      <c r="N351" t="s">
        <v>554</v>
      </c>
      <c r="O351" t="s">
        <v>526</v>
      </c>
      <c r="P351">
        <v>1</v>
      </c>
      <c r="Q351" t="s">
        <v>539</v>
      </c>
      <c r="R351">
        <v>223</v>
      </c>
    </row>
    <row r="352" spans="2:18">
      <c r="B352">
        <v>7</v>
      </c>
      <c r="C352" s="28" t="s">
        <v>519</v>
      </c>
      <c r="D352" s="28" t="s">
        <v>520</v>
      </c>
      <c r="E352" t="s">
        <v>814</v>
      </c>
      <c r="F352" t="s">
        <v>783</v>
      </c>
      <c r="G352" t="s">
        <v>583</v>
      </c>
      <c r="H352" t="s">
        <v>767</v>
      </c>
      <c r="I352" t="s">
        <v>788</v>
      </c>
      <c r="K352" t="s">
        <v>557</v>
      </c>
      <c r="L352" t="s">
        <v>518</v>
      </c>
      <c r="M352" t="s">
        <v>526</v>
      </c>
      <c r="N352" t="s">
        <v>526</v>
      </c>
      <c r="O352" t="s">
        <v>526</v>
      </c>
      <c r="P352">
        <v>1</v>
      </c>
      <c r="Q352" t="s">
        <v>558</v>
      </c>
      <c r="R352">
        <v>640</v>
      </c>
    </row>
    <row r="353" spans="2:18">
      <c r="B353">
        <v>8</v>
      </c>
      <c r="C353" s="28" t="s">
        <v>519</v>
      </c>
      <c r="D353" s="28" t="s">
        <v>520</v>
      </c>
      <c r="E353" t="s">
        <v>814</v>
      </c>
      <c r="F353" t="s">
        <v>783</v>
      </c>
      <c r="G353" t="s">
        <v>534</v>
      </c>
      <c r="H353" t="s">
        <v>664</v>
      </c>
      <c r="I353" t="s">
        <v>665</v>
      </c>
      <c r="K353" t="s">
        <v>561</v>
      </c>
      <c r="L353" t="s">
        <v>518</v>
      </c>
      <c r="M353" t="s">
        <v>526</v>
      </c>
      <c r="N353" t="s">
        <v>526</v>
      </c>
      <c r="O353" t="s">
        <v>526</v>
      </c>
      <c r="P353">
        <v>1</v>
      </c>
      <c r="Q353" t="s">
        <v>558</v>
      </c>
      <c r="R353">
        <v>425</v>
      </c>
    </row>
    <row r="354" spans="2:18">
      <c r="B354">
        <v>9</v>
      </c>
      <c r="C354" s="28" t="s">
        <v>519</v>
      </c>
      <c r="D354" s="28" t="s">
        <v>520</v>
      </c>
      <c r="E354" t="s">
        <v>814</v>
      </c>
      <c r="F354" t="s">
        <v>783</v>
      </c>
      <c r="G354" t="s">
        <v>741</v>
      </c>
      <c r="H354" t="s">
        <v>789</v>
      </c>
      <c r="I354" t="s">
        <v>790</v>
      </c>
      <c r="K354" t="s">
        <v>809</v>
      </c>
      <c r="L354" t="s">
        <v>518</v>
      </c>
      <c r="M354" t="s">
        <v>526</v>
      </c>
      <c r="N354" t="s">
        <v>810</v>
      </c>
      <c r="O354" t="s">
        <v>526</v>
      </c>
      <c r="P354">
        <v>1</v>
      </c>
      <c r="Q354" t="s">
        <v>539</v>
      </c>
      <c r="R354">
        <v>922</v>
      </c>
    </row>
    <row r="355" spans="2:18">
      <c r="B355">
        <v>10</v>
      </c>
      <c r="C355" s="28" t="s">
        <v>519</v>
      </c>
      <c r="D355" s="28" t="s">
        <v>520</v>
      </c>
      <c r="E355" t="s">
        <v>814</v>
      </c>
      <c r="F355" t="s">
        <v>752</v>
      </c>
      <c r="G355" t="s">
        <v>534</v>
      </c>
      <c r="H355" t="s">
        <v>791</v>
      </c>
      <c r="I355" t="s">
        <v>792</v>
      </c>
      <c r="K355" t="s">
        <v>569</v>
      </c>
      <c r="L355" t="s">
        <v>518</v>
      </c>
      <c r="M355" t="s">
        <v>526</v>
      </c>
      <c r="N355" t="s">
        <v>526</v>
      </c>
      <c r="O355" t="s">
        <v>526</v>
      </c>
      <c r="P355">
        <v>1</v>
      </c>
      <c r="Q355" t="s">
        <v>539</v>
      </c>
      <c r="R355">
        <v>1680</v>
      </c>
    </row>
    <row r="356" spans="2:18">
      <c r="B356">
        <v>11</v>
      </c>
      <c r="C356" s="28" t="s">
        <v>519</v>
      </c>
      <c r="D356" s="28" t="s">
        <v>520</v>
      </c>
      <c r="E356" t="s">
        <v>814</v>
      </c>
      <c r="F356" t="s">
        <v>752</v>
      </c>
      <c r="G356" t="s">
        <v>522</v>
      </c>
      <c r="H356" t="s">
        <v>793</v>
      </c>
      <c r="I356" t="s">
        <v>794</v>
      </c>
      <c r="K356" t="s">
        <v>572</v>
      </c>
      <c r="L356" t="s">
        <v>518</v>
      </c>
      <c r="M356" t="s">
        <v>526</v>
      </c>
      <c r="N356" t="s">
        <v>573</v>
      </c>
      <c r="O356" t="s">
        <v>526</v>
      </c>
      <c r="P356">
        <v>1</v>
      </c>
      <c r="Q356" t="s">
        <v>539</v>
      </c>
      <c r="R356">
        <v>10</v>
      </c>
    </row>
    <row r="357" spans="2:18">
      <c r="B357">
        <v>12</v>
      </c>
      <c r="C357" s="28" t="s">
        <v>519</v>
      </c>
      <c r="D357" s="28" t="s">
        <v>520</v>
      </c>
      <c r="E357" t="s">
        <v>814</v>
      </c>
      <c r="F357" t="s">
        <v>752</v>
      </c>
      <c r="G357" t="s">
        <v>574</v>
      </c>
      <c r="H357" t="s">
        <v>755</v>
      </c>
      <c r="I357" t="s">
        <v>756</v>
      </c>
      <c r="K357" t="s">
        <v>577</v>
      </c>
      <c r="L357" t="s">
        <v>518</v>
      </c>
      <c r="M357" t="s">
        <v>526</v>
      </c>
      <c r="N357" t="s">
        <v>578</v>
      </c>
      <c r="O357" t="s">
        <v>526</v>
      </c>
      <c r="P357">
        <v>1</v>
      </c>
      <c r="Q357" t="s">
        <v>539</v>
      </c>
      <c r="R357">
        <v>74</v>
      </c>
    </row>
    <row r="358" spans="2:18">
      <c r="B358">
        <v>13</v>
      </c>
      <c r="C358" s="28" t="s">
        <v>519</v>
      </c>
      <c r="D358" s="28" t="s">
        <v>520</v>
      </c>
      <c r="E358" t="s">
        <v>814</v>
      </c>
      <c r="F358" t="s">
        <v>752</v>
      </c>
      <c r="G358" t="s">
        <v>574</v>
      </c>
      <c r="H358" t="s">
        <v>771</v>
      </c>
      <c r="I358" t="s">
        <v>772</v>
      </c>
      <c r="K358" t="s">
        <v>581</v>
      </c>
      <c r="L358" t="s">
        <v>518</v>
      </c>
      <c r="M358" t="s">
        <v>526</v>
      </c>
      <c r="N358" t="s">
        <v>582</v>
      </c>
      <c r="O358" t="s">
        <v>526</v>
      </c>
      <c r="P358">
        <v>1</v>
      </c>
      <c r="Q358" t="s">
        <v>539</v>
      </c>
      <c r="R358">
        <v>84</v>
      </c>
    </row>
    <row r="359" spans="2:18">
      <c r="B359">
        <v>14</v>
      </c>
      <c r="C359" s="28" t="s">
        <v>519</v>
      </c>
      <c r="D359" s="28" t="s">
        <v>520</v>
      </c>
      <c r="E359" t="s">
        <v>814</v>
      </c>
      <c r="F359" t="s">
        <v>752</v>
      </c>
      <c r="G359" t="s">
        <v>545</v>
      </c>
      <c r="H359" t="s">
        <v>546</v>
      </c>
      <c r="I359" t="s">
        <v>795</v>
      </c>
      <c r="K359" t="s">
        <v>586</v>
      </c>
      <c r="L359" t="s">
        <v>518</v>
      </c>
      <c r="M359" t="s">
        <v>526</v>
      </c>
      <c r="N359" t="s">
        <v>587</v>
      </c>
      <c r="O359" t="s">
        <v>526</v>
      </c>
      <c r="P359">
        <v>1</v>
      </c>
      <c r="Q359" t="s">
        <v>539</v>
      </c>
      <c r="R359">
        <v>165</v>
      </c>
    </row>
    <row r="360" spans="2:18">
      <c r="B360">
        <v>15</v>
      </c>
      <c r="C360" s="28" t="s">
        <v>519</v>
      </c>
      <c r="D360" s="28" t="s">
        <v>520</v>
      </c>
      <c r="E360" t="s">
        <v>814</v>
      </c>
      <c r="F360" t="s">
        <v>752</v>
      </c>
      <c r="G360" t="s">
        <v>545</v>
      </c>
      <c r="H360" t="s">
        <v>765</v>
      </c>
      <c r="I360" t="s">
        <v>766</v>
      </c>
      <c r="K360" t="s">
        <v>590</v>
      </c>
      <c r="L360" t="s">
        <v>518</v>
      </c>
      <c r="M360" t="s">
        <v>526</v>
      </c>
      <c r="N360" t="s">
        <v>526</v>
      </c>
      <c r="O360" t="s">
        <v>526</v>
      </c>
      <c r="P360">
        <v>1</v>
      </c>
      <c r="Q360" t="s">
        <v>539</v>
      </c>
      <c r="R360">
        <v>43</v>
      </c>
    </row>
    <row r="361" spans="2:18">
      <c r="B361">
        <v>16</v>
      </c>
      <c r="C361" s="28" t="s">
        <v>519</v>
      </c>
      <c r="D361" s="28" t="s">
        <v>520</v>
      </c>
      <c r="E361" t="s">
        <v>814</v>
      </c>
      <c r="F361" t="s">
        <v>752</v>
      </c>
      <c r="G361" t="s">
        <v>534</v>
      </c>
      <c r="H361" t="s">
        <v>664</v>
      </c>
      <c r="I361" t="s">
        <v>665</v>
      </c>
      <c r="K361" t="s">
        <v>594</v>
      </c>
      <c r="L361" t="s">
        <v>518</v>
      </c>
      <c r="M361" t="s">
        <v>526</v>
      </c>
      <c r="N361" t="s">
        <v>582</v>
      </c>
      <c r="O361" t="s">
        <v>526</v>
      </c>
      <c r="P361">
        <v>1</v>
      </c>
      <c r="Q361" t="s">
        <v>539</v>
      </c>
      <c r="R361">
        <v>425</v>
      </c>
    </row>
    <row r="362" spans="2:18">
      <c r="B362">
        <v>17</v>
      </c>
      <c r="C362" s="28" t="s">
        <v>519</v>
      </c>
      <c r="D362" s="28" t="s">
        <v>520</v>
      </c>
      <c r="E362" t="s">
        <v>815</v>
      </c>
      <c r="F362" t="s">
        <v>783</v>
      </c>
      <c r="G362" t="s">
        <v>574</v>
      </c>
      <c r="H362" t="s">
        <v>755</v>
      </c>
      <c r="I362" t="s">
        <v>756</v>
      </c>
      <c r="K362" t="s">
        <v>597</v>
      </c>
      <c r="L362" t="s">
        <v>518</v>
      </c>
      <c r="M362" t="s">
        <v>526</v>
      </c>
      <c r="N362" t="s">
        <v>598</v>
      </c>
      <c r="O362" t="s">
        <v>526</v>
      </c>
      <c r="P362">
        <v>1</v>
      </c>
      <c r="Q362" t="s">
        <v>539</v>
      </c>
      <c r="R362">
        <v>77</v>
      </c>
    </row>
    <row r="363" spans="2:18">
      <c r="B363">
        <v>18</v>
      </c>
      <c r="C363" s="28" t="s">
        <v>519</v>
      </c>
      <c r="D363" s="28" t="s">
        <v>520</v>
      </c>
      <c r="E363" t="s">
        <v>815</v>
      </c>
      <c r="F363" t="s">
        <v>783</v>
      </c>
      <c r="G363" t="s">
        <v>545</v>
      </c>
      <c r="H363" t="s">
        <v>784</v>
      </c>
      <c r="I363" t="s">
        <v>785</v>
      </c>
      <c r="K363" t="s">
        <v>816</v>
      </c>
      <c r="L363" t="s">
        <v>518</v>
      </c>
      <c r="M363" t="s">
        <v>526</v>
      </c>
      <c r="N363" t="s">
        <v>817</v>
      </c>
      <c r="O363" t="s">
        <v>526</v>
      </c>
      <c r="P363">
        <v>1</v>
      </c>
      <c r="Q363" t="s">
        <v>612</v>
      </c>
      <c r="R363">
        <v>414</v>
      </c>
    </row>
    <row r="364" spans="2:18">
      <c r="B364">
        <v>19</v>
      </c>
      <c r="C364" s="28" t="s">
        <v>519</v>
      </c>
      <c r="D364" s="28" t="s">
        <v>520</v>
      </c>
      <c r="E364" t="s">
        <v>815</v>
      </c>
      <c r="F364" t="s">
        <v>783</v>
      </c>
      <c r="G364" t="s">
        <v>574</v>
      </c>
      <c r="H364" t="s">
        <v>771</v>
      </c>
      <c r="I364" t="s">
        <v>772</v>
      </c>
      <c r="K364" t="s">
        <v>611</v>
      </c>
      <c r="L364" t="s">
        <v>518</v>
      </c>
      <c r="M364" t="s">
        <v>526</v>
      </c>
      <c r="N364" t="s">
        <v>608</v>
      </c>
      <c r="O364" t="s">
        <v>526</v>
      </c>
      <c r="P364">
        <v>1</v>
      </c>
      <c r="Q364" t="s">
        <v>612</v>
      </c>
      <c r="R364">
        <v>77</v>
      </c>
    </row>
    <row r="365" spans="2:18">
      <c r="B365">
        <v>19</v>
      </c>
      <c r="C365" s="28" t="s">
        <v>519</v>
      </c>
      <c r="D365" s="28" t="s">
        <v>520</v>
      </c>
      <c r="E365" t="s">
        <v>815</v>
      </c>
      <c r="F365" t="s">
        <v>783</v>
      </c>
      <c r="G365" t="s">
        <v>735</v>
      </c>
      <c r="H365" t="s">
        <v>736</v>
      </c>
      <c r="I365" t="s">
        <v>770</v>
      </c>
      <c r="K365" t="s">
        <v>614</v>
      </c>
      <c r="L365" t="s">
        <v>518</v>
      </c>
      <c r="M365" t="s">
        <v>526</v>
      </c>
      <c r="N365" t="s">
        <v>615</v>
      </c>
      <c r="O365" t="s">
        <v>526</v>
      </c>
      <c r="P365">
        <v>1</v>
      </c>
      <c r="Q365" t="s">
        <v>616</v>
      </c>
      <c r="R365">
        <v>53</v>
      </c>
    </row>
    <row r="366" spans="2:18">
      <c r="B366">
        <v>19</v>
      </c>
      <c r="C366" s="28" t="s">
        <v>519</v>
      </c>
      <c r="D366" s="28" t="s">
        <v>520</v>
      </c>
      <c r="E366" t="s">
        <v>815</v>
      </c>
      <c r="F366" t="s">
        <v>783</v>
      </c>
      <c r="G366" t="s">
        <v>545</v>
      </c>
      <c r="H366" t="s">
        <v>776</v>
      </c>
      <c r="I366" t="s">
        <v>777</v>
      </c>
      <c r="K366" t="s">
        <v>619</v>
      </c>
      <c r="L366" t="s">
        <v>518</v>
      </c>
      <c r="M366" t="s">
        <v>526</v>
      </c>
      <c r="N366" t="s">
        <v>620</v>
      </c>
      <c r="O366" t="s">
        <v>526</v>
      </c>
      <c r="P366">
        <v>1</v>
      </c>
      <c r="Q366" t="s">
        <v>539</v>
      </c>
      <c r="R366">
        <v>81</v>
      </c>
    </row>
    <row r="367" spans="2:18">
      <c r="B367">
        <v>20</v>
      </c>
      <c r="C367" s="28" t="s">
        <v>519</v>
      </c>
      <c r="D367" s="28" t="s">
        <v>520</v>
      </c>
      <c r="E367" t="s">
        <v>815</v>
      </c>
      <c r="F367" t="s">
        <v>783</v>
      </c>
      <c r="G367" t="s">
        <v>545</v>
      </c>
      <c r="H367" t="s">
        <v>778</v>
      </c>
      <c r="I367" t="s">
        <v>779</v>
      </c>
      <c r="K367" t="s">
        <v>799</v>
      </c>
      <c r="L367" t="s">
        <v>518</v>
      </c>
      <c r="M367" t="s">
        <v>526</v>
      </c>
      <c r="N367" t="s">
        <v>526</v>
      </c>
      <c r="O367" t="s">
        <v>526</v>
      </c>
      <c r="P367">
        <v>1</v>
      </c>
      <c r="Q367" t="s">
        <v>623</v>
      </c>
      <c r="R367">
        <v>988</v>
      </c>
    </row>
    <row r="368" spans="2:18">
      <c r="B368">
        <v>24</v>
      </c>
      <c r="C368" s="28" t="s">
        <v>519</v>
      </c>
      <c r="D368" s="28" t="s">
        <v>520</v>
      </c>
      <c r="E368" t="s">
        <v>815</v>
      </c>
      <c r="F368" t="s">
        <v>783</v>
      </c>
      <c r="G368" t="s">
        <v>545</v>
      </c>
      <c r="H368" t="s">
        <v>786</v>
      </c>
      <c r="I368" t="s">
        <v>787</v>
      </c>
      <c r="K368" t="s">
        <v>626</v>
      </c>
      <c r="L368" t="s">
        <v>518</v>
      </c>
      <c r="M368" t="s">
        <v>526</v>
      </c>
      <c r="N368" t="s">
        <v>526</v>
      </c>
      <c r="O368" t="s">
        <v>526</v>
      </c>
      <c r="P368">
        <v>1</v>
      </c>
      <c r="Q368" t="s">
        <v>539</v>
      </c>
      <c r="R368">
        <v>41</v>
      </c>
    </row>
    <row r="369" spans="2:18">
      <c r="B369">
        <v>26</v>
      </c>
      <c r="C369" s="28" t="s">
        <v>519</v>
      </c>
      <c r="D369" s="28" t="s">
        <v>520</v>
      </c>
      <c r="E369" t="s">
        <v>815</v>
      </c>
      <c r="F369" t="s">
        <v>783</v>
      </c>
      <c r="G369" t="s">
        <v>545</v>
      </c>
      <c r="H369" t="s">
        <v>579</v>
      </c>
      <c r="I369" t="s">
        <v>580</v>
      </c>
      <c r="K369" t="s">
        <v>629</v>
      </c>
      <c r="L369" t="s">
        <v>518</v>
      </c>
      <c r="M369" t="s">
        <v>526</v>
      </c>
      <c r="N369" t="s">
        <v>630</v>
      </c>
      <c r="O369" t="s">
        <v>526</v>
      </c>
      <c r="P369">
        <v>1</v>
      </c>
      <c r="Q369" t="s">
        <v>558</v>
      </c>
      <c r="R369">
        <v>331</v>
      </c>
    </row>
    <row r="370" spans="2:18">
      <c r="B370">
        <v>27</v>
      </c>
      <c r="C370" s="28" t="s">
        <v>519</v>
      </c>
      <c r="D370" s="28" t="s">
        <v>520</v>
      </c>
      <c r="E370" t="s">
        <v>815</v>
      </c>
      <c r="F370" t="s">
        <v>783</v>
      </c>
      <c r="G370" t="s">
        <v>583</v>
      </c>
      <c r="H370" t="s">
        <v>767</v>
      </c>
      <c r="I370" t="s">
        <v>788</v>
      </c>
      <c r="K370" t="s">
        <v>634</v>
      </c>
      <c r="L370" t="s">
        <v>518</v>
      </c>
      <c r="M370" t="s">
        <v>526</v>
      </c>
      <c r="N370" t="s">
        <v>635</v>
      </c>
      <c r="O370" t="s">
        <v>526</v>
      </c>
      <c r="P370">
        <v>1</v>
      </c>
      <c r="Q370" t="s">
        <v>533</v>
      </c>
      <c r="R370">
        <v>92</v>
      </c>
    </row>
    <row r="371" spans="2:18">
      <c r="B371">
        <v>33</v>
      </c>
      <c r="C371" s="28" t="s">
        <v>519</v>
      </c>
      <c r="D371" s="28" t="s">
        <v>520</v>
      </c>
      <c r="E371" t="s">
        <v>815</v>
      </c>
      <c r="F371" t="s">
        <v>783</v>
      </c>
      <c r="G371" t="s">
        <v>534</v>
      </c>
      <c r="H371" t="s">
        <v>664</v>
      </c>
      <c r="I371" t="s">
        <v>665</v>
      </c>
      <c r="K371" t="s">
        <v>638</v>
      </c>
      <c r="L371" t="s">
        <v>518</v>
      </c>
      <c r="M371" t="s">
        <v>526</v>
      </c>
      <c r="N371" t="s">
        <v>526</v>
      </c>
      <c r="O371" t="s">
        <v>526</v>
      </c>
      <c r="P371">
        <v>1</v>
      </c>
      <c r="Q371" t="s">
        <v>639</v>
      </c>
      <c r="R371">
        <v>58</v>
      </c>
    </row>
    <row r="372" spans="2:18">
      <c r="B372">
        <v>20</v>
      </c>
      <c r="C372" s="28" t="s">
        <v>519</v>
      </c>
      <c r="D372" s="28" t="s">
        <v>520</v>
      </c>
      <c r="E372" t="s">
        <v>815</v>
      </c>
      <c r="F372" t="s">
        <v>783</v>
      </c>
      <c r="G372" t="s">
        <v>741</v>
      </c>
      <c r="H372" t="s">
        <v>789</v>
      </c>
      <c r="I372" t="s">
        <v>790</v>
      </c>
      <c r="K372" t="s">
        <v>800</v>
      </c>
      <c r="L372" t="s">
        <v>518</v>
      </c>
      <c r="M372" t="s">
        <v>526</v>
      </c>
      <c r="N372" t="s">
        <v>526</v>
      </c>
      <c r="O372" t="s">
        <v>526</v>
      </c>
      <c r="P372">
        <v>1</v>
      </c>
      <c r="Q372" t="s">
        <v>672</v>
      </c>
      <c r="R372">
        <v>595</v>
      </c>
    </row>
    <row r="373" spans="2:18">
      <c r="B373">
        <v>20</v>
      </c>
      <c r="C373" s="28" t="s">
        <v>519</v>
      </c>
      <c r="D373" s="28" t="s">
        <v>520</v>
      </c>
      <c r="E373" t="s">
        <v>815</v>
      </c>
      <c r="F373" t="s">
        <v>752</v>
      </c>
      <c r="G373" t="s">
        <v>534</v>
      </c>
      <c r="H373" t="s">
        <v>791</v>
      </c>
      <c r="I373" t="s">
        <v>792</v>
      </c>
      <c r="K373" t="s">
        <v>804</v>
      </c>
      <c r="L373" t="s">
        <v>518</v>
      </c>
      <c r="M373" t="s">
        <v>526</v>
      </c>
      <c r="N373" t="s">
        <v>805</v>
      </c>
      <c r="O373" t="s">
        <v>526</v>
      </c>
      <c r="P373">
        <v>1</v>
      </c>
      <c r="Q373" t="s">
        <v>539</v>
      </c>
      <c r="R373">
        <v>48</v>
      </c>
    </row>
    <row r="374" spans="2:18">
      <c r="B374">
        <v>20</v>
      </c>
      <c r="C374" s="28" t="s">
        <v>519</v>
      </c>
      <c r="D374" s="28" t="s">
        <v>520</v>
      </c>
      <c r="E374" t="s">
        <v>815</v>
      </c>
      <c r="F374" t="s">
        <v>752</v>
      </c>
      <c r="G374" t="s">
        <v>522</v>
      </c>
      <c r="H374" t="s">
        <v>793</v>
      </c>
      <c r="I374" t="s">
        <v>794</v>
      </c>
      <c r="K374" t="s">
        <v>806</v>
      </c>
      <c r="L374" t="s">
        <v>518</v>
      </c>
      <c r="M374" t="s">
        <v>526</v>
      </c>
      <c r="N374" t="s">
        <v>807</v>
      </c>
      <c r="O374" t="s">
        <v>526</v>
      </c>
      <c r="P374">
        <v>1</v>
      </c>
      <c r="Q374" t="s">
        <v>612</v>
      </c>
      <c r="R374">
        <v>288</v>
      </c>
    </row>
    <row r="375" spans="2:18">
      <c r="B375">
        <v>35</v>
      </c>
      <c r="C375" s="28" t="s">
        <v>519</v>
      </c>
      <c r="D375" s="28" t="s">
        <v>520</v>
      </c>
      <c r="E375" t="s">
        <v>815</v>
      </c>
      <c r="F375" t="s">
        <v>752</v>
      </c>
      <c r="G375" t="s">
        <v>574</v>
      </c>
      <c r="H375" t="s">
        <v>755</v>
      </c>
      <c r="I375" t="s">
        <v>756</v>
      </c>
      <c r="K375" t="s">
        <v>686</v>
      </c>
      <c r="L375" t="s">
        <v>518</v>
      </c>
      <c r="M375" t="s">
        <v>526</v>
      </c>
      <c r="N375" t="s">
        <v>687</v>
      </c>
      <c r="O375" t="s">
        <v>526</v>
      </c>
      <c r="P375">
        <v>1</v>
      </c>
      <c r="Q375" t="s">
        <v>603</v>
      </c>
      <c r="R375">
        <v>290</v>
      </c>
    </row>
    <row r="376" spans="2:18">
      <c r="B376">
        <v>37</v>
      </c>
      <c r="C376" s="28" t="s">
        <v>519</v>
      </c>
      <c r="D376" s="28" t="s">
        <v>520</v>
      </c>
      <c r="E376" t="s">
        <v>815</v>
      </c>
      <c r="F376" t="s">
        <v>752</v>
      </c>
      <c r="G376" t="s">
        <v>574</v>
      </c>
      <c r="H376" t="s">
        <v>771</v>
      </c>
      <c r="I376" t="s">
        <v>772</v>
      </c>
      <c r="K376" t="s">
        <v>688</v>
      </c>
      <c r="L376" t="s">
        <v>518</v>
      </c>
      <c r="M376" t="s">
        <v>526</v>
      </c>
      <c r="N376" t="s">
        <v>689</v>
      </c>
      <c r="O376" t="s">
        <v>526</v>
      </c>
      <c r="P376">
        <v>1</v>
      </c>
      <c r="Q376" t="s">
        <v>539</v>
      </c>
      <c r="R376">
        <v>100</v>
      </c>
    </row>
    <row r="377" spans="2:18">
      <c r="B377">
        <v>38</v>
      </c>
      <c r="C377" s="28" t="s">
        <v>519</v>
      </c>
      <c r="D377" s="28" t="s">
        <v>520</v>
      </c>
      <c r="E377" t="s">
        <v>815</v>
      </c>
      <c r="F377" t="s">
        <v>752</v>
      </c>
      <c r="G377" t="s">
        <v>545</v>
      </c>
      <c r="H377" t="s">
        <v>546</v>
      </c>
      <c r="I377" t="s">
        <v>795</v>
      </c>
      <c r="K377" t="s">
        <v>690</v>
      </c>
      <c r="L377" t="s">
        <v>518</v>
      </c>
      <c r="M377" t="s">
        <v>526</v>
      </c>
      <c r="N377" t="s">
        <v>691</v>
      </c>
      <c r="O377" t="s">
        <v>526</v>
      </c>
      <c r="P377">
        <v>1</v>
      </c>
      <c r="Q377" t="s">
        <v>616</v>
      </c>
      <c r="R377">
        <v>55</v>
      </c>
    </row>
    <row r="378" spans="2:18">
      <c r="B378">
        <v>39</v>
      </c>
      <c r="C378" s="28" t="s">
        <v>519</v>
      </c>
      <c r="D378" s="28" t="s">
        <v>520</v>
      </c>
      <c r="E378" t="s">
        <v>815</v>
      </c>
      <c r="F378" t="s">
        <v>752</v>
      </c>
      <c r="G378" t="s">
        <v>545</v>
      </c>
      <c r="H378" t="s">
        <v>765</v>
      </c>
      <c r="I378" t="s">
        <v>766</v>
      </c>
      <c r="K378" t="s">
        <v>692</v>
      </c>
      <c r="L378" t="s">
        <v>518</v>
      </c>
      <c r="M378" t="s">
        <v>526</v>
      </c>
      <c r="N378" t="s">
        <v>582</v>
      </c>
      <c r="O378" t="s">
        <v>526</v>
      </c>
      <c r="P378">
        <v>1</v>
      </c>
      <c r="Q378" t="s">
        <v>539</v>
      </c>
      <c r="R378">
        <v>66.26</v>
      </c>
    </row>
    <row r="379" spans="2:18">
      <c r="B379">
        <v>40</v>
      </c>
      <c r="C379" s="28" t="s">
        <v>519</v>
      </c>
      <c r="D379" s="28" t="s">
        <v>520</v>
      </c>
      <c r="E379" t="s">
        <v>815</v>
      </c>
      <c r="F379" t="s">
        <v>752</v>
      </c>
      <c r="G379" t="s">
        <v>534</v>
      </c>
      <c r="H379" t="s">
        <v>664</v>
      </c>
      <c r="I379" t="s">
        <v>665</v>
      </c>
      <c r="K379" t="s">
        <v>693</v>
      </c>
      <c r="L379" t="s">
        <v>518</v>
      </c>
      <c r="M379" t="s">
        <v>526</v>
      </c>
      <c r="N379" t="s">
        <v>694</v>
      </c>
      <c r="O379" t="s">
        <v>526</v>
      </c>
      <c r="P379">
        <v>1</v>
      </c>
      <c r="Q379" t="s">
        <v>539</v>
      </c>
      <c r="R379">
        <v>101</v>
      </c>
    </row>
    <row r="380" spans="2:18">
      <c r="B380">
        <v>41</v>
      </c>
      <c r="C380" s="28" t="s">
        <v>519</v>
      </c>
      <c r="D380" s="28" t="s">
        <v>520</v>
      </c>
      <c r="E380" t="s">
        <v>818</v>
      </c>
      <c r="F380" t="s">
        <v>819</v>
      </c>
      <c r="G380" t="s">
        <v>534</v>
      </c>
      <c r="H380" t="s">
        <v>820</v>
      </c>
      <c r="I380" t="s">
        <v>821</v>
      </c>
      <c r="K380" t="s">
        <v>695</v>
      </c>
      <c r="L380" t="s">
        <v>518</v>
      </c>
      <c r="M380" t="s">
        <v>526</v>
      </c>
      <c r="N380" t="s">
        <v>696</v>
      </c>
      <c r="O380" t="s">
        <v>526</v>
      </c>
      <c r="P380">
        <v>1</v>
      </c>
      <c r="Q380" t="s">
        <v>539</v>
      </c>
      <c r="R380">
        <v>418</v>
      </c>
    </row>
    <row r="381" spans="2:18">
      <c r="B381">
        <v>42</v>
      </c>
      <c r="C381" s="28" t="s">
        <v>519</v>
      </c>
      <c r="D381" s="28" t="s">
        <v>520</v>
      </c>
      <c r="E381" t="s">
        <v>818</v>
      </c>
      <c r="F381" t="s">
        <v>819</v>
      </c>
      <c r="G381" t="s">
        <v>534</v>
      </c>
      <c r="H381" t="s">
        <v>822</v>
      </c>
      <c r="I381" t="s">
        <v>823</v>
      </c>
      <c r="K381" t="s">
        <v>697</v>
      </c>
      <c r="L381" t="s">
        <v>518</v>
      </c>
      <c r="M381" t="s">
        <v>526</v>
      </c>
      <c r="N381" t="s">
        <v>698</v>
      </c>
      <c r="O381" t="s">
        <v>526</v>
      </c>
      <c r="P381">
        <v>1</v>
      </c>
      <c r="Q381" t="s">
        <v>539</v>
      </c>
      <c r="R381">
        <v>37</v>
      </c>
    </row>
    <row r="382" spans="2:18">
      <c r="B382">
        <v>43</v>
      </c>
      <c r="C382" s="28" t="s">
        <v>519</v>
      </c>
      <c r="D382" s="28" t="s">
        <v>520</v>
      </c>
      <c r="E382" t="s">
        <v>818</v>
      </c>
      <c r="F382" t="s">
        <v>819</v>
      </c>
      <c r="G382" t="s">
        <v>522</v>
      </c>
      <c r="H382" t="s">
        <v>824</v>
      </c>
      <c r="I382" t="s">
        <v>825</v>
      </c>
      <c r="K382" t="s">
        <v>670</v>
      </c>
      <c r="L382" t="s">
        <v>518</v>
      </c>
      <c r="M382" t="s">
        <v>526</v>
      </c>
      <c r="N382" t="s">
        <v>671</v>
      </c>
      <c r="O382" t="s">
        <v>526</v>
      </c>
      <c r="P382">
        <v>1</v>
      </c>
      <c r="Q382" t="s">
        <v>672</v>
      </c>
      <c r="R382">
        <v>370</v>
      </c>
    </row>
    <row r="383" spans="2:18">
      <c r="B383">
        <v>44</v>
      </c>
      <c r="C383" s="28" t="s">
        <v>519</v>
      </c>
      <c r="D383" s="28" t="s">
        <v>520</v>
      </c>
      <c r="E383" t="s">
        <v>818</v>
      </c>
      <c r="F383" t="s">
        <v>819</v>
      </c>
      <c r="G383" t="s">
        <v>826</v>
      </c>
      <c r="H383" t="s">
        <v>827</v>
      </c>
      <c r="I383" t="s">
        <v>828</v>
      </c>
      <c r="K383" t="s">
        <v>675</v>
      </c>
      <c r="L383" t="s">
        <v>518</v>
      </c>
      <c r="M383" t="s">
        <v>526</v>
      </c>
      <c r="N383" t="s">
        <v>676</v>
      </c>
      <c r="O383" t="s">
        <v>526</v>
      </c>
      <c r="P383">
        <v>1</v>
      </c>
      <c r="Q383" t="s">
        <v>558</v>
      </c>
      <c r="R383">
        <v>4.7</v>
      </c>
    </row>
    <row r="384" spans="2:18">
      <c r="B384">
        <v>45</v>
      </c>
      <c r="C384" s="28" t="s">
        <v>519</v>
      </c>
      <c r="D384" s="28" t="s">
        <v>520</v>
      </c>
      <c r="E384" t="s">
        <v>818</v>
      </c>
      <c r="F384" t="s">
        <v>819</v>
      </c>
      <c r="G384" t="s">
        <v>748</v>
      </c>
      <c r="H384" t="s">
        <v>749</v>
      </c>
      <c r="I384" t="s">
        <v>750</v>
      </c>
      <c r="K384" t="s">
        <v>699</v>
      </c>
      <c r="L384" t="s">
        <v>518</v>
      </c>
      <c r="M384" t="s">
        <v>526</v>
      </c>
      <c r="N384" t="s">
        <v>700</v>
      </c>
      <c r="O384" t="s">
        <v>526</v>
      </c>
      <c r="P384">
        <v>1</v>
      </c>
      <c r="Q384" t="s">
        <v>623</v>
      </c>
      <c r="R384">
        <v>370</v>
      </c>
    </row>
    <row r="385" spans="2:18">
      <c r="B385">
        <v>46</v>
      </c>
      <c r="C385" s="28" t="s">
        <v>519</v>
      </c>
      <c r="D385" s="28" t="s">
        <v>520</v>
      </c>
      <c r="E385" t="s">
        <v>818</v>
      </c>
      <c r="F385" t="s">
        <v>819</v>
      </c>
      <c r="G385" t="s">
        <v>534</v>
      </c>
      <c r="H385" t="s">
        <v>820</v>
      </c>
      <c r="I385" t="s">
        <v>829</v>
      </c>
      <c r="K385" t="s">
        <v>701</v>
      </c>
      <c r="L385" t="s">
        <v>518</v>
      </c>
      <c r="M385" t="s">
        <v>526</v>
      </c>
      <c r="N385" t="s">
        <v>702</v>
      </c>
      <c r="O385" t="s">
        <v>526</v>
      </c>
      <c r="P385">
        <v>1</v>
      </c>
      <c r="Q385" t="s">
        <v>539</v>
      </c>
      <c r="R385">
        <v>39.5</v>
      </c>
    </row>
    <row r="386" spans="2:18">
      <c r="B386">
        <v>47</v>
      </c>
      <c r="C386" s="28" t="s">
        <v>519</v>
      </c>
      <c r="D386" s="28" t="s">
        <v>520</v>
      </c>
      <c r="E386" t="s">
        <v>818</v>
      </c>
      <c r="F386" t="s">
        <v>819</v>
      </c>
      <c r="G386" t="s">
        <v>731</v>
      </c>
      <c r="H386" t="s">
        <v>830</v>
      </c>
      <c r="I386" t="s">
        <v>831</v>
      </c>
      <c r="K386" t="s">
        <v>703</v>
      </c>
      <c r="L386" t="s">
        <v>518</v>
      </c>
      <c r="M386" t="s">
        <v>526</v>
      </c>
      <c r="N386" t="s">
        <v>702</v>
      </c>
      <c r="O386" t="s">
        <v>526</v>
      </c>
      <c r="P386">
        <v>1</v>
      </c>
      <c r="Q386" t="s">
        <v>539</v>
      </c>
      <c r="R386">
        <v>17.2</v>
      </c>
    </row>
    <row r="387" spans="2:18">
      <c r="B387">
        <v>1</v>
      </c>
      <c r="C387" s="28" t="s">
        <v>519</v>
      </c>
      <c r="D387" s="28" t="s">
        <v>520</v>
      </c>
      <c r="E387" t="s">
        <v>818</v>
      </c>
      <c r="F387" t="s">
        <v>819</v>
      </c>
      <c r="G387" t="s">
        <v>735</v>
      </c>
      <c r="H387" t="s">
        <v>736</v>
      </c>
      <c r="I387" t="s">
        <v>770</v>
      </c>
      <c r="K387" t="s">
        <v>525</v>
      </c>
      <c r="L387" t="s">
        <v>518</v>
      </c>
      <c r="M387" t="s">
        <v>526</v>
      </c>
      <c r="N387" t="s">
        <v>527</v>
      </c>
      <c r="O387" t="s">
        <v>526</v>
      </c>
      <c r="P387">
        <v>1</v>
      </c>
      <c r="Q387" t="s">
        <v>528</v>
      </c>
      <c r="R387">
        <v>920</v>
      </c>
    </row>
    <row r="388" spans="2:18">
      <c r="B388">
        <v>2</v>
      </c>
      <c r="C388" s="28" t="s">
        <v>519</v>
      </c>
      <c r="D388" s="28" t="s">
        <v>520</v>
      </c>
      <c r="E388" t="s">
        <v>818</v>
      </c>
      <c r="F388" t="s">
        <v>819</v>
      </c>
      <c r="G388" t="s">
        <v>545</v>
      </c>
      <c r="H388" t="s">
        <v>579</v>
      </c>
      <c r="I388" t="s">
        <v>580</v>
      </c>
      <c r="K388" t="s">
        <v>531</v>
      </c>
      <c r="L388" t="s">
        <v>518</v>
      </c>
      <c r="M388" t="s">
        <v>526</v>
      </c>
      <c r="N388" t="s">
        <v>532</v>
      </c>
      <c r="O388" t="s">
        <v>526</v>
      </c>
      <c r="P388">
        <v>1</v>
      </c>
      <c r="Q388" t="s">
        <v>533</v>
      </c>
      <c r="R388">
        <v>380</v>
      </c>
    </row>
    <row r="389" spans="2:18">
      <c r="B389">
        <v>3</v>
      </c>
      <c r="C389" s="28" t="s">
        <v>519</v>
      </c>
      <c r="D389" s="28" t="s">
        <v>520</v>
      </c>
      <c r="E389" t="s">
        <v>818</v>
      </c>
      <c r="F389" t="s">
        <v>832</v>
      </c>
      <c r="G389" t="s">
        <v>731</v>
      </c>
      <c r="H389" t="s">
        <v>833</v>
      </c>
      <c r="I389" t="s">
        <v>834</v>
      </c>
      <c r="K389" t="s">
        <v>537</v>
      </c>
      <c r="L389" t="s">
        <v>518</v>
      </c>
      <c r="M389" t="s">
        <v>526</v>
      </c>
      <c r="N389" t="s">
        <v>538</v>
      </c>
      <c r="O389" t="s">
        <v>526</v>
      </c>
      <c r="P389">
        <v>1</v>
      </c>
      <c r="Q389" t="s">
        <v>539</v>
      </c>
      <c r="R389">
        <v>14</v>
      </c>
    </row>
    <row r="390" spans="2:18">
      <c r="B390">
        <v>4</v>
      </c>
      <c r="C390" s="28" t="s">
        <v>519</v>
      </c>
      <c r="D390" s="28" t="s">
        <v>520</v>
      </c>
      <c r="E390" t="s">
        <v>818</v>
      </c>
      <c r="F390" t="s">
        <v>832</v>
      </c>
      <c r="G390" t="s">
        <v>826</v>
      </c>
      <c r="H390" t="s">
        <v>835</v>
      </c>
      <c r="I390" t="s">
        <v>836</v>
      </c>
      <c r="K390" t="s">
        <v>542</v>
      </c>
      <c r="L390" t="s">
        <v>518</v>
      </c>
      <c r="M390" t="s">
        <v>526</v>
      </c>
      <c r="N390" t="s">
        <v>543</v>
      </c>
      <c r="O390" t="s">
        <v>526</v>
      </c>
      <c r="P390">
        <v>1</v>
      </c>
      <c r="Q390" t="s">
        <v>539</v>
      </c>
      <c r="R390">
        <v>33</v>
      </c>
    </row>
    <row r="391" spans="2:18">
      <c r="B391">
        <v>5</v>
      </c>
      <c r="C391" s="28" t="s">
        <v>519</v>
      </c>
      <c r="D391" s="28" t="s">
        <v>520</v>
      </c>
      <c r="E391" t="s">
        <v>818</v>
      </c>
      <c r="F391" t="s">
        <v>832</v>
      </c>
      <c r="G391" t="s">
        <v>574</v>
      </c>
      <c r="H391" t="s">
        <v>755</v>
      </c>
      <c r="I391" t="s">
        <v>837</v>
      </c>
      <c r="K391" t="s">
        <v>548</v>
      </c>
      <c r="L391" t="s">
        <v>518</v>
      </c>
      <c r="M391" t="s">
        <v>526</v>
      </c>
      <c r="N391" t="s">
        <v>549</v>
      </c>
      <c r="O391" t="s">
        <v>526</v>
      </c>
      <c r="P391">
        <v>1</v>
      </c>
      <c r="Q391" t="s">
        <v>539</v>
      </c>
      <c r="R391">
        <v>0</v>
      </c>
    </row>
    <row r="392" spans="2:18">
      <c r="B392">
        <v>6</v>
      </c>
      <c r="C392" s="28" t="s">
        <v>519</v>
      </c>
      <c r="D392" s="28" t="s">
        <v>520</v>
      </c>
      <c r="E392" t="s">
        <v>818</v>
      </c>
      <c r="F392" t="s">
        <v>832</v>
      </c>
      <c r="G392" t="s">
        <v>735</v>
      </c>
      <c r="H392" t="s">
        <v>736</v>
      </c>
      <c r="I392" t="s">
        <v>737</v>
      </c>
      <c r="K392" t="s">
        <v>553</v>
      </c>
      <c r="L392" t="s">
        <v>518</v>
      </c>
      <c r="M392" t="s">
        <v>526</v>
      </c>
      <c r="N392" t="s">
        <v>554</v>
      </c>
      <c r="O392" t="s">
        <v>526</v>
      </c>
      <c r="P392">
        <v>1</v>
      </c>
      <c r="Q392" t="s">
        <v>539</v>
      </c>
      <c r="R392">
        <v>223</v>
      </c>
    </row>
    <row r="393" spans="2:18">
      <c r="B393">
        <v>7</v>
      </c>
      <c r="C393" s="28" t="s">
        <v>519</v>
      </c>
      <c r="D393" s="28" t="s">
        <v>520</v>
      </c>
      <c r="E393" t="s">
        <v>818</v>
      </c>
      <c r="F393" t="s">
        <v>832</v>
      </c>
      <c r="G393" t="s">
        <v>738</v>
      </c>
      <c r="H393" t="s">
        <v>739</v>
      </c>
      <c r="I393" t="s">
        <v>740</v>
      </c>
      <c r="K393" t="s">
        <v>557</v>
      </c>
      <c r="L393" t="s">
        <v>518</v>
      </c>
      <c r="M393" t="s">
        <v>526</v>
      </c>
      <c r="N393" t="s">
        <v>526</v>
      </c>
      <c r="O393" t="s">
        <v>526</v>
      </c>
      <c r="P393">
        <v>1</v>
      </c>
      <c r="Q393" t="s">
        <v>558</v>
      </c>
      <c r="R393">
        <v>640</v>
      </c>
    </row>
    <row r="394" spans="2:18">
      <c r="B394">
        <v>8</v>
      </c>
      <c r="C394" s="28" t="s">
        <v>519</v>
      </c>
      <c r="D394" s="28" t="s">
        <v>520</v>
      </c>
      <c r="E394" t="s">
        <v>818</v>
      </c>
      <c r="F394" t="s">
        <v>832</v>
      </c>
      <c r="G394" t="s">
        <v>741</v>
      </c>
      <c r="H394" t="s">
        <v>742</v>
      </c>
      <c r="I394" t="s">
        <v>743</v>
      </c>
      <c r="K394" t="s">
        <v>561</v>
      </c>
      <c r="L394" t="s">
        <v>518</v>
      </c>
      <c r="M394" t="s">
        <v>526</v>
      </c>
      <c r="N394" t="s">
        <v>526</v>
      </c>
      <c r="O394" t="s">
        <v>526</v>
      </c>
      <c r="P394">
        <v>1</v>
      </c>
      <c r="Q394" t="s">
        <v>558</v>
      </c>
      <c r="R394">
        <v>425</v>
      </c>
    </row>
    <row r="395" spans="2:18">
      <c r="B395">
        <v>9</v>
      </c>
      <c r="C395" s="28" t="s">
        <v>519</v>
      </c>
      <c r="D395" s="28" t="s">
        <v>520</v>
      </c>
      <c r="E395" t="s">
        <v>818</v>
      </c>
      <c r="F395" t="s">
        <v>832</v>
      </c>
      <c r="G395" t="s">
        <v>591</v>
      </c>
      <c r="H395" t="s">
        <v>744</v>
      </c>
      <c r="I395" t="s">
        <v>745</v>
      </c>
      <c r="K395" t="s">
        <v>809</v>
      </c>
      <c r="L395" t="s">
        <v>518</v>
      </c>
      <c r="M395" t="s">
        <v>526</v>
      </c>
      <c r="N395" t="s">
        <v>810</v>
      </c>
      <c r="O395" t="s">
        <v>526</v>
      </c>
      <c r="P395">
        <v>1</v>
      </c>
      <c r="Q395" t="s">
        <v>539</v>
      </c>
      <c r="R395">
        <v>922</v>
      </c>
    </row>
    <row r="396" spans="2:18">
      <c r="C396" s="28" t="s">
        <v>519</v>
      </c>
      <c r="D396" s="28" t="s">
        <v>520</v>
      </c>
      <c r="E396" t="s">
        <v>818</v>
      </c>
      <c r="F396" t="s">
        <v>832</v>
      </c>
      <c r="G396" t="s">
        <v>738</v>
      </c>
      <c r="H396" t="s">
        <v>838</v>
      </c>
      <c r="I396" t="s">
        <v>839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G34"/>
  <sheetViews>
    <sheetView zoomScale="84" zoomScaleNormal="84" workbookViewId="0">
      <selection activeCell="G5" sqref="G5"/>
    </sheetView>
  </sheetViews>
  <sheetFormatPr defaultColWidth="12.25" defaultRowHeight="14.25" outlineLevelCol="6"/>
  <cols>
    <col min="1" max="6" width="10.75" customWidth="1"/>
  </cols>
  <sheetData>
    <row r="1" customHeight="1" spans="1:7">
      <c r="A1" s="16" t="str">
        <f>"安居乐寓"&amp;'【2】运营中心填-基本信息&amp;审核标准'!C2&amp;'【2】运营中心填-基本信息&amp;审核标准'!E2&amp;"公寓定价"</f>
        <v>安居乐寓福永新村福永一队9-16栋公寓定价</v>
      </c>
      <c r="B1" s="17"/>
      <c r="C1" s="17"/>
      <c r="D1" s="17"/>
      <c r="E1" s="17"/>
      <c r="F1" s="17"/>
      <c r="G1" s="17"/>
    </row>
    <row r="2" customHeight="1" spans="1:7">
      <c r="A2" s="18"/>
      <c r="B2" s="19"/>
      <c r="C2" s="19"/>
      <c r="D2" s="19"/>
      <c r="E2" s="19"/>
      <c r="F2" s="19"/>
      <c r="G2" s="19"/>
    </row>
    <row r="3" customHeight="1" spans="1:7">
      <c r="A3" s="20" t="s">
        <v>840</v>
      </c>
      <c r="B3" s="21" t="s">
        <v>841</v>
      </c>
      <c r="C3" s="22">
        <v>101</v>
      </c>
      <c r="D3" s="22">
        <v>102</v>
      </c>
      <c r="E3" s="22">
        <v>103</v>
      </c>
      <c r="F3" s="22">
        <v>104</v>
      </c>
      <c r="G3" s="22">
        <v>105</v>
      </c>
    </row>
    <row r="4" customHeight="1" spans="1:7">
      <c r="A4" s="20"/>
      <c r="B4" s="21" t="s">
        <v>361</v>
      </c>
      <c r="C4" s="23" t="str">
        <f>VLOOKUP(C3,'【3-2】大区&amp;运营中心填-房间模型价'!$H:$AM,2,0)</f>
        <v>A</v>
      </c>
      <c r="D4" s="23" t="str">
        <f>VLOOKUP(D3,'【3-2】大区&amp;运营中心填-房间模型价'!$H:$AM,2,0)</f>
        <v>A</v>
      </c>
      <c r="E4" s="23" t="str">
        <f>VLOOKUP(E3,'【3-2】大区&amp;运营中心填-房间模型价'!$H:$AM,2,0)</f>
        <v>B</v>
      </c>
      <c r="F4" s="23" t="str">
        <f>VLOOKUP(F3,'【3-2】大区&amp;运营中心填-房间模型价'!$H:$AM,2,0)</f>
        <v>B</v>
      </c>
      <c r="G4" s="23" t="str">
        <f>VLOOKUP(G3,'【3-2】大区&amp;运营中心填-房间模型价'!$H:$AM,2,0)</f>
        <v>B</v>
      </c>
    </row>
    <row r="5" customHeight="1" spans="1:7">
      <c r="A5" s="20"/>
      <c r="B5" s="24" t="s">
        <v>842</v>
      </c>
      <c r="C5" s="23">
        <f>VLOOKUP(C3,'【3-2】大区&amp;运营中心填-房间模型价'!$H:$AM,32,0)</f>
        <v>950</v>
      </c>
      <c r="D5" s="23">
        <f>VLOOKUP(D3,'【3-2】大区&amp;运营中心填-房间模型价'!$H:$AM,32,0)</f>
        <v>950</v>
      </c>
      <c r="E5" s="23">
        <f>VLOOKUP(E3,'【3-2】大区&amp;运营中心填-房间模型价'!$H:$AM,32,0)</f>
        <v>950</v>
      </c>
      <c r="F5" s="23">
        <f>VLOOKUP(F3,'【3-2】大区&amp;运营中心填-房间模型价'!$H:$AM,32,0)</f>
        <v>950</v>
      </c>
      <c r="G5" s="23">
        <f>VLOOKUP(G3,'【3-2】大区&amp;运营中心填-房间模型价'!$H:$AM,32,0)</f>
        <v>950</v>
      </c>
    </row>
    <row r="6" customHeight="1" spans="1:7">
      <c r="A6" s="25"/>
      <c r="B6" s="26"/>
      <c r="C6" s="27"/>
      <c r="D6" s="27"/>
      <c r="E6" s="27"/>
      <c r="F6" s="27"/>
      <c r="G6" s="27"/>
    </row>
    <row r="7" ht="15" spans="1:7">
      <c r="A7" s="20" t="s">
        <v>843</v>
      </c>
      <c r="B7" s="21" t="s">
        <v>841</v>
      </c>
      <c r="C7" s="22">
        <v>201</v>
      </c>
      <c r="D7" s="22">
        <v>202</v>
      </c>
      <c r="E7" s="22">
        <v>203</v>
      </c>
      <c r="F7" s="22">
        <v>204</v>
      </c>
      <c r="G7" s="22">
        <v>205</v>
      </c>
    </row>
    <row r="8" ht="16.5" spans="1:7">
      <c r="A8" s="20"/>
      <c r="B8" s="21" t="s">
        <v>361</v>
      </c>
      <c r="C8" s="23" t="str">
        <f>VLOOKUP(C7,'【3-2】大区&amp;运营中心填-房间模型价'!$H:$AM,2,0)</f>
        <v>A</v>
      </c>
      <c r="D8" s="23" t="str">
        <f>VLOOKUP(D7,'【3-2】大区&amp;运营中心填-房间模型价'!$H:$AM,2,0)</f>
        <v>A</v>
      </c>
      <c r="E8" s="23" t="str">
        <f>VLOOKUP(E7,'【3-2】大区&amp;运营中心填-房间模型价'!$H:$AM,2,0)</f>
        <v>B</v>
      </c>
      <c r="F8" s="23" t="str">
        <f>VLOOKUP(F7,'【3-2】大区&amp;运营中心填-房间模型价'!$H:$AM,2,0)</f>
        <v>B</v>
      </c>
      <c r="G8" s="23" t="str">
        <f>VLOOKUP(G7,'【3-2】大区&amp;运营中心填-房间模型价'!$H:$AM,2,0)</f>
        <v>B</v>
      </c>
    </row>
    <row r="9" ht="16.5" spans="1:7">
      <c r="A9" s="20"/>
      <c r="B9" s="24" t="s">
        <v>842</v>
      </c>
      <c r="C9" s="23">
        <f>VLOOKUP(C7,'【3-2】大区&amp;运营中心填-房间模型价'!$H:$AM,32,0)</f>
        <v>1328.67262464</v>
      </c>
      <c r="D9" s="23">
        <f>VLOOKUP(D7,'【3-2】大区&amp;运营中心填-房间模型价'!$H:$AM,32,0)</f>
        <v>1255.56467544</v>
      </c>
      <c r="E9" s="23">
        <f>VLOOKUP(E7,'【3-2】大区&amp;运营中心填-房间模型价'!$H:$AM,32,0)</f>
        <v>1320.5943952</v>
      </c>
      <c r="F9" s="23">
        <f>VLOOKUP(F7,'【3-2】大区&amp;运营中心填-房间模型价'!$H:$AM,32,0)</f>
        <v>1313.67262464</v>
      </c>
      <c r="G9" s="23">
        <f>VLOOKUP(G7,'【3-2】大区&amp;运营中心填-房间模型价'!$H:$AM,32,0)</f>
        <v>1402.5501312</v>
      </c>
    </row>
    <row r="10" ht="18" spans="1:7">
      <c r="A10" s="25"/>
      <c r="B10" s="26"/>
      <c r="C10" s="27"/>
      <c r="D10" s="27"/>
      <c r="E10" s="27"/>
      <c r="F10" s="27"/>
      <c r="G10" s="27"/>
    </row>
    <row r="11" ht="15" spans="1:7">
      <c r="A11" s="20" t="s">
        <v>844</v>
      </c>
      <c r="B11" s="21" t="s">
        <v>841</v>
      </c>
      <c r="C11" s="22">
        <v>301</v>
      </c>
      <c r="D11" s="22">
        <v>302</v>
      </c>
      <c r="E11" s="22">
        <v>303</v>
      </c>
      <c r="F11" s="22">
        <v>304</v>
      </c>
      <c r="G11" s="22">
        <v>305</v>
      </c>
    </row>
    <row r="12" ht="16.5" spans="1:7">
      <c r="A12" s="20"/>
      <c r="B12" s="21" t="s">
        <v>361</v>
      </c>
      <c r="C12" s="23" t="str">
        <f>VLOOKUP(C11,'【3-2】大区&amp;运营中心填-房间模型价'!$H:$AM,2,0)</f>
        <v>A</v>
      </c>
      <c r="D12" s="23" t="str">
        <f>VLOOKUP(D11,'【3-2】大区&amp;运营中心填-房间模型价'!$H:$AM,2,0)</f>
        <v>A</v>
      </c>
      <c r="E12" s="23" t="str">
        <f>VLOOKUP(E11,'【3-2】大区&amp;运营中心填-房间模型价'!$H:$AM,2,0)</f>
        <v>B</v>
      </c>
      <c r="F12" s="23" t="str">
        <f>VLOOKUP(F11,'【3-2】大区&amp;运营中心填-房间模型价'!$H:$AM,2,0)</f>
        <v>B</v>
      </c>
      <c r="G12" s="23" t="str">
        <f>VLOOKUP(G11,'【3-2】大区&amp;运营中心填-房间模型价'!$H:$AM,2,0)</f>
        <v>B</v>
      </c>
    </row>
    <row r="13" ht="16.5" spans="1:7">
      <c r="A13" s="20"/>
      <c r="B13" s="24" t="s">
        <v>842</v>
      </c>
      <c r="C13" s="23">
        <f>VLOOKUP(C11,'【3-2】大区&amp;运营中心填-房间模型价'!$H:$AM,32,0)</f>
        <v>1314.91112832</v>
      </c>
      <c r="D13" s="23">
        <f>VLOOKUP(D11,'【3-2】大区&amp;运营中心填-房间模型价'!$H:$AM,32,0)</f>
        <v>1242.51992372</v>
      </c>
      <c r="E13" s="23">
        <f>VLOOKUP(E11,'【3-2】大区&amp;运营中心填-房间模型价'!$H:$AM,32,0)</f>
        <v>1306.8630776</v>
      </c>
      <c r="F13" s="23">
        <f>VLOOKUP(F11,'【3-2】大区&amp;运营中心填-房间模型价'!$H:$AM,32,0)</f>
        <v>1314.91112832</v>
      </c>
      <c r="G13" s="23">
        <f>VLOOKUP(G11,'【3-2】大区&amp;运营中心填-房间模型价'!$H:$AM,32,0)</f>
        <v>1388.0643456</v>
      </c>
    </row>
    <row r="14" ht="18" spans="1:7">
      <c r="A14" s="25"/>
      <c r="B14" s="26"/>
      <c r="C14" s="27"/>
      <c r="D14" s="27"/>
      <c r="E14" s="27"/>
      <c r="F14" s="27"/>
      <c r="G14" s="27"/>
    </row>
    <row r="15" ht="15" spans="1:7">
      <c r="A15" s="20" t="s">
        <v>845</v>
      </c>
      <c r="B15" s="21" t="s">
        <v>841</v>
      </c>
      <c r="C15" s="22">
        <v>401</v>
      </c>
      <c r="D15" s="22">
        <v>402</v>
      </c>
      <c r="E15" s="22">
        <v>403</v>
      </c>
      <c r="F15" s="22">
        <v>404</v>
      </c>
      <c r="G15" s="22">
        <v>405</v>
      </c>
    </row>
    <row r="16" ht="16.5" spans="1:7">
      <c r="A16" s="20"/>
      <c r="B16" s="21" t="s">
        <v>361</v>
      </c>
      <c r="C16" s="23" t="str">
        <f>VLOOKUP(C15,'【3-2】大区&amp;运营中心填-房间模型价'!$H:$AM,2,0)</f>
        <v>A</v>
      </c>
      <c r="D16" s="23" t="str">
        <f>VLOOKUP(D15,'【3-2】大区&amp;运营中心填-房间模型价'!$H:$AM,2,0)</f>
        <v>A</v>
      </c>
      <c r="E16" s="23" t="str">
        <f>VLOOKUP(E15,'【3-2】大区&amp;运营中心填-房间模型价'!$H:$AM,2,0)</f>
        <v>B</v>
      </c>
      <c r="F16" s="23" t="str">
        <f>VLOOKUP(F15,'【3-2】大区&amp;运营中心填-房间模型价'!$H:$AM,2,0)</f>
        <v>B</v>
      </c>
      <c r="G16" s="23" t="str">
        <f>VLOOKUP(G15,'【3-2】大区&amp;运营中心填-房间模型价'!$H:$AM,2,0)</f>
        <v>B</v>
      </c>
    </row>
    <row r="17" ht="16.5" spans="1:7">
      <c r="A17" s="20"/>
      <c r="B17" s="24" t="s">
        <v>842</v>
      </c>
      <c r="C17" s="23">
        <f>VLOOKUP(C15,'【3-2】大区&amp;运营中心填-房间模型价'!$H:$AM,32,0)</f>
        <v>1301.149632</v>
      </c>
      <c r="D17" s="23">
        <f>VLOOKUP(D15,'【3-2】大区&amp;运营中心填-房间模型价'!$H:$AM,32,0)</f>
        <v>1229.475172</v>
      </c>
      <c r="E17" s="23">
        <f>VLOOKUP(E15,'【3-2】大区&amp;运营中心填-房间模型价'!$H:$AM,32,0)</f>
        <v>1368.57856</v>
      </c>
      <c r="F17" s="23">
        <f>VLOOKUP(F15,'【3-2】大区&amp;运营中心填-房间模型价'!$H:$AM,32,0)</f>
        <v>1353.4892</v>
      </c>
      <c r="G17" s="23">
        <f>VLOOKUP(G15,'【3-2】大区&amp;运营中心填-房间模型价'!$H:$AM,32,0)</f>
        <v>1433.936</v>
      </c>
    </row>
    <row r="18" ht="18" spans="1:7">
      <c r="A18" s="25"/>
      <c r="B18" s="26"/>
      <c r="C18" s="27"/>
      <c r="D18" s="27"/>
      <c r="E18" s="27"/>
      <c r="F18" s="27"/>
      <c r="G18" s="27"/>
    </row>
    <row r="19" ht="15" spans="1:7">
      <c r="A19" s="20" t="s">
        <v>846</v>
      </c>
      <c r="B19" s="21" t="s">
        <v>841</v>
      </c>
      <c r="C19" s="22">
        <v>501</v>
      </c>
      <c r="D19" s="22">
        <v>502</v>
      </c>
      <c r="E19" s="22">
        <v>503</v>
      </c>
      <c r="F19" s="22">
        <v>504</v>
      </c>
      <c r="G19" s="22">
        <v>505</v>
      </c>
    </row>
    <row r="20" ht="16.5" spans="1:7">
      <c r="A20" s="20"/>
      <c r="B20" s="21" t="s">
        <v>361</v>
      </c>
      <c r="C20" s="23" t="str">
        <f>VLOOKUP(C19,'【3-2】大区&amp;运营中心填-房间模型价'!$H:$AM,2,0)</f>
        <v>A</v>
      </c>
      <c r="D20" s="23" t="str">
        <f>VLOOKUP(D19,'【3-2】大区&amp;运营中心填-房间模型价'!$H:$AM,2,0)</f>
        <v>A</v>
      </c>
      <c r="E20" s="23" t="str">
        <f>VLOOKUP(E19,'【3-2】大区&amp;运营中心填-房间模型价'!$H:$AM,2,0)</f>
        <v>B</v>
      </c>
      <c r="F20" s="23" t="str">
        <f>VLOOKUP(F19,'【3-2】大区&amp;运营中心填-房间模型价'!$H:$AM,2,0)</f>
        <v>B</v>
      </c>
      <c r="G20" s="23" t="str">
        <f>VLOOKUP(G19,'【3-2】大区&amp;运营中心填-房间模型价'!$H:$AM,2,0)</f>
        <v>B</v>
      </c>
    </row>
    <row r="21" ht="16.5" spans="1:7">
      <c r="A21" s="20"/>
      <c r="B21" s="24" t="s">
        <v>842</v>
      </c>
      <c r="C21" s="23">
        <f>VLOOKUP(C19,'【3-2】大区&amp;运营中心填-房间模型价'!$H:$AM,32,0)</f>
        <v>1344.154308</v>
      </c>
      <c r="D21" s="23">
        <f>VLOOKUP(D19,'【3-2】大区&amp;运营中心填-房间模型价'!$H:$AM,32,0)</f>
        <v>1344.154308</v>
      </c>
      <c r="E21" s="23">
        <f>VLOOKUP(E19,'【3-2】大区&amp;运营中心填-房间模型价'!$H:$AM,32,0)</f>
        <v>1354.0927744</v>
      </c>
      <c r="F21" s="23">
        <f>VLOOKUP(F19,'【3-2】大区&amp;运营中心填-房间模型价'!$H:$AM,32,0)</f>
        <v>1344.154308</v>
      </c>
      <c r="G21" s="23">
        <f>VLOOKUP(G19,'【3-2】大区&amp;运营中心填-房间模型价'!$H:$AM,32,0)</f>
        <v>1418.84664</v>
      </c>
    </row>
    <row r="22" ht="18" spans="1:7">
      <c r="A22" s="25"/>
      <c r="B22" s="26"/>
      <c r="C22" s="27"/>
      <c r="D22" s="27"/>
      <c r="E22" s="27"/>
      <c r="F22" s="27"/>
      <c r="G22" s="27"/>
    </row>
    <row r="23" ht="15" spans="1:7">
      <c r="A23" s="20" t="s">
        <v>847</v>
      </c>
      <c r="B23" s="21" t="s">
        <v>841</v>
      </c>
      <c r="C23" s="22">
        <v>601</v>
      </c>
      <c r="D23" s="22">
        <v>602</v>
      </c>
      <c r="E23" s="22">
        <v>603</v>
      </c>
      <c r="F23" s="22">
        <v>604</v>
      </c>
      <c r="G23" s="22">
        <v>605</v>
      </c>
    </row>
    <row r="24" ht="16.5" spans="1:7">
      <c r="A24" s="20"/>
      <c r="B24" s="21" t="s">
        <v>361</v>
      </c>
      <c r="C24" s="23" t="str">
        <f>VLOOKUP(C23,'【3-2】大区&amp;运营中心填-房间模型价'!$H:$AM,2,0)</f>
        <v>A</v>
      </c>
      <c r="D24" s="23" t="str">
        <f>VLOOKUP(D23,'【3-2】大区&amp;运营中心填-房间模型价'!$H:$AM,2,0)</f>
        <v>A</v>
      </c>
      <c r="E24" s="23" t="str">
        <f>VLOOKUP(E23,'【3-2】大区&amp;运营中心填-房间模型价'!$H:$AM,2,0)</f>
        <v>B</v>
      </c>
      <c r="F24" s="23" t="str">
        <f>VLOOKUP(F23,'【3-2】大区&amp;运营中心填-房间模型价'!$H:$AM,2,0)</f>
        <v>B</v>
      </c>
      <c r="G24" s="23" t="str">
        <f>VLOOKUP(G23,'【3-2】大区&amp;运营中心填-房间模型价'!$H:$AM,2,0)</f>
        <v>B</v>
      </c>
    </row>
    <row r="25" ht="16.5" spans="1:7">
      <c r="A25" s="20"/>
      <c r="B25" s="24" t="s">
        <v>842</v>
      </c>
      <c r="C25" s="23">
        <f>VLOOKUP(C23,'【3-2】大区&amp;运营中心填-房间模型价'!$H:$AM,32,0)</f>
        <v>1329.819416</v>
      </c>
      <c r="D25" s="23">
        <f>VLOOKUP(D23,'【3-2】大区&amp;运营中心填-房间模型价'!$H:$AM,32,0)</f>
        <v>1329.819416</v>
      </c>
      <c r="E25" s="23">
        <f>VLOOKUP(E23,'【3-2】大区&amp;运营中心填-房间模型价'!$H:$AM,32,0)</f>
        <v>1339.6069888</v>
      </c>
      <c r="F25" s="23">
        <f>VLOOKUP(F23,'【3-2】大区&amp;运营中心填-房间模型价'!$H:$AM,32,0)</f>
        <v>1329.819416</v>
      </c>
      <c r="G25" s="23">
        <f>VLOOKUP(G23,'【3-2】大区&amp;运营中心填-房间模型价'!$H:$AM,32,0)</f>
        <v>1403.75728</v>
      </c>
    </row>
    <row r="26" ht="18" spans="1:7">
      <c r="A26" s="25"/>
      <c r="B26" s="26"/>
      <c r="C26" s="27"/>
      <c r="D26" s="27"/>
      <c r="E26" s="27"/>
      <c r="F26" s="27"/>
      <c r="G26" s="27"/>
    </row>
    <row r="27" ht="15" spans="1:7">
      <c r="A27" s="20" t="s">
        <v>848</v>
      </c>
      <c r="B27" s="21" t="s">
        <v>841</v>
      </c>
      <c r="C27" s="22">
        <v>701</v>
      </c>
      <c r="D27" s="22">
        <v>702</v>
      </c>
      <c r="E27" s="22">
        <v>703</v>
      </c>
      <c r="F27" s="22">
        <v>704</v>
      </c>
      <c r="G27" s="22">
        <v>705</v>
      </c>
    </row>
    <row r="28" ht="16.5" spans="1:7">
      <c r="A28" s="20"/>
      <c r="B28" s="21" t="s">
        <v>361</v>
      </c>
      <c r="C28" s="23" t="str">
        <f>VLOOKUP(C27,'【3-2】大区&amp;运营中心填-房间模型价'!$H:$AM,2,0)</f>
        <v>A</v>
      </c>
      <c r="D28" s="23" t="str">
        <f>VLOOKUP(D27,'【3-2】大区&amp;运营中心填-房间模型价'!$H:$AM,2,0)</f>
        <v>A</v>
      </c>
      <c r="E28" s="23" t="str">
        <f>VLOOKUP(E27,'【3-2】大区&amp;运营中心填-房间模型价'!$H:$AM,2,0)</f>
        <v>B</v>
      </c>
      <c r="F28" s="23" t="str">
        <f>VLOOKUP(F27,'【3-2】大区&amp;运营中心填-房间模型价'!$H:$AM,2,0)</f>
        <v>B</v>
      </c>
      <c r="G28" s="23" t="str">
        <f>VLOOKUP(G27,'【3-2】大区&amp;运营中心填-房间模型价'!$H:$AM,2,0)</f>
        <v>B</v>
      </c>
    </row>
    <row r="29" ht="16.5" spans="1:7">
      <c r="A29" s="20"/>
      <c r="B29" s="24" t="s">
        <v>842</v>
      </c>
      <c r="C29" s="23">
        <f>VLOOKUP(C27,'【3-2】大区&amp;运营中心填-房间模型价'!$H:$AM,32,0)</f>
        <v>1301.149632</v>
      </c>
      <c r="D29" s="23">
        <f>VLOOKUP(D27,'【3-2】大区&amp;运营中心填-房间模型价'!$H:$AM,32,0)</f>
        <v>1301.149632</v>
      </c>
      <c r="E29" s="23">
        <f>VLOOKUP(E27,'【3-2】大区&amp;运营中心填-房间模型价'!$H:$AM,32,0)</f>
        <v>1310.6354176</v>
      </c>
      <c r="F29" s="23">
        <f>VLOOKUP(F27,'【3-2】大区&amp;运营中心填-房间模型价'!$H:$AM,32,0)</f>
        <v>1301.149632</v>
      </c>
      <c r="G29" s="23">
        <f>VLOOKUP(G27,'【3-2】大区&amp;运营中心填-房间模型价'!$H:$AM,32,0)</f>
        <v>1373.57856</v>
      </c>
    </row>
    <row r="30" ht="18" spans="1:7">
      <c r="A30" s="25"/>
      <c r="B30" s="26"/>
      <c r="C30" s="27"/>
      <c r="D30" s="27"/>
      <c r="E30" s="27"/>
      <c r="F30" s="27"/>
      <c r="G30" s="27"/>
    </row>
    <row r="31" ht="15" spans="1:7">
      <c r="A31" s="20" t="s">
        <v>849</v>
      </c>
      <c r="B31" s="21" t="s">
        <v>841</v>
      </c>
      <c r="C31" s="22">
        <v>801</v>
      </c>
      <c r="D31" s="22">
        <v>802</v>
      </c>
      <c r="E31" s="22">
        <v>803</v>
      </c>
      <c r="F31" s="22">
        <v>804</v>
      </c>
      <c r="G31" s="22">
        <v>805</v>
      </c>
    </row>
    <row r="32" ht="16.5" spans="1:7">
      <c r="A32" s="20"/>
      <c r="B32" s="21" t="s">
        <v>361</v>
      </c>
      <c r="C32" s="23" t="str">
        <f>VLOOKUP(C31,'【3-2】大区&amp;运营中心填-房间模型价'!$H:$AM,2,0)</f>
        <v>A</v>
      </c>
      <c r="D32" s="23" t="str">
        <f>VLOOKUP(D31,'【3-2】大区&amp;运营中心填-房间模型价'!$H:$AM,2,0)</f>
        <v>A</v>
      </c>
      <c r="E32" s="23" t="str">
        <f>VLOOKUP(E31,'【3-2】大区&amp;运营中心填-房间模型价'!$H:$AM,2,0)</f>
        <v>B</v>
      </c>
      <c r="F32" s="23" t="str">
        <f>VLOOKUP(F31,'【3-2】大区&amp;运营中心填-房间模型价'!$H:$AM,2,0)</f>
        <v>B</v>
      </c>
      <c r="G32" s="23" t="str">
        <f>VLOOKUP(G31,'【3-2】大区&amp;运营中心填-房间模型价'!$H:$AM,2,0)</f>
        <v>B</v>
      </c>
    </row>
    <row r="33" ht="16.5" spans="1:7">
      <c r="A33" s="20"/>
      <c r="B33" s="24" t="s">
        <v>842</v>
      </c>
      <c r="C33" s="23">
        <f>VLOOKUP(C31,'【3-2】大区&amp;运营中心填-房间模型价'!$H:$AM,32,0)</f>
        <v>1258.144956</v>
      </c>
      <c r="D33" s="23">
        <f>VLOOKUP(D31,'【3-2】大区&amp;运营中心填-房间模型价'!$H:$AM,32,0)</f>
        <v>1258.144956</v>
      </c>
      <c r="E33" s="23">
        <f>VLOOKUP(E31,'【3-2】大区&amp;运营中心填-房间模型价'!$H:$AM,32,0)</f>
        <v>1267.1780608</v>
      </c>
      <c r="F33" s="23">
        <f>VLOOKUP(F31,'【3-2】大区&amp;运营中心填-房间模型价'!$H:$AM,32,0)</f>
        <v>1258.144956</v>
      </c>
      <c r="G33" s="23">
        <f>VLOOKUP(G31,'【3-2】大区&amp;运营中心填-房间模型价'!$H:$AM,32,0)</f>
        <v>1328.31048</v>
      </c>
    </row>
    <row r="34" ht="18" spans="1:7">
      <c r="A34" s="25"/>
      <c r="B34" s="26"/>
      <c r="C34" s="27"/>
      <c r="D34" s="27"/>
      <c r="E34" s="27"/>
      <c r="F34" s="27"/>
      <c r="G34" s="27"/>
    </row>
  </sheetData>
  <mergeCells count="9">
    <mergeCell ref="A3:A5"/>
    <mergeCell ref="A7:A9"/>
    <mergeCell ref="A11:A13"/>
    <mergeCell ref="A15:A17"/>
    <mergeCell ref="A19:A21"/>
    <mergeCell ref="A23:A25"/>
    <mergeCell ref="A27:A29"/>
    <mergeCell ref="A31:A33"/>
    <mergeCell ref="A1:G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B1:AB15"/>
  <sheetViews>
    <sheetView workbookViewId="0">
      <selection activeCell="R29" sqref="R29"/>
    </sheetView>
  </sheetViews>
  <sheetFormatPr defaultColWidth="9" defaultRowHeight="14.25"/>
  <cols>
    <col min="2" max="2" width="15.4166666666667" customWidth="1"/>
    <col min="11" max="11" width="9.66666666666667" customWidth="1"/>
  </cols>
  <sheetData>
    <row r="1" ht="18" spans="2:28"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2:28"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6.5" spans="2:28">
      <c r="B3" s="4" t="s">
        <v>850</v>
      </c>
      <c r="C3" s="5" t="s">
        <v>851</v>
      </c>
      <c r="D3" s="6" t="s">
        <v>852</v>
      </c>
      <c r="E3" s="7" t="s">
        <v>853</v>
      </c>
      <c r="F3" s="8" t="s">
        <v>132</v>
      </c>
      <c r="G3" s="9" t="s">
        <v>854</v>
      </c>
      <c r="H3" s="10" t="s">
        <v>855</v>
      </c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6.5" spans="2:28">
      <c r="B4" s="11" t="s">
        <v>856</v>
      </c>
      <c r="C4" s="4" t="s">
        <v>857</v>
      </c>
      <c r="D4" s="4"/>
      <c r="E4" s="4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6.5" spans="2:28">
      <c r="B5" s="11"/>
      <c r="C5" s="4" t="s">
        <v>858</v>
      </c>
      <c r="D5" s="4"/>
      <c r="E5" s="4"/>
      <c r="F5" s="1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7" customHeight="1" spans="2:28"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6.5" spans="2:28">
      <c r="B7" s="4" t="s">
        <v>859</v>
      </c>
      <c r="C7" s="4"/>
      <c r="D7" s="4"/>
      <c r="E7" s="4"/>
      <c r="F7" s="4"/>
      <c r="G7" s="4"/>
      <c r="H7" s="3"/>
      <c r="I7" s="4" t="s">
        <v>859</v>
      </c>
      <c r="J7" s="4"/>
      <c r="K7" s="4"/>
      <c r="L7" s="4"/>
      <c r="M7" s="4"/>
      <c r="N7" s="4" t="s">
        <v>157</v>
      </c>
      <c r="O7" s="3"/>
      <c r="P7" s="4" t="s">
        <v>859</v>
      </c>
      <c r="Q7" s="4"/>
      <c r="R7" s="4"/>
      <c r="S7" s="4"/>
      <c r="T7" s="4"/>
      <c r="U7" s="4" t="s">
        <v>157</v>
      </c>
      <c r="V7" s="3"/>
      <c r="W7" s="4" t="s">
        <v>859</v>
      </c>
      <c r="X7" s="4"/>
      <c r="Y7" s="4"/>
      <c r="Z7" s="4"/>
      <c r="AA7" s="4"/>
      <c r="AB7" s="4" t="s">
        <v>157</v>
      </c>
    </row>
    <row r="8" ht="16.5" spans="2:28">
      <c r="B8" s="4" t="s">
        <v>860</v>
      </c>
      <c r="C8" s="4"/>
      <c r="D8" s="4"/>
      <c r="E8" s="4"/>
      <c r="F8" s="4" t="s">
        <v>157</v>
      </c>
      <c r="G8" s="4"/>
      <c r="H8" s="3"/>
      <c r="I8" s="4" t="s">
        <v>860</v>
      </c>
      <c r="J8" s="4"/>
      <c r="K8" s="4"/>
      <c r="L8" s="4"/>
      <c r="M8" s="4" t="s">
        <v>157</v>
      </c>
      <c r="N8" s="4" t="s">
        <v>157</v>
      </c>
      <c r="O8" s="3"/>
      <c r="P8" s="4" t="s">
        <v>860</v>
      </c>
      <c r="Q8" s="4"/>
      <c r="R8" s="4"/>
      <c r="S8" s="4"/>
      <c r="T8" s="4" t="s">
        <v>157</v>
      </c>
      <c r="U8" s="4" t="s">
        <v>157</v>
      </c>
      <c r="V8" s="3"/>
      <c r="W8" s="4" t="s">
        <v>860</v>
      </c>
      <c r="X8" s="4"/>
      <c r="Y8" s="4"/>
      <c r="Z8" s="4"/>
      <c r="AA8" s="4" t="s">
        <v>157</v>
      </c>
      <c r="AB8" s="4" t="s">
        <v>157</v>
      </c>
    </row>
    <row r="9" ht="16.5" spans="2:28">
      <c r="B9" s="4" t="s">
        <v>861</v>
      </c>
      <c r="C9" s="4"/>
      <c r="D9" s="4"/>
      <c r="E9" s="4" t="s">
        <v>157</v>
      </c>
      <c r="F9" s="4" t="s">
        <v>388</v>
      </c>
      <c r="G9" s="4"/>
      <c r="H9" s="3"/>
      <c r="I9" s="4" t="s">
        <v>861</v>
      </c>
      <c r="J9" s="4"/>
      <c r="K9" s="4"/>
      <c r="L9" s="4" t="s">
        <v>157</v>
      </c>
      <c r="M9" s="4" t="s">
        <v>157</v>
      </c>
      <c r="N9" s="4" t="s">
        <v>388</v>
      </c>
      <c r="O9" s="3"/>
      <c r="P9" s="4" t="s">
        <v>861</v>
      </c>
      <c r="Q9" s="4"/>
      <c r="R9" s="4"/>
      <c r="S9" s="4" t="s">
        <v>157</v>
      </c>
      <c r="T9" s="4" t="s">
        <v>157</v>
      </c>
      <c r="U9" s="4" t="s">
        <v>388</v>
      </c>
      <c r="V9" s="3"/>
      <c r="W9" s="4" t="s">
        <v>861</v>
      </c>
      <c r="X9" s="4"/>
      <c r="Y9" s="4"/>
      <c r="Z9" s="4" t="s">
        <v>157</v>
      </c>
      <c r="AA9" s="4" t="s">
        <v>157</v>
      </c>
      <c r="AB9" s="4" t="s">
        <v>388</v>
      </c>
    </row>
    <row r="10" ht="16.5" spans="2:28">
      <c r="B10" s="4" t="s">
        <v>862</v>
      </c>
      <c r="C10" s="4"/>
      <c r="D10" s="4" t="s">
        <v>157</v>
      </c>
      <c r="E10" s="4" t="s">
        <v>388</v>
      </c>
      <c r="F10" s="4" t="s">
        <v>63</v>
      </c>
      <c r="G10" s="4"/>
      <c r="H10" s="3"/>
      <c r="I10" s="4" t="s">
        <v>862</v>
      </c>
      <c r="J10" s="4"/>
      <c r="K10" s="4" t="s">
        <v>157</v>
      </c>
      <c r="L10" s="4" t="s">
        <v>157</v>
      </c>
      <c r="M10" s="4" t="s">
        <v>388</v>
      </c>
      <c r="N10" s="4" t="s">
        <v>63</v>
      </c>
      <c r="O10" s="3"/>
      <c r="P10" s="4" t="s">
        <v>862</v>
      </c>
      <c r="Q10" s="4"/>
      <c r="R10" s="4" t="s">
        <v>157</v>
      </c>
      <c r="S10" s="4" t="s">
        <v>157</v>
      </c>
      <c r="T10" s="4" t="s">
        <v>388</v>
      </c>
      <c r="U10" s="4" t="s">
        <v>63</v>
      </c>
      <c r="V10" s="3"/>
      <c r="W10" s="4" t="s">
        <v>862</v>
      </c>
      <c r="X10" s="4"/>
      <c r="Y10" s="4" t="s">
        <v>157</v>
      </c>
      <c r="Z10" s="4" t="s">
        <v>157</v>
      </c>
      <c r="AA10" s="4" t="s">
        <v>388</v>
      </c>
      <c r="AB10" s="4" t="s">
        <v>63</v>
      </c>
    </row>
    <row r="11" ht="16.5" spans="2:28">
      <c r="B11" s="4" t="s">
        <v>863</v>
      </c>
      <c r="C11" s="4" t="s">
        <v>157</v>
      </c>
      <c r="D11" s="4" t="s">
        <v>388</v>
      </c>
      <c r="E11" s="4" t="s">
        <v>63</v>
      </c>
      <c r="F11" s="4" t="s">
        <v>864</v>
      </c>
      <c r="G11" s="4"/>
      <c r="H11" s="3"/>
      <c r="I11" s="4" t="s">
        <v>863</v>
      </c>
      <c r="J11" s="4" t="s">
        <v>157</v>
      </c>
      <c r="K11" s="4" t="s">
        <v>157</v>
      </c>
      <c r="L11" s="4" t="s">
        <v>388</v>
      </c>
      <c r="M11" s="4" t="s">
        <v>63</v>
      </c>
      <c r="N11" s="4" t="s">
        <v>864</v>
      </c>
      <c r="O11" s="3"/>
      <c r="P11" s="4" t="s">
        <v>863</v>
      </c>
      <c r="Q11" s="4" t="s">
        <v>157</v>
      </c>
      <c r="R11" s="4" t="s">
        <v>157</v>
      </c>
      <c r="S11" s="4" t="s">
        <v>388</v>
      </c>
      <c r="T11" s="4" t="s">
        <v>63</v>
      </c>
      <c r="U11" s="4" t="s">
        <v>864</v>
      </c>
      <c r="V11" s="3"/>
      <c r="W11" s="4" t="s">
        <v>863</v>
      </c>
      <c r="X11" s="4" t="s">
        <v>157</v>
      </c>
      <c r="Y11" s="4" t="s">
        <v>157</v>
      </c>
      <c r="Z11" s="4" t="s">
        <v>388</v>
      </c>
      <c r="AA11" s="4" t="s">
        <v>63</v>
      </c>
      <c r="AB11" s="4" t="s">
        <v>864</v>
      </c>
    </row>
    <row r="12" ht="16.5" spans="2:28">
      <c r="B12" s="4" t="s">
        <v>865</v>
      </c>
      <c r="C12" s="4" t="s">
        <v>388</v>
      </c>
      <c r="D12" s="4" t="s">
        <v>63</v>
      </c>
      <c r="E12" s="4" t="s">
        <v>864</v>
      </c>
      <c r="F12" s="9" t="s">
        <v>379</v>
      </c>
      <c r="G12" s="4"/>
      <c r="H12" s="3"/>
      <c r="I12" s="4" t="s">
        <v>865</v>
      </c>
      <c r="J12" s="4" t="s">
        <v>157</v>
      </c>
      <c r="K12" s="4" t="s">
        <v>388</v>
      </c>
      <c r="L12" s="4" t="s">
        <v>63</v>
      </c>
      <c r="M12" s="9" t="s">
        <v>864</v>
      </c>
      <c r="N12" s="4" t="s">
        <v>379</v>
      </c>
      <c r="O12" s="3"/>
      <c r="P12" s="4" t="s">
        <v>865</v>
      </c>
      <c r="Q12" s="4" t="s">
        <v>157</v>
      </c>
      <c r="R12" s="4" t="s">
        <v>388</v>
      </c>
      <c r="S12" s="4" t="s">
        <v>63</v>
      </c>
      <c r="T12" s="9" t="s">
        <v>864</v>
      </c>
      <c r="U12" s="4" t="s">
        <v>379</v>
      </c>
      <c r="V12" s="3"/>
      <c r="W12" s="4" t="s">
        <v>865</v>
      </c>
      <c r="X12" s="4" t="s">
        <v>157</v>
      </c>
      <c r="Y12" s="4" t="s">
        <v>388</v>
      </c>
      <c r="Z12" s="4" t="s">
        <v>63</v>
      </c>
      <c r="AA12" s="9" t="s">
        <v>864</v>
      </c>
      <c r="AB12" s="4" t="s">
        <v>379</v>
      </c>
    </row>
    <row r="13" ht="16.5" spans="2:28">
      <c r="B13" s="4"/>
      <c r="C13" s="4" t="s">
        <v>866</v>
      </c>
      <c r="D13" s="4" t="s">
        <v>867</v>
      </c>
      <c r="E13" s="4" t="s">
        <v>868</v>
      </c>
      <c r="F13" s="4" t="s">
        <v>869</v>
      </c>
      <c r="G13" s="4" t="s">
        <v>870</v>
      </c>
      <c r="H13" s="2"/>
      <c r="I13" s="4"/>
      <c r="J13" s="4" t="s">
        <v>866</v>
      </c>
      <c r="K13" s="4" t="s">
        <v>867</v>
      </c>
      <c r="L13" s="4" t="s">
        <v>868</v>
      </c>
      <c r="M13" s="4" t="s">
        <v>869</v>
      </c>
      <c r="N13" s="4" t="s">
        <v>870</v>
      </c>
      <c r="O13" s="3"/>
      <c r="P13" s="4"/>
      <c r="Q13" s="4" t="s">
        <v>866</v>
      </c>
      <c r="R13" s="4" t="s">
        <v>867</v>
      </c>
      <c r="S13" s="4" t="s">
        <v>868</v>
      </c>
      <c r="T13" s="4" t="s">
        <v>869</v>
      </c>
      <c r="U13" s="4" t="s">
        <v>870</v>
      </c>
      <c r="V13" s="3"/>
      <c r="W13" s="4"/>
      <c r="X13" s="4" t="s">
        <v>866</v>
      </c>
      <c r="Y13" s="4" t="s">
        <v>867</v>
      </c>
      <c r="Z13" s="4" t="s">
        <v>868</v>
      </c>
      <c r="AA13" s="4" t="s">
        <v>869</v>
      </c>
      <c r="AB13" s="4" t="s">
        <v>870</v>
      </c>
    </row>
    <row r="14" spans="2:28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5" spans="2:28">
      <c r="B15" s="14" t="s">
        <v>871</v>
      </c>
      <c r="C15" s="14"/>
      <c r="D15" s="14"/>
      <c r="E15" s="14"/>
      <c r="F15" s="14"/>
      <c r="G15" s="14"/>
      <c r="H15" s="3"/>
      <c r="I15" s="15" t="s">
        <v>872</v>
      </c>
      <c r="J15" s="15"/>
      <c r="K15" s="15"/>
      <c r="L15" s="15"/>
      <c r="M15" s="15"/>
      <c r="N15" s="15"/>
      <c r="O15" s="3"/>
      <c r="P15" s="3"/>
      <c r="Q15" s="3"/>
      <c r="R15" s="15" t="s">
        <v>873</v>
      </c>
      <c r="S15" s="15"/>
      <c r="T15" s="3"/>
      <c r="U15" s="3"/>
      <c r="V15" s="3"/>
      <c r="W15" s="3"/>
      <c r="X15" s="3"/>
      <c r="Y15" s="15" t="s">
        <v>874</v>
      </c>
      <c r="Z15" s="15"/>
      <c r="AA15" s="3"/>
      <c r="AB15" s="3"/>
    </row>
  </sheetData>
  <mergeCells count="8">
    <mergeCell ref="H3:L3"/>
    <mergeCell ref="C4:E4"/>
    <mergeCell ref="C5:E5"/>
    <mergeCell ref="B15:G15"/>
    <mergeCell ref="I15:N15"/>
    <mergeCell ref="R15:S15"/>
    <mergeCell ref="Y15:Z15"/>
    <mergeCell ref="B4:B5"/>
  </mergeCells>
  <conditionalFormatting sqref="C3:G3">
    <cfRule type="containsText" dxfId="1" priority="82" operator="between" text="不足">
      <formula>NOT(ISERROR(SEARCH("不足",C3)))</formula>
    </cfRule>
  </conditionalFormatting>
  <conditionalFormatting sqref="C12">
    <cfRule type="containsText" dxfId="1" priority="78" operator="between" text="较差">
      <formula>NOT(ISERROR(SEARCH("较差",C12)))</formula>
    </cfRule>
  </conditionalFormatting>
  <conditionalFormatting sqref="F12">
    <cfRule type="containsText" dxfId="1" priority="34" operator="between" text="较差">
      <formula>NOT(ISERROR(SEARCH("较差",F12)))</formula>
    </cfRule>
  </conditionalFormatting>
  <conditionalFormatting sqref="J12">
    <cfRule type="containsText" dxfId="1" priority="15" operator="between" text="较差">
      <formula>NOT(ISERROR(SEARCH("较差",J12)))</formula>
    </cfRule>
  </conditionalFormatting>
  <conditionalFormatting sqref="M12">
    <cfRule type="containsText" dxfId="1" priority="13" operator="between" text="较差">
      <formula>NOT(ISERROR(SEARCH("较差",M12)))</formula>
    </cfRule>
  </conditionalFormatting>
  <conditionalFormatting sqref="Q12">
    <cfRule type="containsText" dxfId="1" priority="9" operator="between" text="较差">
      <formula>NOT(ISERROR(SEARCH("较差",Q12)))</formula>
    </cfRule>
  </conditionalFormatting>
  <conditionalFormatting sqref="T12">
    <cfRule type="containsText" dxfId="1" priority="7" operator="between" text="较差">
      <formula>NOT(ISERROR(SEARCH("较差",T12)))</formula>
    </cfRule>
  </conditionalFormatting>
  <conditionalFormatting sqref="X12">
    <cfRule type="containsText" dxfId="1" priority="3" operator="between" text="较差">
      <formula>NOT(ISERROR(SEARCH("较差",X12)))</formula>
    </cfRule>
  </conditionalFormatting>
  <conditionalFormatting sqref="AA12">
    <cfRule type="containsText" dxfId="1" priority="1" operator="between" text="较差">
      <formula>NOT(ISERROR(SEARCH("较差",AA12)))</formula>
    </cfRule>
  </conditionalFormatting>
  <conditionalFormatting sqref="C3:G3 C4:C5 F5:G5 C6:G12">
    <cfRule type="containsText" dxfId="2" priority="80" operator="between" text="适中">
      <formula>NOT(ISERROR(SEARCH("适中",C3)))</formula>
    </cfRule>
    <cfRule type="containsText" dxfId="3" priority="81" operator="between" text="差">
      <formula>NOT(ISERROR(SEARCH("差",C3)))</formula>
    </cfRule>
  </conditionalFormatting>
  <conditionalFormatting sqref="C6:G12 C3:G3 C4:C5 F5:G5">
    <cfRule type="containsText" dxfId="4" priority="79" operator="between" text="较优">
      <formula>NOT(ISERROR(SEARCH("较优",C3)))</formula>
    </cfRule>
  </conditionalFormatting>
  <conditionalFormatting sqref="D7:G12">
    <cfRule type="containsText" dxfId="1" priority="77" operator="between" text="较差">
      <formula>NOT(ISERROR(SEARCH("较差",D7)))</formula>
    </cfRule>
  </conditionalFormatting>
  <conditionalFormatting sqref="J7:N12">
    <cfRule type="containsText" dxfId="4" priority="16" operator="between" text="较优">
      <formula>NOT(ISERROR(SEARCH("较优",J7)))</formula>
    </cfRule>
    <cfRule type="containsText" dxfId="2" priority="17" operator="between" text="适中">
      <formula>NOT(ISERROR(SEARCH("适中",J7)))</formula>
    </cfRule>
    <cfRule type="containsText" dxfId="3" priority="18" operator="between" text="差">
      <formula>NOT(ISERROR(SEARCH("差",J7)))</formula>
    </cfRule>
  </conditionalFormatting>
  <conditionalFormatting sqref="K7:N12">
    <cfRule type="containsText" dxfId="1" priority="14" operator="between" text="较差">
      <formula>NOT(ISERROR(SEARCH("较差",K7)))</formula>
    </cfRule>
  </conditionalFormatting>
  <conditionalFormatting sqref="Q7:U12">
    <cfRule type="containsText" dxfId="4" priority="10" operator="between" text="较优">
      <formula>NOT(ISERROR(SEARCH("较优",Q7)))</formula>
    </cfRule>
    <cfRule type="containsText" dxfId="2" priority="11" operator="between" text="适中">
      <formula>NOT(ISERROR(SEARCH("适中",Q7)))</formula>
    </cfRule>
    <cfRule type="containsText" dxfId="3" priority="12" operator="between" text="差">
      <formula>NOT(ISERROR(SEARCH("差",Q7)))</formula>
    </cfRule>
  </conditionalFormatting>
  <conditionalFormatting sqref="R7:U12">
    <cfRule type="containsText" dxfId="1" priority="8" operator="between" text="较差">
      <formula>NOT(ISERROR(SEARCH("较差",R7)))</formula>
    </cfRule>
  </conditionalFormatting>
  <conditionalFormatting sqref="X7:AB12">
    <cfRule type="containsText" dxfId="4" priority="4" operator="between" text="较优">
      <formula>NOT(ISERROR(SEARCH("较优",X7)))</formula>
    </cfRule>
    <cfRule type="containsText" dxfId="2" priority="5" operator="between" text="适中">
      <formula>NOT(ISERROR(SEARCH("适中",X7)))</formula>
    </cfRule>
    <cfRule type="containsText" dxfId="3" priority="6" operator="between" text="差">
      <formula>NOT(ISERROR(SEARCH("差",X7)))</formula>
    </cfRule>
  </conditionalFormatting>
  <conditionalFormatting sqref="Y7:AB12">
    <cfRule type="containsText" dxfId="1" priority="2" operator="between" text="较差">
      <formula>NOT(ISERROR(SEARCH("较差",Y7)))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更新日志</vt:lpstr>
      <vt:lpstr>【1】定价因子</vt:lpstr>
      <vt:lpstr>各村基准价</vt:lpstr>
      <vt:lpstr>piovt_各村均价</vt:lpstr>
      <vt:lpstr>【2】运营中心填-基本信息&amp;审核标准</vt:lpstr>
      <vt:lpstr>【1】楼栋基本信息</vt:lpstr>
      <vt:lpstr>项目基准价</vt:lpstr>
      <vt:lpstr>赋权表</vt:lpstr>
      <vt:lpstr>目录</vt:lpstr>
      <vt:lpstr>【3】大区填-楼栋基准格局定价</vt:lpstr>
      <vt:lpstr>【3-1】大区填-采光基本要素</vt:lpstr>
      <vt:lpstr>【3-2】大区&amp;运营中心填-房间模型价</vt:lpstr>
      <vt:lpstr>户型资产表</vt:lpstr>
      <vt:lpstr>【4】价目表</vt:lpstr>
      <vt:lpstr>【5】平面图</vt:lpstr>
      <vt:lpstr>【补充】采光验证因素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莹 张</dc:creator>
  <cp:lastModifiedBy>Since</cp:lastModifiedBy>
  <dcterms:created xsi:type="dcterms:W3CDTF">2015-06-14T10:17:00Z</dcterms:created>
  <dcterms:modified xsi:type="dcterms:W3CDTF">2026-03-09T12:03:45Z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9123027A9B1442999DEAFD18812AF691_13</vt:lpwstr>
  </property>
  <property fmtid="{D5CDD505-2E9C-101B-9397-08002B2CF9AE}" pid="4" name="commondata">
    <vt:lpwstr>eyJoZGlkIjoiNWVlYWE2MmI4MDc4OTljNmZhMDU0NjVmNjkzNDJmZjQifQ==</vt:lpwstr>
  </property>
  <property fmtid="{D5CDD505-2E9C-101B-9397-08002B2CF9AE}" pid="5" name="CalculationRule">
    <vt:i4>0</vt:i4>
  </property>
</Properties>
</file>