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805" firstSheet="3" activeTab="10"/>
  </bookViews>
  <sheets>
    <sheet name="更新日志" sheetId="32" state="hidden" r:id="rId1"/>
    <sheet name="【1】定价因子" sheetId="21" r:id="rId2"/>
    <sheet name="各村基准价" sheetId="41" state="hidden" r:id="rId3"/>
    <sheet name="【2】运营中心填-基本信息&amp;审核标准" sheetId="37" r:id="rId4"/>
    <sheet name="【1】楼栋基本信息" sheetId="30" state="hidden" r:id="rId5"/>
    <sheet name="项目基准价" sheetId="23" state="hidden" r:id="rId6"/>
    <sheet name="赋权表" sheetId="22" state="hidden" r:id="rId7"/>
    <sheet name="目录" sheetId="27" state="hidden" r:id="rId8"/>
    <sheet name="【3】大区填-楼栋基准格局定价" sheetId="25" r:id="rId9"/>
    <sheet name="【3-1】大区填-采光基本要素" sheetId="36" r:id="rId10"/>
    <sheet name="【3-2】大区&amp;运营中心填-房间模型价" sheetId="31" r:id="rId11"/>
    <sheet name="户型资产表" sheetId="42" state="hidden" r:id="rId12"/>
    <sheet name="【4】价目表" sheetId="33" r:id="rId13"/>
    <sheet name="【5】平面图" sheetId="34" r:id="rId14"/>
    <sheet name="【补充】采光验证因素" sheetId="35" state="hidden" r:id="rId15"/>
    <sheet name="piovt_各村均价" sheetId="38" state="hidden" r:id="rId16"/>
  </sheets>
  <externalReferences>
    <externalReference r:id="rId17"/>
  </externalReferences>
  <definedNames>
    <definedName name="_xlnm._FilterDatabase" localSheetId="10" hidden="1">'【3-2】大区&amp;运营中心填-房间模型价'!$A$1:$AN$43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只能有一个小区名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只能有一个楼栋名
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开间大概数量在（40个）
一居大概（50个）</t>
        </r>
      </text>
    </comment>
  </commentList>
</comments>
</file>

<file path=xl/sharedStrings.xml><?xml version="1.0" encoding="utf-8"?>
<sst xmlns="http://schemas.openxmlformats.org/spreadsheetml/2006/main" count="4005" uniqueCount="660">
  <si>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</si>
  <si>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</si>
  <si>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</si>
  <si>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</si>
  <si>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</si>
  <si>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</si>
  <si>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</si>
  <si>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</si>
  <si>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</si>
  <si>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</si>
  <si>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</si>
  <si>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</si>
  <si>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</si>
  <si>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</si>
  <si>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</si>
  <si>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</si>
  <si>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</si>
  <si>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</si>
  <si>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</si>
  <si>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</si>
  <si>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</si>
  <si>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</si>
  <si>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</si>
  <si>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</si>
  <si>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</si>
  <si>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</si>
  <si>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</si>
  <si>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</si>
  <si>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</si>
  <si>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</si>
  <si>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</si>
  <si>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</si>
  <si>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</si>
  <si>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</si>
  <si>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</si>
  <si>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</si>
  <si>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</si>
  <si>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</si>
  <si>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</si>
  <si>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</si>
  <si>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</si>
  <si>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</si>
  <si>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</si>
  <si>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</si>
  <si>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</si>
  <si>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</si>
  <si>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</si>
  <si>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</si>
  <si>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</si>
  <si>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</si>
  <si>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</si>
  <si>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</si>
  <si>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</si>
  <si>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</si>
  <si>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</si>
  <si>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</si>
  <si>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</si>
  <si>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</si>
  <si>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</si>
  <si>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</si>
  <si>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</si>
  <si>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</si>
  <si>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</si>
  <si>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</si>
  <si>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</si>
  <si>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</si>
  <si>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</si>
  <si>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</si>
  <si>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</si>
  <si>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</si>
  <si>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</si>
  <si>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</si>
  <si>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</si>
  <si>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</si>
  <si>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</si>
  <si>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</si>
  <si>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</si>
  <si>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</si>
  <si>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</si>
  <si>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</si>
  <si>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</si>
  <si>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</si>
  <si>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</si>
  <si>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</si>
  <si>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</si>
  <si>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</si>
  <si>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</si>
  <si>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</si>
  <si>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</si>
  <si>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</si>
  <si>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</si>
  <si>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</si>
  <si>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</si>
  <si>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</si>
  <si>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</si>
  <si>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</si>
  <si>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</si>
  <si>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</si>
  <si>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</si>
  <si>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</si>
  <si>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</si>
  <si>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</si>
  <si>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</si>
  <si>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</si>
  <si>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</si>
  <si>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</si>
  <si>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</si>
  <si>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</si>
  <si>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</si>
  <si>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</si>
  <si>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</si>
  <si>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</si>
  <si>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</si>
  <si>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缺失书桌和操作台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</si>
  <si>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</si>
  <si>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</si>
  <si>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</si>
  <si>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</si>
  <si>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</si>
  <si>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</si>
  <si>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</si>
  <si>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</si>
  <si>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缺失操作台、沙发和餐桌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</si>
  <si>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</si>
  <si>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</si>
  <si>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</si>
  <si>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</si>
  <si>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</si>
  <si>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</si>
  <si>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</si>
  <si>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</si>
  <si>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</si>
  <si>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</si>
  <si>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</si>
  <si>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</si>
  <si>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</si>
  <si>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</si>
  <si>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</si>
  <si>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</si>
  <si>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</si>
  <si>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</si>
  <si>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</si>
  <si>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</si>
  <si>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</si>
  <si>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缺失沙发、餐桌、电视柜、操作台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</si>
  <si>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</si>
  <si>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</si>
  <si>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</si>
  <si>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</si>
  <si>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</si>
  <si>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</si>
  <si>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</si>
  <si>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</si>
  <si>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</si>
  <si>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</si>
  <si>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</si>
  <si>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</si>
  <si>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</si>
  <si>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</si>
  <si>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</si>
  <si>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</si>
  <si>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</si>
  <si>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</si>
  <si>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</si>
  <si>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</si>
  <si>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</si>
  <si>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</si>
  <si>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</si>
  <si>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</si>
  <si>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战区</t>
  </si>
  <si>
    <t>村</t>
  </si>
  <si>
    <t>是否过总办会</t>
  </si>
  <si>
    <t>第六战区</t>
  </si>
  <si>
    <t>马蹄山村</t>
  </si>
  <si>
    <t>已过会</t>
  </si>
  <si>
    <t>禾坪岗村</t>
  </si>
  <si>
    <t>中心围村</t>
  </si>
  <si>
    <t>第一战区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</si>
  <si>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</si>
  <si>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</si>
  <si>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</si>
  <si>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</si>
  <si>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</si>
  <si>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</si>
  <si>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</si>
  <si>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</si>
  <si>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</si>
  <si>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</si>
  <si>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</si>
  <si>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</si>
  <si>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</si>
  <si>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</si>
  <si>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第三战区</t>
  </si>
  <si>
    <t>福围村</t>
  </si>
  <si>
    <t>第二战区</t>
  </si>
  <si>
    <t>新和一区/二区</t>
  </si>
  <si>
    <t>第四战区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</si>
  <si>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</si>
  <si>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</si>
  <si>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</si>
  <si>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</si>
  <si>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</si>
  <si>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</si>
  <si>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</si>
  <si>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</si>
  <si>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</si>
  <si>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</si>
  <si>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</si>
  <si>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</si>
  <si>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龙腾阁（望牛亭)</t>
  </si>
  <si>
    <t>石龙头村</t>
  </si>
  <si>
    <t>咸田</t>
  </si>
  <si>
    <t>裕华园</t>
  </si>
  <si>
    <t>翠岗</t>
  </si>
  <si>
    <t>聚福园小区</t>
  </si>
  <si>
    <t>第五战区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</si>
  <si>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</si>
  <si>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</si>
  <si>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</si>
  <si>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</si>
  <si>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</si>
  <si>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</si>
  <si>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</si>
  <si>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桥南/桥荣/桥头</t>
  </si>
  <si>
    <t>和顺新村/玻璃围</t>
  </si>
  <si>
    <t>坳下村</t>
  </si>
  <si>
    <t>上沙椰树村</t>
  </si>
  <si>
    <t>上沙东村</t>
  </si>
  <si>
    <t>新洲南村</t>
  </si>
  <si>
    <t>新洲中心村</t>
  </si>
  <si>
    <t>鹤洲西区</t>
  </si>
  <si>
    <t>鹤洲旧村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</si>
  <si>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</si>
  <si>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</si>
  <si>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</si>
  <si>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</si>
  <si>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</si>
  <si>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</si>
  <si>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</si>
  <si>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</si>
  <si>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</si>
  <si>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</si>
  <si>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小区（村）</t>
  </si>
  <si>
    <t>楼栋号</t>
  </si>
  <si>
    <t>兴围中6-20栋</t>
  </si>
  <si>
    <t>楼栋基本画像</t>
  </si>
  <si>
    <t>电梯</t>
  </si>
  <si>
    <t>屋面晾晒区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</si>
  <si>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</si>
  <si>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</si>
  <si>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</si>
  <si>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</si>
  <si>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</si>
  <si>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</si>
  <si>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</si>
  <si>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</si>
  <si>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</si>
  <si>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</si>
  <si>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</si>
  <si>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村公寓面积</t>
  </si>
  <si>
    <t>否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</si>
  <si>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</si>
  <si>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</si>
  <si>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</si>
  <si>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</si>
  <si>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</si>
  <si>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</si>
  <si>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</si>
  <si>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</si>
  <si>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</si>
  <si>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</si>
  <si>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</si>
  <si>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</si>
  <si>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</si>
  <si>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</si>
  <si>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</si>
  <si>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</si>
  <si>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</si>
  <si>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</si>
  <si>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</si>
  <si>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</si>
  <si>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</si>
  <si>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</si>
  <si>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</si>
  <si>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</si>
  <si>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</si>
  <si>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</si>
  <si>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</si>
  <si>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</si>
  <si>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</si>
  <si>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</si>
  <si>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</si>
  <si>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</si>
  <si>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</si>
  <si>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</si>
  <si>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</si>
  <si>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</si>
  <si>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</si>
  <si>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</si>
  <si>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</si>
  <si>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</si>
  <si>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</si>
  <si>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</si>
  <si>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</si>
  <si>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</si>
  <si>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</si>
  <si>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</si>
  <si>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</si>
  <si>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</si>
  <si>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</si>
  <si>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</si>
  <si>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</si>
  <si>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</si>
  <si>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</si>
  <si>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</si>
  <si>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</si>
  <si>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</si>
  <si>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</si>
  <si>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</si>
  <si>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</si>
  <si>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</si>
  <si>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</si>
  <si>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</si>
  <si>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</si>
  <si>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</si>
  <si>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</si>
  <si>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</si>
  <si>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</si>
  <si>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</si>
  <si>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</si>
  <si>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</si>
  <si>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</si>
  <si>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</si>
  <si>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</si>
  <si>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</si>
  <si>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</si>
  <si>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</si>
  <si>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</si>
  <si>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</si>
  <si>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</si>
  <si>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</si>
  <si>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</si>
  <si>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</si>
  <si>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</si>
  <si>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</si>
  <si>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</si>
  <si>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</si>
  <si>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</si>
  <si>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</si>
  <si>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</si>
  <si>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</si>
  <si>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</si>
  <si>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</si>
  <si>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</si>
  <si>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</si>
  <si>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</si>
  <si>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</si>
  <si>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</si>
  <si>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</si>
  <si>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</si>
  <si>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</si>
  <si>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</si>
  <si>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</si>
  <si>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</si>
  <si>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</si>
  <si>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</si>
  <si>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</si>
  <si>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</si>
  <si>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</si>
  <si>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</si>
  <si>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</si>
  <si>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</si>
  <si>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</si>
  <si>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</si>
  <si>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</si>
  <si>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</si>
  <si>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</si>
  <si>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</si>
  <si>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</si>
  <si>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</si>
  <si>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</si>
  <si>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</si>
  <si>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</si>
  <si>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</si>
  <si>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</si>
  <si>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</si>
  <si>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</si>
  <si>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</si>
  <si>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</si>
  <si>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</si>
  <si>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</si>
  <si>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</si>
  <si>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</si>
  <si>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</si>
  <si>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</si>
  <si>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</si>
  <si>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</si>
  <si>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</si>
  <si>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</si>
  <si>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</si>
  <si>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</si>
  <si>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</si>
  <si>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</si>
  <si>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</si>
  <si>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</si>
  <si>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</si>
  <si>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</si>
  <si>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</si>
  <si>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</si>
  <si>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</si>
  <si>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</si>
  <si>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</si>
  <si>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</si>
  <si>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</si>
  <si>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</si>
  <si>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</si>
  <si>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</si>
  <si>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</si>
  <si>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</si>
  <si>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</si>
  <si>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</si>
  <si>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</si>
  <si>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</si>
  <si>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</si>
  <si>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</si>
  <si>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</si>
  <si>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</si>
  <si>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</si>
  <si>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</si>
  <si>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</si>
  <si>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</si>
  <si>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</si>
  <si>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</si>
  <si>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</si>
  <si>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</si>
  <si>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</si>
  <si>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</si>
  <si>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</si>
  <si>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</si>
  <si>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</si>
  <si>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</si>
  <si>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</si>
  <si>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</si>
  <si>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</si>
  <si>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</si>
  <si>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</si>
  <si>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</si>
  <si>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</si>
  <si>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</si>
  <si>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</si>
  <si>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</si>
  <si>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</si>
  <si>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</si>
  <si>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</si>
  <si>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</si>
  <si>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</si>
  <si>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</si>
  <si>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</si>
  <si>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</si>
  <si>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</si>
  <si>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调价倍数6</t>
  </si>
  <si>
    <t>调价倍数8</t>
  </si>
  <si>
    <t>调价倍数9</t>
  </si>
  <si>
    <t>调价倍数7</t>
  </si>
  <si>
    <t>房间模型价</t>
  </si>
  <si>
    <t>实际定价</t>
  </si>
  <si>
    <t>差距</t>
  </si>
  <si>
    <t>A</t>
  </si>
  <si>
    <t>B</t>
  </si>
  <si>
    <t>C</t>
  </si>
  <si>
    <t>D</t>
  </si>
  <si>
    <t>E</t>
  </si>
  <si>
    <t>F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</si>
  <si>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</si>
  <si>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</si>
  <si>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</si>
  <si>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</si>
  <si>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</si>
  <si>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</si>
  <si>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</si>
  <si>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</si>
  <si>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</si>
  <si>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</si>
  <si>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</si>
  <si>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</si>
  <si>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</si>
  <si>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</si>
  <si>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</si>
  <si>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</si>
  <si>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</si>
  <si>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</si>
  <si>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</si>
  <si>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</si>
  <si>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兴围中</t>
  </si>
  <si>
    <t>6-20</t>
  </si>
  <si>
    <t>门口</t>
  </si>
  <si>
    <t>门窗</t>
  </si>
  <si>
    <t>入户门</t>
  </si>
  <si>
    <t>入户门02钢门</t>
  </si>
  <si>
    <t>/</t>
  </si>
  <si>
    <t>智能门锁</t>
  </si>
  <si>
    <t>智能门锁01</t>
  </si>
  <si>
    <t>标识</t>
  </si>
  <si>
    <t>门牌号</t>
  </si>
  <si>
    <t>门牌号01</t>
  </si>
  <si>
    <t>公告栏</t>
  </si>
  <si>
    <t>户内公告栏01</t>
  </si>
  <si>
    <t>客厅1</t>
  </si>
  <si>
    <t>消防</t>
  </si>
  <si>
    <t>灭火器</t>
  </si>
  <si>
    <t>灭火器01</t>
  </si>
  <si>
    <t>家具</t>
  </si>
  <si>
    <t>鞋柜</t>
  </si>
  <si>
    <t>鞋柜01</t>
  </si>
  <si>
    <t>茶几</t>
  </si>
  <si>
    <t>茶几01圆形</t>
  </si>
  <si>
    <t>沙发</t>
  </si>
  <si>
    <t>沙发02两人</t>
  </si>
  <si>
    <t>两人餐桌01正方形</t>
  </si>
  <si>
    <t>椅子</t>
  </si>
  <si>
    <t>椅子02配餐桌</t>
  </si>
  <si>
    <t>电器</t>
  </si>
  <si>
    <t>空调</t>
  </si>
  <si>
    <t>冷暖空调01-1p</t>
  </si>
  <si>
    <t>遥控器</t>
  </si>
  <si>
    <t>空调遥控器01</t>
  </si>
  <si>
    <t>灯具</t>
  </si>
  <si>
    <t>筒灯</t>
  </si>
  <si>
    <t>筒灯01</t>
  </si>
  <si>
    <t>吸顶灯</t>
  </si>
  <si>
    <t>吸顶灯01</t>
  </si>
  <si>
    <t>烟感</t>
  </si>
  <si>
    <t>烟感01</t>
  </si>
  <si>
    <t>强电</t>
  </si>
  <si>
    <t>户内箱</t>
  </si>
  <si>
    <t>户内配电箱01</t>
  </si>
  <si>
    <t>网络收纳盒</t>
  </si>
  <si>
    <t>网络收纳盒01</t>
  </si>
  <si>
    <t>网络</t>
  </si>
  <si>
    <t>光猫</t>
  </si>
  <si>
    <t>光猫01</t>
  </si>
  <si>
    <t>试衣镜</t>
  </si>
  <si>
    <t>试衣镜01</t>
  </si>
  <si>
    <t>窗</t>
  </si>
  <si>
    <t>窗户02磨砂</t>
  </si>
  <si>
    <t>软装装饰</t>
  </si>
  <si>
    <t>窗帘</t>
  </si>
  <si>
    <t>布帘01</t>
  </si>
  <si>
    <t>操作台02洗衣机1.6m</t>
  </si>
  <si>
    <t>镜子</t>
  </si>
  <si>
    <t>镜子01</t>
  </si>
  <si>
    <t>镜前灯</t>
  </si>
  <si>
    <t>镜前灯01</t>
  </si>
  <si>
    <t>等电位箱</t>
  </si>
  <si>
    <t>等电位箱01</t>
  </si>
  <si>
    <t>晾衣架</t>
  </si>
  <si>
    <t>墙上/天花晾衣杆</t>
  </si>
  <si>
    <t>卧室1</t>
  </si>
  <si>
    <t>房间门</t>
  </si>
  <si>
    <t>房间门01</t>
  </si>
  <si>
    <t>床</t>
  </si>
  <si>
    <t>标准床01-1.5m宽</t>
  </si>
  <si>
    <t>床垫</t>
  </si>
  <si>
    <t>床垫01-1.5m</t>
  </si>
  <si>
    <t>衣柜</t>
  </si>
  <si>
    <t>衣柜01-通用无冰箱</t>
  </si>
  <si>
    <t>整体卫浴</t>
  </si>
  <si>
    <t>卫生间门</t>
  </si>
  <si>
    <t>整体卫浴卫生间门01</t>
  </si>
  <si>
    <t>排风扇</t>
  </si>
  <si>
    <t>排风扇01</t>
  </si>
  <si>
    <t>整体卫浴镜子01</t>
  </si>
  <si>
    <t>厨卫灯</t>
  </si>
  <si>
    <t>整体卫浴厨卫灯01</t>
  </si>
  <si>
    <t>卫浴五金</t>
  </si>
  <si>
    <t>淋浴器</t>
  </si>
  <si>
    <t>整体卫浴淋浴手持花洒01</t>
  </si>
  <si>
    <t>马桶</t>
  </si>
  <si>
    <t>整体卫浴坐便器01</t>
  </si>
  <si>
    <t>毛巾架</t>
  </si>
  <si>
    <t>整体卫浴毛巾架01</t>
  </si>
  <si>
    <t>热水器</t>
  </si>
  <si>
    <t>电热水器02-60L</t>
  </si>
  <si>
    <t>功能标识</t>
  </si>
  <si>
    <t>防水贴纸</t>
  </si>
  <si>
    <t>洗手盆</t>
  </si>
  <si>
    <t>整体卫浴悬挂式洗手盆01</t>
  </si>
  <si>
    <t>浴篮</t>
  </si>
  <si>
    <t>整体卫浴三角浴篮01</t>
  </si>
  <si>
    <t>纸巾架</t>
  </si>
  <si>
    <t>整体卫浴纸巾架01</t>
  </si>
  <si>
    <t>衣柜02-通用有冰箱</t>
  </si>
  <si>
    <t>卷帘01</t>
  </si>
  <si>
    <t>操作台03洗衣机1.2m</t>
  </si>
  <si>
    <t>书桌03小书桌0.6m</t>
  </si>
  <si>
    <t>椅子01配书桌</t>
  </si>
  <si>
    <t>整体卫浴排风扇01</t>
  </si>
  <si>
    <t>电热水器01-40L</t>
  </si>
  <si>
    <t>书桌02带挡板0.9m</t>
  </si>
  <si>
    <t>入户门01木门</t>
  </si>
  <si>
    <t>窗户01清玻</t>
  </si>
  <si>
    <t>床头柜</t>
  </si>
  <si>
    <t>床头柜01</t>
  </si>
  <si>
    <t>沙发01单人</t>
  </si>
  <si>
    <t>传统卫生间1</t>
  </si>
  <si>
    <t>卫生间门01</t>
  </si>
  <si>
    <t>嵌入式厨卫灯01</t>
  </si>
  <si>
    <t>淋浴手持花洒01</t>
  </si>
  <si>
    <t>坐便器01</t>
  </si>
  <si>
    <t>毛巾架01</t>
  </si>
  <si>
    <t>三角浴篮01</t>
  </si>
  <si>
    <t>纸巾架01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</si>
  <si>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</si>
  <si>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</si>
  <si>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</si>
  <si>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</si>
  <si>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</si>
  <si>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</si>
  <si>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</si>
  <si>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</si>
  <si>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</si>
  <si>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</si>
  <si>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</si>
  <si>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</si>
  <si>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</si>
  <si>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</si>
  <si>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</si>
  <si>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</si>
  <si>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</si>
  <si>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</si>
  <si>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</si>
  <si>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</si>
  <si>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</si>
  <si>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</si>
  <si>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</si>
  <si>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</si>
  <si>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</si>
  <si>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</si>
  <si>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</si>
  <si>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</si>
  <si>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</si>
  <si>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</si>
  <si>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</si>
  <si>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</si>
  <si>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</si>
  <si>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</si>
  <si>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</si>
  <si>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</si>
  <si>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</si>
  <si>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</si>
  <si>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</si>
  <si>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</si>
  <si>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</si>
  <si>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</si>
  <si>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</si>
  <si>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</si>
  <si>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福围广生</t>
  </si>
  <si>
    <t>和顺新村</t>
  </si>
  <si>
    <t>桥荣路</t>
  </si>
  <si>
    <t>桥头新村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</si>
</sst>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[$-F800]dddd\,\ mmmm\ dd\,\ yyyy"/>
  </numFmts>
  <fonts count="7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indexed="8"/>
      <name val="微软雅黑"/>
      <charset val="134"/>
    </font>
    <font>
      <b/>
      <sz val="11"/>
      <color theme="0"/>
      <name val="微软雅黑"/>
      <charset val="134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b/>
      <sz val="12"/>
      <name val="微软雅黑 Light"/>
      <charset val="134"/>
    </font>
    <font>
      <sz val="11"/>
      <name val="微软雅黑 Light"/>
      <charset val="134"/>
    </font>
    <font>
      <sz val="11"/>
      <color theme="0"/>
      <name val="微软雅黑 Light"/>
      <charset val="134"/>
    </font>
    <font>
      <sz val="11"/>
      <color theme="1"/>
      <name val="微软雅黑 Light"/>
      <charset val="134"/>
    </font>
    <font>
      <sz val="10"/>
      <name val="微软雅黑 Light"/>
      <charset val="134"/>
    </font>
    <font>
      <b/>
      <sz val="12"/>
      <color theme="1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7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85351115451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46" borderId="61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62" applyNumberFormat="0" applyFill="0" applyAlignment="0" applyProtection="0">
      <alignment vertical="center"/>
    </xf>
    <xf numFmtId="0" fontId="53" fillId="0" borderId="62" applyNumberFormat="0" applyFill="0" applyAlignment="0" applyProtection="0">
      <alignment vertical="center"/>
    </xf>
    <xf numFmtId="0" fontId="54" fillId="0" borderId="6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7" borderId="64" applyNumberFormat="0" applyAlignment="0" applyProtection="0">
      <alignment vertical="center"/>
    </xf>
    <xf numFmtId="0" fontId="56" fillId="48" borderId="65" applyNumberFormat="0" applyAlignment="0" applyProtection="0">
      <alignment vertical="center"/>
    </xf>
    <xf numFmtId="0" fontId="57" fillId="48" borderId="64" applyNumberFormat="0" applyAlignment="0" applyProtection="0">
      <alignment vertical="center"/>
    </xf>
    <xf numFmtId="0" fontId="58" fillId="49" borderId="66" applyNumberFormat="0" applyAlignment="0" applyProtection="0">
      <alignment vertical="center"/>
    </xf>
    <xf numFmtId="0" fontId="59" fillId="0" borderId="67" applyNumberFormat="0" applyFill="0" applyAlignment="0" applyProtection="0">
      <alignment vertical="center"/>
    </xf>
    <xf numFmtId="0" fontId="60" fillId="0" borderId="68" applyNumberFormat="0" applyFill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5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5" fillId="57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61" borderId="0" applyNumberFormat="0" applyBorder="0" applyAlignment="0" applyProtection="0">
      <alignment vertical="center"/>
    </xf>
    <xf numFmtId="0" fontId="65" fillId="62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5" fillId="64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4" fillId="65" borderId="0" applyNumberFormat="0" applyBorder="0" applyAlignment="0" applyProtection="0">
      <alignment vertical="center"/>
    </xf>
    <xf numFmtId="0" fontId="64" fillId="66" borderId="0" applyNumberFormat="0" applyBorder="0" applyAlignment="0" applyProtection="0">
      <alignment vertical="center"/>
    </xf>
    <xf numFmtId="0" fontId="65" fillId="67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4" fillId="68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5" fillId="69" borderId="0" applyNumberFormat="0" applyBorder="0" applyAlignment="0" applyProtection="0">
      <alignment vertical="center"/>
    </xf>
    <xf numFmtId="0" fontId="65" fillId="70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42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4" fillId="5" borderId="1" xfId="49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4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/>
    </xf>
    <xf numFmtId="5" fontId="8" fillId="13" borderId="1" xfId="0" applyNumberFormat="1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left" vertical="center"/>
    </xf>
    <xf numFmtId="0" fontId="14" fillId="18" borderId="10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3" fillId="20" borderId="1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0" fontId="13" fillId="19" borderId="11" xfId="0" applyFont="1" applyFill="1" applyBorder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13" fillId="21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3" fillId="21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3" fillId="21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0" fillId="22" borderId="1" xfId="0" applyFill="1" applyBorder="1" applyAlignment="1">
      <alignment horizontal="center" vertical="center"/>
    </xf>
    <xf numFmtId="178" fontId="0" fillId="16" borderId="1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77" fontId="0" fillId="25" borderId="1" xfId="0" applyNumberForma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 wrapText="1"/>
    </xf>
    <xf numFmtId="177" fontId="0" fillId="24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77" fontId="0" fillId="28" borderId="1" xfId="0" applyNumberFormat="1" applyFill="1" applyBorder="1" applyAlignment="1">
      <alignment horizontal="center" vertical="center"/>
    </xf>
    <xf numFmtId="0" fontId="17" fillId="29" borderId="0" xfId="0" applyFont="1" applyFill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1" borderId="1" xfId="0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7" fontId="0" fillId="0" borderId="0" xfId="0" applyNumberFormat="1"/>
    <xf numFmtId="0" fontId="0" fillId="22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0" borderId="0" xfId="0" applyFill="1" applyAlignment="1">
      <alignment horizontal="center"/>
    </xf>
    <xf numFmtId="177" fontId="0" fillId="16" borderId="0" xfId="0" applyNumberFormat="1" applyFill="1" applyAlignment="1">
      <alignment horizontal="center"/>
    </xf>
    <xf numFmtId="0" fontId="0" fillId="22" borderId="1" xfId="0" applyFill="1" applyBorder="1" applyAlignment="1">
      <alignment vertical="center"/>
    </xf>
    <xf numFmtId="0" fontId="19" fillId="22" borderId="12" xfId="0" applyFont="1" applyFill="1" applyBorder="1" applyAlignment="1">
      <alignment vertical="center"/>
    </xf>
    <xf numFmtId="0" fontId="0" fillId="16" borderId="12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20" fillId="0" borderId="0" xfId="0" applyFont="1"/>
    <xf numFmtId="179" fontId="20" fillId="0" borderId="0" xfId="1" applyNumberFormat="1" applyFont="1" applyAlignment="1"/>
    <xf numFmtId="0" fontId="21" fillId="0" borderId="0" xfId="0" applyFont="1"/>
    <xf numFmtId="0" fontId="21" fillId="0" borderId="0" xfId="0" applyFont="1" applyAlignment="1">
      <alignment horizontal="center"/>
    </xf>
    <xf numFmtId="180" fontId="21" fillId="0" borderId="0" xfId="3" applyNumberFormat="1" applyFont="1" applyFill="1" applyAlignment="1"/>
    <xf numFmtId="0" fontId="22" fillId="0" borderId="1" xfId="0" applyFont="1" applyBorder="1" applyAlignment="1">
      <alignment horizontal="center"/>
    </xf>
    <xf numFmtId="0" fontId="23" fillId="34" borderId="15" xfId="0" applyFont="1" applyFill="1" applyBorder="1" applyAlignment="1">
      <alignment vertical="top" wrapText="1"/>
    </xf>
    <xf numFmtId="0" fontId="23" fillId="34" borderId="16" xfId="0" applyFont="1" applyFill="1" applyBorder="1" applyAlignment="1">
      <alignment horizontal="center" vertical="top" wrapText="1"/>
    </xf>
    <xf numFmtId="0" fontId="23" fillId="34" borderId="16" xfId="0" applyFont="1" applyFill="1" applyBorder="1" applyAlignment="1">
      <alignment vertical="top" wrapText="1"/>
    </xf>
    <xf numFmtId="180" fontId="23" fillId="0" borderId="16" xfId="3" applyNumberFormat="1" applyFont="1" applyFill="1" applyBorder="1" applyAlignment="1">
      <alignment vertical="top" wrapText="1"/>
    </xf>
    <xf numFmtId="0" fontId="24" fillId="35" borderId="16" xfId="0" applyFont="1" applyFill="1" applyBorder="1" applyAlignment="1">
      <alignment horizontal="left" vertical="center" wrapText="1" readingOrder="1"/>
    </xf>
    <xf numFmtId="0" fontId="24" fillId="34" borderId="16" xfId="0" applyFont="1" applyFill="1" applyBorder="1" applyAlignment="1">
      <alignment horizontal="left" vertical="center" wrapText="1" readingOrder="1"/>
    </xf>
    <xf numFmtId="0" fontId="25" fillId="36" borderId="1" xfId="0" applyFont="1" applyFill="1" applyBorder="1" applyAlignment="1">
      <alignment vertical="top" wrapText="1"/>
    </xf>
    <xf numFmtId="0" fontId="25" fillId="36" borderId="1" xfId="0" applyFont="1" applyFill="1" applyBorder="1" applyAlignment="1">
      <alignment horizontal="center" vertical="top" wrapText="1"/>
    </xf>
    <xf numFmtId="180" fontId="25" fillId="0" borderId="1" xfId="3" applyNumberFormat="1" applyFont="1" applyFill="1" applyBorder="1" applyAlignment="1">
      <alignment vertical="top" wrapText="1"/>
    </xf>
    <xf numFmtId="0" fontId="23" fillId="37" borderId="1" xfId="0" applyFont="1" applyFill="1" applyBorder="1" applyAlignment="1">
      <alignment vertical="center" wrapText="1" readingOrder="1"/>
    </xf>
    <xf numFmtId="0" fontId="26" fillId="37" borderId="1" xfId="0" applyFont="1" applyFill="1" applyBorder="1" applyAlignment="1">
      <alignment vertical="center" wrapText="1" readingOrder="1"/>
    </xf>
    <xf numFmtId="0" fontId="25" fillId="37" borderId="1" xfId="0" applyFont="1" applyFill="1" applyBorder="1" applyAlignment="1">
      <alignment vertical="center" wrapText="1" readingOrder="1"/>
    </xf>
    <xf numFmtId="0" fontId="25" fillId="37" borderId="1" xfId="0" applyFont="1" applyFill="1" applyBorder="1" applyAlignment="1">
      <alignment horizontal="center" vertical="center" wrapText="1" readingOrder="1"/>
    </xf>
    <xf numFmtId="180" fontId="25" fillId="0" borderId="1" xfId="3" applyNumberFormat="1" applyFont="1" applyFill="1" applyBorder="1" applyAlignment="1">
      <alignment vertical="center" wrapText="1" readingOrder="1"/>
    </xf>
    <xf numFmtId="0" fontId="25" fillId="37" borderId="0" xfId="0" applyFont="1" applyFill="1" applyAlignment="1">
      <alignment vertical="center" wrapText="1" readingOrder="1"/>
    </xf>
    <xf numFmtId="0" fontId="25" fillId="37" borderId="0" xfId="0" applyFont="1" applyFill="1" applyAlignment="1">
      <alignment horizontal="center" vertical="center" wrapText="1" readingOrder="1"/>
    </xf>
    <xf numFmtId="180" fontId="25" fillId="0" borderId="0" xfId="3" applyNumberFormat="1" applyFont="1" applyFill="1" applyBorder="1" applyAlignment="1">
      <alignment vertical="center" wrapText="1" readingOrder="1"/>
    </xf>
    <xf numFmtId="0" fontId="23" fillId="37" borderId="0" xfId="0" applyFont="1" applyFill="1" applyAlignment="1">
      <alignment vertical="center" wrapText="1" readingOrder="1"/>
    </xf>
    <xf numFmtId="181" fontId="25" fillId="37" borderId="0" xfId="1" applyNumberFormat="1" applyFont="1" applyFill="1" applyBorder="1" applyAlignment="1">
      <alignment vertical="center" wrapText="1" readingOrder="1"/>
    </xf>
    <xf numFmtId="179" fontId="25" fillId="37" borderId="0" xfId="1" applyNumberFormat="1" applyFont="1" applyFill="1" applyBorder="1" applyAlignment="1">
      <alignment vertical="center" wrapText="1" readingOrder="1"/>
    </xf>
    <xf numFmtId="179" fontId="23" fillId="37" borderId="0" xfId="1" applyNumberFormat="1" applyFont="1" applyFill="1" applyBorder="1" applyAlignment="1">
      <alignment vertical="center" wrapText="1" readingOrder="1"/>
    </xf>
    <xf numFmtId="179" fontId="26" fillId="37" borderId="1" xfId="1" applyNumberFormat="1" applyFont="1" applyFill="1" applyBorder="1" applyAlignment="1">
      <alignment vertical="center" wrapText="1" readingOrder="1"/>
    </xf>
    <xf numFmtId="179" fontId="23" fillId="37" borderId="1" xfId="1" applyNumberFormat="1" applyFont="1" applyFill="1" applyBorder="1" applyAlignment="1">
      <alignment vertical="center" wrapText="1" readingOrder="1"/>
    </xf>
    <xf numFmtId="179" fontId="26" fillId="16" borderId="1" xfId="1" applyNumberFormat="1" applyFont="1" applyFill="1" applyBorder="1" applyAlignment="1">
      <alignment vertical="center" wrapText="1" readingOrder="1"/>
    </xf>
    <xf numFmtId="0" fontId="19" fillId="36" borderId="1" xfId="0" applyFont="1" applyFill="1" applyBorder="1" applyAlignment="1">
      <alignment horizontal="center" vertical="center"/>
    </xf>
    <xf numFmtId="179" fontId="23" fillId="37" borderId="0" xfId="0" applyNumberFormat="1" applyFont="1" applyFill="1" applyAlignment="1">
      <alignment vertical="center" wrapText="1" readingOrder="1"/>
    </xf>
    <xf numFmtId="179" fontId="26" fillId="37" borderId="0" xfId="1" applyNumberFormat="1" applyFont="1" applyFill="1" applyBorder="1" applyAlignment="1">
      <alignment vertical="center" wrapText="1" readingOrder="1"/>
    </xf>
    <xf numFmtId="179" fontId="26" fillId="37" borderId="0" xfId="0" applyNumberFormat="1" applyFont="1" applyFill="1" applyAlignment="1">
      <alignment vertical="center" wrapText="1" readingOrder="1"/>
    </xf>
    <xf numFmtId="179" fontId="19" fillId="36" borderId="0" xfId="0" applyNumberFormat="1" applyFont="1" applyFill="1" applyAlignment="1">
      <alignment horizontal="center" vertical="center"/>
    </xf>
    <xf numFmtId="181" fontId="25" fillId="16" borderId="0" xfId="1" applyNumberFormat="1" applyFont="1" applyFill="1" applyBorder="1" applyAlignment="1">
      <alignment vertical="center" wrapText="1" readingOrder="1"/>
    </xf>
    <xf numFmtId="179" fontId="23" fillId="37" borderId="1" xfId="0" applyNumberFormat="1" applyFont="1" applyFill="1" applyBorder="1" applyAlignment="1">
      <alignment vertical="center" wrapText="1" readingOrder="1"/>
    </xf>
    <xf numFmtId="180" fontId="25" fillId="16" borderId="0" xfId="3" applyNumberFormat="1" applyFont="1" applyFill="1" applyBorder="1" applyAlignment="1">
      <alignment vertical="center" wrapText="1" readingOrder="1"/>
    </xf>
    <xf numFmtId="179" fontId="26" fillId="37" borderId="1" xfId="0" applyNumberFormat="1" applyFont="1" applyFill="1" applyBorder="1" applyAlignment="1">
      <alignment vertical="center" wrapText="1" readingOrder="1"/>
    </xf>
    <xf numFmtId="0" fontId="25" fillId="16" borderId="0" xfId="0" applyFont="1" applyFill="1" applyAlignment="1">
      <alignment vertical="center" wrapText="1" readingOrder="1"/>
    </xf>
    <xf numFmtId="0" fontId="19" fillId="16" borderId="1" xfId="0" applyFont="1" applyFill="1" applyBorder="1" applyAlignment="1">
      <alignment horizontal="center" vertical="center"/>
    </xf>
    <xf numFmtId="179" fontId="23" fillId="16" borderId="0" xfId="0" applyNumberFormat="1" applyFont="1" applyFill="1" applyAlignment="1">
      <alignment vertical="center" wrapText="1" readingOrder="1"/>
    </xf>
    <xf numFmtId="0" fontId="26" fillId="37" borderId="0" xfId="0" applyFont="1" applyFill="1" applyAlignment="1">
      <alignment vertical="center" wrapText="1" readingOrder="1"/>
    </xf>
    <xf numFmtId="9" fontId="25" fillId="0" borderId="0" xfId="3" applyFont="1" applyFill="1" applyBorder="1" applyAlignment="1">
      <alignment vertical="center" wrapText="1" readingOrder="1"/>
    </xf>
    <xf numFmtId="179" fontId="20" fillId="0" borderId="0" xfId="0" applyNumberFormat="1" applyFont="1"/>
    <xf numFmtId="10" fontId="20" fillId="0" borderId="0" xfId="0" applyNumberFormat="1" applyFont="1"/>
    <xf numFmtId="180" fontId="23" fillId="0" borderId="0" xfId="3" applyNumberFormat="1" applyFont="1" applyFill="1" applyBorder="1" applyAlignment="1">
      <alignment vertical="center" wrapText="1" readingOrder="1"/>
    </xf>
    <xf numFmtId="180" fontId="21" fillId="0" borderId="0" xfId="3" applyNumberFormat="1" applyFont="1" applyFill="1" applyBorder="1" applyAlignment="1"/>
    <xf numFmtId="0" fontId="23" fillId="0" borderId="0" xfId="0" applyFont="1" applyAlignment="1">
      <alignment vertical="center" wrapText="1" readingOrder="1"/>
    </xf>
    <xf numFmtId="0" fontId="27" fillId="0" borderId="0" xfId="0" applyFont="1"/>
    <xf numFmtId="181" fontId="0" fillId="0" borderId="0" xfId="1" applyNumberFormat="1" applyFont="1" applyAlignment="1"/>
    <xf numFmtId="181" fontId="27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6" borderId="0" xfId="1" applyNumberFormat="1" applyFont="1" applyFill="1" applyAlignment="1"/>
    <xf numFmtId="0" fontId="24" fillId="34" borderId="1" xfId="0" applyFont="1" applyFill="1" applyBorder="1" applyAlignment="1">
      <alignment horizontal="left" vertical="center" wrapText="1" readingOrder="1"/>
    </xf>
    <xf numFmtId="0" fontId="28" fillId="34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25" fillId="0" borderId="0" xfId="0" applyFont="1" applyAlignment="1">
      <alignment vertical="center" wrapText="1" readingOrder="1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5" fillId="38" borderId="1" xfId="0" applyNumberFormat="1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5" fillId="39" borderId="14" xfId="0" applyFont="1" applyFill="1" applyBorder="1" applyAlignment="1">
      <alignment horizontal="center" vertical="center"/>
    </xf>
    <xf numFmtId="0" fontId="5" fillId="39" borderId="17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176" fontId="11" fillId="0" borderId="29" xfId="0" applyNumberFormat="1" applyFont="1" applyBorder="1" applyAlignment="1">
      <alignment horizontal="center" vertical="center"/>
    </xf>
    <xf numFmtId="176" fontId="11" fillId="0" borderId="32" xfId="0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9" fontId="5" fillId="0" borderId="1" xfId="3" applyNumberFormat="1" applyFont="1" applyBorder="1" applyAlignment="1">
      <alignment horizontal="center" vertical="center"/>
    </xf>
    <xf numFmtId="0" fontId="3" fillId="19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9" fontId="5" fillId="0" borderId="28" xfId="3" applyFont="1" applyBorder="1" applyAlignment="1">
      <alignment horizontal="center" vertical="center"/>
    </xf>
    <xf numFmtId="0" fontId="3" fillId="19" borderId="29" xfId="0" applyFont="1" applyFill="1" applyBorder="1" applyAlignment="1">
      <alignment horizontal="center" vertical="center"/>
    </xf>
    <xf numFmtId="0" fontId="0" fillId="0" borderId="41" xfId="0" applyBorder="1"/>
    <xf numFmtId="0" fontId="3" fillId="0" borderId="41" xfId="0" applyFont="1" applyBorder="1" applyAlignment="1">
      <alignment vertical="center"/>
    </xf>
    <xf numFmtId="0" fontId="3" fillId="2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9" fontId="0" fillId="0" borderId="39" xfId="3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9" fontId="0" fillId="0" borderId="29" xfId="3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9" fontId="0" fillId="0" borderId="28" xfId="3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34" fillId="40" borderId="51" xfId="0" applyFont="1" applyFill="1" applyBorder="1" applyAlignment="1">
      <alignment horizontal="center" vertical="center"/>
    </xf>
    <xf numFmtId="176" fontId="34" fillId="40" borderId="51" xfId="0" applyNumberFormat="1" applyFont="1" applyFill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176" fontId="9" fillId="0" borderId="51" xfId="0" applyNumberFormat="1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 wrapText="1"/>
    </xf>
    <xf numFmtId="176" fontId="9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35" fillId="0" borderId="0" xfId="0" applyFont="1"/>
    <xf numFmtId="0" fontId="19" fillId="0" borderId="0" xfId="0" applyFont="1"/>
    <xf numFmtId="0" fontId="0" fillId="0" borderId="0" xfId="49"/>
    <xf numFmtId="0" fontId="3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9" fontId="4" fillId="0" borderId="0" xfId="1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0" fontId="35" fillId="41" borderId="1" xfId="0" applyFont="1" applyFill="1" applyBorder="1" applyAlignment="1">
      <alignment horizontal="center" vertical="center"/>
    </xf>
    <xf numFmtId="0" fontId="37" fillId="41" borderId="1" xfId="0" applyFont="1" applyFill="1" applyBorder="1" applyAlignment="1">
      <alignment horizontal="center" vertical="center"/>
    </xf>
    <xf numFmtId="179" fontId="37" fillId="41" borderId="1" xfId="1" applyNumberFormat="1" applyFont="1" applyFill="1" applyBorder="1" applyAlignment="1">
      <alignment vertical="center"/>
    </xf>
    <xf numFmtId="0" fontId="35" fillId="41" borderId="1" xfId="0" applyFont="1" applyFill="1" applyBorder="1" applyAlignment="1" applyProtection="1">
      <alignment horizontal="center" vertical="center"/>
      <protection locked="0"/>
    </xf>
    <xf numFmtId="0" fontId="35" fillId="41" borderId="1" xfId="0" applyFont="1" applyFill="1" applyBorder="1" applyAlignment="1">
      <alignment horizontal="left" vertical="center"/>
    </xf>
    <xf numFmtId="181" fontId="35" fillId="0" borderId="0" xfId="1" applyNumberFormat="1" applyFont="1" applyAlignment="1"/>
    <xf numFmtId="0" fontId="35" fillId="0" borderId="0" xfId="0" applyFont="1" applyAlignment="1">
      <alignment horizontal="center" vertical="center"/>
    </xf>
    <xf numFmtId="0" fontId="38" fillId="41" borderId="1" xfId="0" applyFont="1" applyFill="1" applyBorder="1" applyAlignment="1">
      <alignment horizontal="center" vertical="center"/>
    </xf>
    <xf numFmtId="0" fontId="39" fillId="42" borderId="12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79" fontId="4" fillId="5" borderId="1" xfId="50" applyNumberFormat="1" applyFont="1" applyFill="1" applyBorder="1" applyAlignment="1">
      <alignment vertical="center"/>
    </xf>
    <xf numFmtId="0" fontId="36" fillId="5" borderId="1" xfId="49" applyFont="1" applyFill="1" applyBorder="1" applyAlignment="1">
      <alignment horizontal="left" vertical="center"/>
    </xf>
    <xf numFmtId="0" fontId="36" fillId="5" borderId="1" xfId="0" applyFont="1" applyFill="1" applyBorder="1" applyAlignment="1">
      <alignment horizontal="left" vertical="center"/>
    </xf>
    <xf numFmtId="0" fontId="27" fillId="35" borderId="1" xfId="0" applyFont="1" applyFill="1" applyBorder="1" applyAlignment="1">
      <alignment horizontal="center" vertical="center"/>
    </xf>
    <xf numFmtId="0" fontId="39" fillId="42" borderId="13" xfId="0" applyFont="1" applyFill="1" applyBorder="1" applyAlignment="1">
      <alignment horizontal="center" vertical="center" wrapText="1"/>
    </xf>
    <xf numFmtId="0" fontId="20" fillId="43" borderId="1" xfId="0" applyFont="1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39" fillId="42" borderId="5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36" fillId="5" borderId="1" xfId="49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41" fillId="44" borderId="12" xfId="0" applyFont="1" applyFill="1" applyBorder="1" applyAlignment="1">
      <alignment horizontal="center" vertical="center" wrapText="1"/>
    </xf>
    <xf numFmtId="0" fontId="41" fillId="44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0" fontId="41" fillId="44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3" fillId="35" borderId="1" xfId="0" applyFont="1" applyFill="1" applyBorder="1" applyAlignment="1">
      <alignment horizontal="center" vertical="center"/>
    </xf>
    <xf numFmtId="0" fontId="38" fillId="16" borderId="1" xfId="49" applyFont="1" applyFill="1" applyBorder="1" applyAlignment="1">
      <alignment horizontal="center"/>
    </xf>
    <xf numFmtId="0" fontId="43" fillId="22" borderId="1" xfId="49" applyFont="1" applyFill="1" applyBorder="1" applyAlignment="1">
      <alignment horizontal="center" vertical="center"/>
    </xf>
    <xf numFmtId="0" fontId="36" fillId="45" borderId="1" xfId="49" applyFont="1" applyFill="1" applyBorder="1" applyAlignment="1">
      <alignment horizontal="center" vertical="center"/>
    </xf>
    <xf numFmtId="0" fontId="41" fillId="44" borderId="5" xfId="0" applyFont="1" applyFill="1" applyBorder="1" applyAlignment="1">
      <alignment horizontal="center" vertical="center" wrapText="1"/>
    </xf>
    <xf numFmtId="0" fontId="42" fillId="5" borderId="12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42" fillId="5" borderId="13" xfId="0" applyFont="1" applyFill="1" applyBorder="1" applyAlignment="1">
      <alignment horizontal="center" vertical="center"/>
    </xf>
    <xf numFmtId="0" fontId="42" fillId="5" borderId="5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 wrapText="1"/>
    </xf>
    <xf numFmtId="0" fontId="42" fillId="5" borderId="12" xfId="49" applyFont="1" applyFill="1" applyBorder="1" applyAlignment="1">
      <alignment horizontal="center" vertical="center"/>
    </xf>
    <xf numFmtId="0" fontId="42" fillId="5" borderId="13" xfId="49" applyFont="1" applyFill="1" applyBorder="1" applyAlignment="1">
      <alignment horizontal="center" vertical="center"/>
    </xf>
    <xf numFmtId="0" fontId="36" fillId="5" borderId="1" xfId="49" applyFont="1" applyFill="1" applyBorder="1" applyAlignment="1">
      <alignment horizontal="center" vertical="center"/>
    </xf>
    <xf numFmtId="0" fontId="38" fillId="35" borderId="53" xfId="49" applyFont="1" applyFill="1" applyBorder="1" applyAlignment="1">
      <alignment horizontal="center" vertical="center" wrapText="1"/>
    </xf>
    <xf numFmtId="0" fontId="38" fillId="16" borderId="54" xfId="49" applyFont="1" applyFill="1" applyBorder="1" applyAlignment="1">
      <alignment horizontal="center" vertical="center" wrapText="1"/>
    </xf>
    <xf numFmtId="0" fontId="38" fillId="16" borderId="55" xfId="49" applyFont="1" applyFill="1" applyBorder="1" applyAlignment="1">
      <alignment horizontal="center" vertical="center" wrapText="1"/>
    </xf>
    <xf numFmtId="0" fontId="44" fillId="22" borderId="1" xfId="49" applyFont="1" applyFill="1" applyBorder="1" applyAlignment="1">
      <alignment horizontal="center" vertical="center"/>
    </xf>
    <xf numFmtId="0" fontId="45" fillId="45" borderId="1" xfId="49" applyFont="1" applyFill="1" applyBorder="1" applyAlignment="1">
      <alignment horizontal="center" vertical="center" wrapText="1"/>
    </xf>
    <xf numFmtId="0" fontId="45" fillId="45" borderId="1" xfId="49" applyFont="1" applyFill="1" applyBorder="1" applyAlignment="1">
      <alignment horizontal="center" vertical="center"/>
    </xf>
    <xf numFmtId="0" fontId="45" fillId="45" borderId="56" xfId="49" applyFont="1" applyFill="1" applyBorder="1" applyAlignment="1">
      <alignment horizontal="center" vertical="center"/>
    </xf>
    <xf numFmtId="0" fontId="45" fillId="45" borderId="57" xfId="49" applyFont="1" applyFill="1" applyBorder="1" applyAlignment="1">
      <alignment horizontal="center" vertical="center" wrapText="1"/>
    </xf>
    <xf numFmtId="0" fontId="45" fillId="45" borderId="58" xfId="49" applyFont="1" applyFill="1" applyBorder="1" applyAlignment="1">
      <alignment horizontal="center" vertical="center" wrapText="1"/>
    </xf>
    <xf numFmtId="0" fontId="42" fillId="5" borderId="5" xfId="49" applyFont="1" applyFill="1" applyBorder="1" applyAlignment="1">
      <alignment horizontal="center" vertical="center"/>
    </xf>
    <xf numFmtId="179" fontId="4" fillId="5" borderId="1" xfId="50" applyNumberFormat="1" applyFont="1" applyFill="1" applyBorder="1" applyAlignment="1">
      <alignment horizontal="center" vertical="center"/>
    </xf>
    <xf numFmtId="0" fontId="41" fillId="44" borderId="13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4" fillId="0" borderId="1" xfId="1" applyNumberFormat="1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6" fillId="0" borderId="1" xfId="0" applyFont="1" applyBorder="1" applyAlignment="1">
      <alignment horizontal="left" vertical="center" wrapText="1"/>
    </xf>
    <xf numFmtId="183" fontId="0" fillId="0" borderId="0" xfId="0" applyNumberFormat="1"/>
    <xf numFmtId="0" fontId="0" fillId="0" borderId="0" xfId="0" applyAlignment="1">
      <alignment horizontal="left" wrapText="1"/>
    </xf>
    <xf numFmtId="18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6" fillId="20" borderId="59" xfId="0" applyFont="1" applyFill="1" applyBorder="1" applyAlignment="1">
      <alignment horizontal="center" vertical="center"/>
    </xf>
    <xf numFmtId="183" fontId="46" fillId="20" borderId="54" xfId="0" applyNumberFormat="1" applyFont="1" applyFill="1" applyBorder="1" applyAlignment="1">
      <alignment horizontal="center" vertical="center"/>
    </xf>
    <xf numFmtId="0" fontId="46" fillId="20" borderId="54" xfId="0" applyFont="1" applyFill="1" applyBorder="1" applyAlignment="1">
      <alignment horizontal="center" vertical="center"/>
    </xf>
    <xf numFmtId="183" fontId="46" fillId="20" borderId="55" xfId="0" applyNumberFormat="1" applyFont="1" applyFill="1" applyBorder="1" applyAlignment="1">
      <alignment horizontal="center" vertical="center"/>
    </xf>
    <xf numFmtId="183" fontId="0" fillId="0" borderId="60" xfId="0" applyNumberFormat="1" applyBorder="1" applyAlignment="1">
      <alignment horizontal="center" vertical="center"/>
    </xf>
    <xf numFmtId="183" fontId="0" fillId="0" borderId="60" xfId="0" applyNumberFormat="1" applyBorder="1" applyAlignment="1">
      <alignment horizontal="center" vertical="center" wrapText="1"/>
    </xf>
    <xf numFmtId="183" fontId="0" fillId="0" borderId="60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61955626087"/>
        </patternFill>
      </fill>
    </dxf>
    <dxf>
      <fill>
        <patternFill patternType="solid">
          <bgColor theme="7" tint="0.799798577837458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13820" y="3248025"/>
          <a:ext cx="5061585" cy="712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02150" y="3249930"/>
          <a:ext cx="5905500" cy="440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45825" y="3238500"/>
          <a:ext cx="5112385" cy="3583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5dffb33ec0e668ff\&#25991;&#26723;\WXWork\1688857830569206\Cache\File\2024-07\&#20852;&#22260;&#26449;-&#20852;&#22260;&#20013;6-20&#26635;-&#36164;&#201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产表填写规则"/>
      <sheetName val="资产位置目录"/>
      <sheetName val="公寓房间&amp;公寓公区资产项目录"/>
      <sheetName val="共享公区&amp;公共空间资产项目录"/>
      <sheetName val="三类资产目录"/>
      <sheetName val="供应商汇总"/>
      <sheetName val="资产供应商分类"/>
      <sheetName val="共享公区&amp;公共空间资产项汇总"/>
      <sheetName val="共享公区产品库"/>
      <sheetName val="网络运营商统计"/>
      <sheetName val="修订记录@2022"/>
      <sheetName val="楼栋房屋信息表【模板示例】"/>
      <sheetName val="资产项汇总"/>
      <sheetName val="房源模板导入"/>
      <sheetName val="栋公寓房间资产表"/>
      <sheetName val="栋公寓公区资产表"/>
      <sheetName val="户型资产模板导入"/>
      <sheetName val="户型资产模板导入 (传系统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G1" t="str">
            <v>三类</v>
          </cell>
          <cell r="H1" t="str">
            <v>资产项</v>
          </cell>
          <cell r="I1" t="str">
            <v>品牌</v>
          </cell>
          <cell r="J1" t="str">
            <v>规格型号</v>
          </cell>
          <cell r="K1" t="str">
            <v>供应商</v>
          </cell>
          <cell r="L1" t="str">
            <v>单位 例:个,包</v>
          </cell>
          <cell r="M1" t="str">
            <v>采购价</v>
          </cell>
        </row>
        <row r="2">
          <cell r="G2" t="str">
            <v>喷淋头01</v>
          </cell>
          <cell r="H2" t="str">
            <v>喷淋头01_/</v>
          </cell>
          <cell r="I2" t="str">
            <v>/</v>
          </cell>
          <cell r="J2" t="str">
            <v>DN15</v>
          </cell>
          <cell r="K2" t="str">
            <v>/</v>
          </cell>
          <cell r="L2" t="str">
            <v>个</v>
          </cell>
          <cell r="M2">
            <v>27</v>
          </cell>
        </row>
        <row r="3">
          <cell r="G3" t="str">
            <v>声光报警器01</v>
          </cell>
          <cell r="H3" t="str">
            <v>声光报警器01_/</v>
          </cell>
          <cell r="I3" t="str">
            <v>/</v>
          </cell>
          <cell r="J3" t="str">
            <v>-</v>
          </cell>
          <cell r="K3" t="str">
            <v>/</v>
          </cell>
          <cell r="L3" t="str">
            <v>个</v>
          </cell>
          <cell r="M3">
            <v>88</v>
          </cell>
        </row>
        <row r="4">
          <cell r="G4" t="str">
            <v>安全出口指示牌01</v>
          </cell>
          <cell r="H4" t="str">
            <v>安全出口指示牌01_/</v>
          </cell>
          <cell r="I4" t="str">
            <v>/</v>
          </cell>
          <cell r="J4" t="str">
            <v>安全出口指示牌220V/LED-3W</v>
          </cell>
          <cell r="K4" t="str">
            <v>/</v>
          </cell>
          <cell r="L4" t="str">
            <v>个</v>
          </cell>
          <cell r="M4">
            <v>38</v>
          </cell>
        </row>
        <row r="5">
          <cell r="G5" t="str">
            <v>手动报警按钮01</v>
          </cell>
          <cell r="H5" t="str">
            <v>手动报警按钮01_/</v>
          </cell>
          <cell r="I5" t="str">
            <v>/</v>
          </cell>
          <cell r="J5" t="str">
            <v>-</v>
          </cell>
          <cell r="K5" t="str">
            <v>/</v>
          </cell>
          <cell r="L5" t="str">
            <v>个</v>
          </cell>
          <cell r="M5">
            <v>64</v>
          </cell>
        </row>
        <row r="6">
          <cell r="G6" t="str">
            <v>模块01</v>
          </cell>
          <cell r="H6" t="str">
            <v>模块01_/</v>
          </cell>
          <cell r="I6" t="str">
            <v>/</v>
          </cell>
          <cell r="J6" t="str">
            <v>-</v>
          </cell>
          <cell r="K6" t="str">
            <v>/</v>
          </cell>
          <cell r="L6" t="str">
            <v>个</v>
          </cell>
          <cell r="M6">
            <v>64</v>
          </cell>
        </row>
        <row r="7">
          <cell r="G7" t="str">
            <v>模块箱01</v>
          </cell>
          <cell r="H7" t="str">
            <v>模块箱01_/</v>
          </cell>
          <cell r="I7" t="str">
            <v>/</v>
          </cell>
          <cell r="J7" t="str">
            <v>-</v>
          </cell>
          <cell r="K7" t="str">
            <v>/</v>
          </cell>
          <cell r="L7" t="str">
            <v>个</v>
          </cell>
          <cell r="M7">
            <v>137</v>
          </cell>
        </row>
        <row r="8">
          <cell r="G8" t="str">
            <v>消火栓01</v>
          </cell>
          <cell r="H8" t="str">
            <v>消火栓01_/</v>
          </cell>
          <cell r="I8" t="str">
            <v>/</v>
          </cell>
          <cell r="J8" t="str">
            <v>/</v>
          </cell>
          <cell r="K8" t="str">
            <v>/</v>
          </cell>
          <cell r="L8" t="str">
            <v>套</v>
          </cell>
          <cell r="M8">
            <v>786</v>
          </cell>
        </row>
        <row r="9">
          <cell r="G9" t="str">
            <v>消防主机01</v>
          </cell>
          <cell r="H9" t="str">
            <v>消防主机01_/</v>
          </cell>
          <cell r="I9" t="str">
            <v>/</v>
          </cell>
          <cell r="J9" t="str">
            <v>总线制,控制回路：4回路</v>
          </cell>
          <cell r="K9" t="str">
            <v>/</v>
          </cell>
          <cell r="L9" t="str">
            <v>件</v>
          </cell>
          <cell r="M9">
            <v>7250</v>
          </cell>
        </row>
        <row r="10">
          <cell r="G10" t="str">
            <v>消防广播01</v>
          </cell>
          <cell r="H10" t="str">
            <v>消防广播01_/</v>
          </cell>
          <cell r="I10" t="str">
            <v>/</v>
          </cell>
          <cell r="J10" t="str">
            <v>/</v>
          </cell>
          <cell r="K10" t="str">
            <v>/</v>
          </cell>
          <cell r="L10" t="str">
            <v>个</v>
          </cell>
          <cell r="M10">
            <v>45</v>
          </cell>
        </row>
        <row r="11">
          <cell r="G11" t="str">
            <v>消防疏散平面图01</v>
          </cell>
          <cell r="H11" t="str">
            <v>消防疏散平面图01_/</v>
          </cell>
          <cell r="I11" t="str">
            <v>/</v>
          </cell>
          <cell r="J11" t="str">
            <v>A3尺寸，uv亚克力3mm</v>
          </cell>
          <cell r="K11" t="str">
            <v>/</v>
          </cell>
          <cell r="L11" t="str">
            <v>张</v>
          </cell>
          <cell r="M11">
            <v>38</v>
          </cell>
        </row>
        <row r="12">
          <cell r="G12" t="str">
            <v>温感01</v>
          </cell>
          <cell r="H12" t="str">
            <v>温感01_/</v>
          </cell>
          <cell r="I12" t="str">
            <v>/</v>
          </cell>
          <cell r="J12" t="str">
            <v>-</v>
          </cell>
          <cell r="K12" t="str">
            <v>/</v>
          </cell>
          <cell r="L12" t="str">
            <v>个</v>
          </cell>
          <cell r="M12">
            <v>56</v>
          </cell>
        </row>
        <row r="13">
          <cell r="G13" t="str">
            <v>火灾报警控制器01</v>
          </cell>
          <cell r="H13" t="str">
            <v>火灾报警控制器01_/</v>
          </cell>
          <cell r="I13" t="str">
            <v>/</v>
          </cell>
          <cell r="J13" t="str">
            <v>-</v>
          </cell>
          <cell r="K13" t="str">
            <v>/</v>
          </cell>
          <cell r="L13" t="str">
            <v>件</v>
          </cell>
          <cell r="M13">
            <v>7330.25</v>
          </cell>
        </row>
        <row r="14">
          <cell r="G14" t="str">
            <v>灭火器01</v>
          </cell>
          <cell r="H14" t="str">
            <v>灭火器01_/</v>
          </cell>
          <cell r="I14" t="str">
            <v>/</v>
          </cell>
          <cell r="J14" t="str">
            <v>2kg,房间用</v>
          </cell>
          <cell r="K14" t="str">
            <v>/</v>
          </cell>
          <cell r="L14" t="str">
            <v>个</v>
          </cell>
          <cell r="M14">
            <v>0</v>
          </cell>
        </row>
        <row r="15">
          <cell r="G15" t="str">
            <v>灭火器箱01</v>
          </cell>
          <cell r="H15" t="str">
            <v>灭火器箱01_/</v>
          </cell>
          <cell r="I15" t="str">
            <v>/</v>
          </cell>
          <cell r="J15" t="str">
            <v>1组，1组含两个灭火器3kg</v>
          </cell>
          <cell r="K15" t="str">
            <v>/</v>
          </cell>
          <cell r="L15" t="str">
            <v>组</v>
          </cell>
          <cell r="M15">
            <v>159</v>
          </cell>
        </row>
        <row r="16">
          <cell r="G16" t="str">
            <v>烟感01</v>
          </cell>
          <cell r="H16" t="str">
            <v>烟感01_/</v>
          </cell>
          <cell r="I16" t="str">
            <v>/</v>
          </cell>
          <cell r="J16" t="str">
            <v>-</v>
          </cell>
          <cell r="K16" t="str">
            <v>/</v>
          </cell>
          <cell r="L16" t="str">
            <v>个</v>
          </cell>
          <cell r="M16">
            <v>84</v>
          </cell>
        </row>
        <row r="17">
          <cell r="G17" t="str">
            <v>疏散指示灯01</v>
          </cell>
          <cell r="H17" t="str">
            <v>疏散指示灯01_/</v>
          </cell>
          <cell r="I17" t="str">
            <v>/</v>
          </cell>
          <cell r="J17" t="str">
            <v>单向疏散指示灯/LED3W</v>
          </cell>
          <cell r="K17" t="str">
            <v>/</v>
          </cell>
          <cell r="L17" t="str">
            <v>个</v>
          </cell>
          <cell r="M17">
            <v>57</v>
          </cell>
        </row>
        <row r="18">
          <cell r="G18" t="str">
            <v>天台晾衣杆01</v>
          </cell>
          <cell r="H18" t="str">
            <v>天台晾衣杆01_/</v>
          </cell>
          <cell r="I18" t="str">
            <v>/</v>
          </cell>
          <cell r="J18" t="str">
            <v>镀锌钢管材质，真径
30mm,壁厚2.8mm)</v>
          </cell>
          <cell r="K18" t="str">
            <v>/</v>
          </cell>
          <cell r="L18" t="str">
            <v>套</v>
          </cell>
          <cell r="M18">
            <v>597</v>
          </cell>
        </row>
        <row r="19">
          <cell r="G19" t="str">
            <v>闭门器01</v>
          </cell>
          <cell r="H19" t="str">
            <v>闭门器01_/</v>
          </cell>
          <cell r="I19" t="str">
            <v>/</v>
          </cell>
          <cell r="J19" t="str">
            <v>/</v>
          </cell>
          <cell r="K19" t="str">
            <v>/</v>
          </cell>
          <cell r="L19" t="str">
            <v>个</v>
          </cell>
          <cell r="M19">
            <v>0</v>
          </cell>
        </row>
        <row r="20">
          <cell r="G20" t="str">
            <v>台下盆01</v>
          </cell>
          <cell r="H20" t="str">
            <v>台下盆01_/</v>
          </cell>
          <cell r="I20" t="str">
            <v>/</v>
          </cell>
          <cell r="J20" t="str">
            <v>.规格：500mm 克*400mm 长+150mm 高*1mm</v>
          </cell>
          <cell r="K20" t="str">
            <v>/</v>
          </cell>
          <cell r="L20" t="str">
            <v>套</v>
          </cell>
          <cell r="M20">
            <v>352</v>
          </cell>
        </row>
        <row r="21">
          <cell r="G21" t="str">
            <v>角阀01</v>
          </cell>
          <cell r="H21" t="str">
            <v>角阀01_/</v>
          </cell>
          <cell r="I21" t="str">
            <v>/</v>
          </cell>
          <cell r="J21" t="str">
            <v>304不锈钢材质</v>
          </cell>
          <cell r="K21" t="str">
            <v>/</v>
          </cell>
          <cell r="L21" t="str">
            <v>套</v>
          </cell>
          <cell r="M21">
            <v>26</v>
          </cell>
        </row>
        <row r="22">
          <cell r="G22" t="str">
            <v>整体卫浴毛巾架01</v>
          </cell>
          <cell r="H22" t="str">
            <v>整体卫浴毛巾架01_/</v>
          </cell>
          <cell r="I22" t="str">
            <v>/</v>
          </cell>
          <cell r="J22" t="str">
            <v>L=400mm,不锈钢</v>
          </cell>
          <cell r="K22" t="str">
            <v>/</v>
          </cell>
          <cell r="L22" t="str">
            <v>个</v>
          </cell>
          <cell r="M22">
            <v>37</v>
          </cell>
        </row>
        <row r="23">
          <cell r="G23" t="str">
            <v>毛巾架01</v>
          </cell>
          <cell r="H23" t="str">
            <v>毛巾架01_/</v>
          </cell>
          <cell r="I23" t="str">
            <v>/</v>
          </cell>
          <cell r="J23" t="str">
            <v>80mm*600mm</v>
          </cell>
          <cell r="K23" t="str">
            <v>/</v>
          </cell>
          <cell r="L23" t="str">
            <v>个</v>
          </cell>
          <cell r="M23">
            <v>30</v>
          </cell>
        </row>
        <row r="24">
          <cell r="G24" t="str">
            <v>台上盆01</v>
          </cell>
          <cell r="H24" t="str">
            <v>台上盆01_/</v>
          </cell>
          <cell r="I24" t="str">
            <v>/</v>
          </cell>
          <cell r="J24" t="str">
            <v>陶瓷台上盆</v>
          </cell>
          <cell r="K24" t="str">
            <v>/</v>
          </cell>
          <cell r="L24" t="str">
            <v>个</v>
          </cell>
          <cell r="M24">
            <v>130</v>
          </cell>
        </row>
        <row r="25">
          <cell r="G25" t="str">
            <v>悬挂式洗手盆01</v>
          </cell>
          <cell r="H25" t="str">
            <v>悬挂式洗手盆01_/</v>
          </cell>
          <cell r="I25" t="str">
            <v>/</v>
          </cell>
          <cell r="J25" t="str">
            <v>盆柜含台盆及不锈钢龙头</v>
          </cell>
          <cell r="K25" t="str">
            <v>/</v>
          </cell>
          <cell r="L25" t="str">
            <v>个</v>
          </cell>
          <cell r="M25">
            <v>824</v>
          </cell>
        </row>
        <row r="26">
          <cell r="G26" t="str">
            <v>整体卫浴悬挂式洗手盆01</v>
          </cell>
          <cell r="H26" t="str">
            <v>整体卫浴悬挂式洗手盆01_/</v>
          </cell>
          <cell r="I26" t="str">
            <v>/</v>
          </cell>
          <cell r="J26" t="str">
            <v>L=1000mm(SMC)</v>
          </cell>
          <cell r="K26" t="str">
            <v>/</v>
          </cell>
          <cell r="L26" t="str">
            <v>套</v>
          </cell>
          <cell r="M26">
            <v>370</v>
          </cell>
        </row>
        <row r="27">
          <cell r="G27" t="str">
            <v>三角浴篮01</v>
          </cell>
          <cell r="H27" t="str">
            <v>三角浴篮01_/</v>
          </cell>
          <cell r="I27" t="str">
            <v>/</v>
          </cell>
          <cell r="J27" t="str">
            <v>半径220mm高120mm</v>
          </cell>
          <cell r="K27" t="str">
            <v>/</v>
          </cell>
          <cell r="L27" t="str">
            <v>个</v>
          </cell>
          <cell r="M27">
            <v>55</v>
          </cell>
        </row>
        <row r="28">
          <cell r="G28" t="str">
            <v>整体卫浴三角浴篮01</v>
          </cell>
          <cell r="H28" t="str">
            <v>整体卫浴三角浴篮01_/</v>
          </cell>
          <cell r="I28" t="str">
            <v>/</v>
          </cell>
          <cell r="J28" t="str">
            <v>不锈钢</v>
          </cell>
          <cell r="K28" t="str">
            <v>/</v>
          </cell>
          <cell r="L28" t="str">
            <v>个</v>
          </cell>
          <cell r="M28">
            <v>39.5</v>
          </cell>
        </row>
        <row r="29">
          <cell r="G29" t="str">
            <v>方形浴篮01</v>
          </cell>
          <cell r="H29" t="str">
            <v>方形浴篮01_/</v>
          </cell>
          <cell r="I29" t="str">
            <v>/</v>
          </cell>
          <cell r="J29" t="str">
            <v>320*135mm</v>
          </cell>
          <cell r="K29" t="str">
            <v>/</v>
          </cell>
          <cell r="L29" t="str">
            <v>个</v>
          </cell>
          <cell r="M29">
            <v>109</v>
          </cell>
        </row>
        <row r="30">
          <cell r="G30" t="str">
            <v>整体卫浴纸巾架01</v>
          </cell>
          <cell r="H30" t="str">
            <v>整体卫浴纸巾架01_/</v>
          </cell>
          <cell r="I30" t="str">
            <v>/</v>
          </cell>
          <cell r="J30" t="str">
            <v>不锈钢</v>
          </cell>
          <cell r="K30" t="str">
            <v>/</v>
          </cell>
          <cell r="L30" t="str">
            <v>个</v>
          </cell>
          <cell r="M30">
            <v>17.2</v>
          </cell>
        </row>
        <row r="31">
          <cell r="G31" t="str">
            <v>纸巾架01</v>
          </cell>
          <cell r="H31" t="str">
            <v>纸巾架01_/</v>
          </cell>
          <cell r="I31" t="str">
            <v>/</v>
          </cell>
          <cell r="J31" t="str">
            <v>130H*150L*130W</v>
          </cell>
          <cell r="K31" t="str">
            <v>/</v>
          </cell>
          <cell r="L31" t="str">
            <v>个</v>
          </cell>
          <cell r="M31">
            <v>47</v>
          </cell>
        </row>
        <row r="32">
          <cell r="G32" t="str">
            <v>整体卫浴淋浴手持花洒01</v>
          </cell>
          <cell r="H32" t="str">
            <v>整体卫浴淋浴手持花洒01_/</v>
          </cell>
          <cell r="I32" t="str">
            <v>/</v>
          </cell>
          <cell r="J32" t="str">
            <v>单把挂墙 不锈钢（两个座）</v>
          </cell>
          <cell r="K32" t="str">
            <v>/</v>
          </cell>
          <cell r="L32" t="str">
            <v>个</v>
          </cell>
          <cell r="M32">
            <v>101</v>
          </cell>
        </row>
        <row r="33">
          <cell r="G33" t="str">
            <v>淋浴手持花洒01</v>
          </cell>
          <cell r="H33" t="str">
            <v>淋浴手持花洒01_/</v>
          </cell>
          <cell r="I33" t="str">
            <v>/</v>
          </cell>
          <cell r="J33" t="str">
            <v>混水器
无下出水嘴，无升降
杆，304不锈钢-</v>
          </cell>
          <cell r="K33" t="str">
            <v>/</v>
          </cell>
          <cell r="L33" t="str">
            <v>套</v>
          </cell>
          <cell r="M33">
            <v>185.4</v>
          </cell>
        </row>
        <row r="34">
          <cell r="G34" t="str">
            <v>蹲便器01</v>
          </cell>
          <cell r="H34" t="str">
            <v>蹲便器01_/</v>
          </cell>
          <cell r="I34" t="str">
            <v>/</v>
          </cell>
          <cell r="J34" t="str">
            <v>规格：530mm长*430mm宽*240mm</v>
          </cell>
          <cell r="K34" t="str">
            <v>/</v>
          </cell>
          <cell r="L34" t="str">
            <v>套</v>
          </cell>
          <cell r="M34">
            <v>316</v>
          </cell>
        </row>
        <row r="35">
          <cell r="G35" t="str">
            <v>洗衣机/墩
布池龙头02</v>
          </cell>
          <cell r="H35" t="str">
            <v>洗衣机/墩
布池龙头02_</v>
          </cell>
        </row>
        <row r="35">
          <cell r="J35" t="str">
            <v>DN20</v>
          </cell>
          <cell r="K35" t="str">
            <v>/</v>
          </cell>
          <cell r="L35" t="str">
            <v>个</v>
          </cell>
          <cell r="M35">
            <v>20</v>
          </cell>
        </row>
        <row r="36">
          <cell r="G36" t="str">
            <v>坐便器01</v>
          </cell>
          <cell r="H36" t="str">
            <v>坐便器01_/</v>
          </cell>
          <cell r="I36" t="str">
            <v>/</v>
          </cell>
          <cell r="J36" t="str">
            <v>长590mm*宽
370mm*高720mm</v>
          </cell>
          <cell r="K36" t="str">
            <v>/</v>
          </cell>
          <cell r="L36" t="str">
            <v>套</v>
          </cell>
          <cell r="M36">
            <v>474</v>
          </cell>
        </row>
        <row r="37">
          <cell r="G37" t="str">
            <v>整体卫浴坐便器01</v>
          </cell>
          <cell r="H37" t="str">
            <v>整体卫浴坐便器01_/</v>
          </cell>
          <cell r="I37" t="str">
            <v>/</v>
          </cell>
          <cell r="J37" t="str">
            <v>连体顶按</v>
          </cell>
          <cell r="K37" t="str">
            <v>/</v>
          </cell>
          <cell r="L37" t="str">
            <v>个</v>
          </cell>
          <cell r="M37">
            <v>418</v>
          </cell>
        </row>
        <row r="38">
          <cell r="G38" t="str">
            <v>AP面板01</v>
          </cell>
          <cell r="H38" t="str">
            <v>AP面板01_/</v>
          </cell>
          <cell r="I38" t="str">
            <v>/</v>
          </cell>
          <cell r="J38" t="str">
            <v>-</v>
          </cell>
          <cell r="K38" t="str">
            <v>/</v>
          </cell>
          <cell r="L38" t="str">
            <v>个</v>
          </cell>
          <cell r="M38">
            <v>4</v>
          </cell>
        </row>
        <row r="39">
          <cell r="G39" t="str">
            <v>光猫01</v>
          </cell>
          <cell r="H39" t="str">
            <v>光猫01_/</v>
          </cell>
          <cell r="I39" t="str">
            <v>/</v>
          </cell>
          <cell r="J39" t="str">
            <v>-</v>
          </cell>
          <cell r="K39" t="str">
            <v>/</v>
          </cell>
          <cell r="L39" t="str">
            <v>个</v>
          </cell>
          <cell r="M39">
            <v>425</v>
          </cell>
        </row>
        <row r="40">
          <cell r="G40" t="str">
            <v>水表网关01</v>
          </cell>
          <cell r="H40" t="str">
            <v>水表网关01_/</v>
          </cell>
          <cell r="I40" t="str">
            <v>/</v>
          </cell>
          <cell r="J40" t="str">
            <v>网关电箱300*400*200</v>
          </cell>
          <cell r="K40" t="str">
            <v>/</v>
          </cell>
          <cell r="L40" t="str">
            <v>个</v>
          </cell>
          <cell r="M40">
            <v>366</v>
          </cell>
        </row>
        <row r="41">
          <cell r="G41" t="str">
            <v>智能水表01</v>
          </cell>
          <cell r="H41" t="str">
            <v>智能水表01_/</v>
          </cell>
          <cell r="I41" t="str">
            <v>/</v>
          </cell>
          <cell r="J41" t="str">
            <v>DN15</v>
          </cell>
          <cell r="K41" t="str">
            <v>/</v>
          </cell>
          <cell r="L41" t="str">
            <v>个</v>
          </cell>
          <cell r="M41">
            <v>250</v>
          </cell>
        </row>
        <row r="42">
          <cell r="G42" t="str">
            <v>智能热水表01</v>
          </cell>
          <cell r="H42" t="str">
            <v>智能热水表01_/</v>
          </cell>
          <cell r="I42" t="str">
            <v>/</v>
          </cell>
          <cell r="J42" t="str">
            <v>型号：LXSZ-15E
口径：DN15MM
通讯方式：无线NB-IoT</v>
          </cell>
          <cell r="K42" t="str">
            <v>/</v>
          </cell>
          <cell r="L42" t="str">
            <v>只</v>
          </cell>
          <cell r="M42">
            <v>358</v>
          </cell>
        </row>
        <row r="43">
          <cell r="G43" t="str">
            <v>智能电表01</v>
          </cell>
          <cell r="H43" t="str">
            <v>智能电表01_/</v>
          </cell>
          <cell r="I43" t="str">
            <v>/</v>
          </cell>
        </row>
        <row r="43">
          <cell r="K43" t="str">
            <v>/</v>
          </cell>
          <cell r="L43" t="str">
            <v>个</v>
          </cell>
          <cell r="M43">
            <v>140</v>
          </cell>
        </row>
        <row r="44">
          <cell r="G44" t="str">
            <v>智能电表02</v>
          </cell>
          <cell r="H44" t="str">
            <v>智能电表02_/</v>
          </cell>
          <cell r="I44" t="str">
            <v>/</v>
          </cell>
          <cell r="J44" t="str">
            <v>DTZY1731 YW 3*10(80)A NB
国网壁挂式、NB-lot无线组网、带拉合闸功能、含10年流量</v>
          </cell>
          <cell r="K44" t="str">
            <v>/</v>
          </cell>
          <cell r="L44" t="str">
            <v>个</v>
          </cell>
          <cell r="M44">
            <v>209</v>
          </cell>
        </row>
        <row r="45">
          <cell r="G45" t="str">
            <v>光纤集电箱01</v>
          </cell>
          <cell r="H45" t="str">
            <v>光纤集电箱01_/</v>
          </cell>
          <cell r="I45" t="str">
            <v>/</v>
          </cell>
          <cell r="J45" t="str">
            <v>/</v>
          </cell>
          <cell r="K45" t="str">
            <v>/</v>
          </cell>
          <cell r="L45" t="str">
            <v>个</v>
          </cell>
          <cell r="M45">
            <v>0</v>
          </cell>
        </row>
        <row r="46">
          <cell r="G46" t="str">
            <v>弱电机柜01</v>
          </cell>
          <cell r="H46" t="str">
            <v>弱电机柜01_/</v>
          </cell>
          <cell r="I46" t="str">
            <v>/</v>
          </cell>
          <cell r="J46" t="str">
            <v>黑色柜体、透明柜门</v>
          </cell>
          <cell r="K46" t="str">
            <v>/</v>
          </cell>
          <cell r="L46" t="str">
            <v>个</v>
          </cell>
          <cell r="M46">
            <v>607</v>
          </cell>
        </row>
        <row r="47">
          <cell r="G47" t="str">
            <v>电信箱01</v>
          </cell>
          <cell r="H47" t="str">
            <v>电信箱01_/</v>
          </cell>
          <cell r="I47" t="str">
            <v>/</v>
          </cell>
          <cell r="J47" t="str">
            <v>尺寸根据现场定制</v>
          </cell>
          <cell r="K47" t="str">
            <v>/</v>
          </cell>
          <cell r="L47" t="str">
            <v>个</v>
          </cell>
          <cell r="M47">
            <v>99</v>
          </cell>
        </row>
        <row r="48">
          <cell r="G48" t="str">
            <v>卷帘01</v>
          </cell>
          <cell r="H48" t="str">
            <v>卷帘01_/</v>
          </cell>
          <cell r="I48" t="str">
            <v>/</v>
          </cell>
          <cell r="J48" t="str">
            <v>尺寸根据现场定制</v>
          </cell>
          <cell r="K48" t="str">
            <v>/</v>
          </cell>
          <cell r="L48" t="str">
            <v>平米</v>
          </cell>
          <cell r="M48">
            <v>53</v>
          </cell>
        </row>
        <row r="49">
          <cell r="G49" t="str">
            <v>布帘01</v>
          </cell>
          <cell r="H49" t="str">
            <v>布帘01_/</v>
          </cell>
          <cell r="I49" t="str">
            <v>/</v>
          </cell>
          <cell r="J49" t="str">
            <v>尺寸根据现场定制</v>
          </cell>
          <cell r="K49" t="str">
            <v>/</v>
          </cell>
          <cell r="L49" t="str">
            <v>件</v>
          </cell>
          <cell r="M49">
            <v>77</v>
          </cell>
        </row>
        <row r="50">
          <cell r="G50" t="str">
            <v>百叶帘01</v>
          </cell>
          <cell r="H50" t="str">
            <v>百叶帘01_/</v>
          </cell>
          <cell r="I50" t="str">
            <v>/</v>
          </cell>
          <cell r="J50" t="str">
            <v>尺寸根据现场定制</v>
          </cell>
          <cell r="K50" t="str">
            <v>/</v>
          </cell>
          <cell r="L50" t="str">
            <v>件</v>
          </cell>
          <cell r="M50">
            <v>92</v>
          </cell>
        </row>
        <row r="51">
          <cell r="G51" t="str">
            <v>纱窗01</v>
          </cell>
          <cell r="H51" t="str">
            <v>纱窗01_/</v>
          </cell>
          <cell r="I51" t="str">
            <v>/</v>
          </cell>
          <cell r="J51" t="str">
            <v>尺寸根据现场定制，带侧开口</v>
          </cell>
          <cell r="K51" t="str">
            <v>/</v>
          </cell>
          <cell r="L51" t="str">
            <v>个</v>
          </cell>
          <cell r="M51">
            <v>80</v>
          </cell>
        </row>
        <row r="52">
          <cell r="G52" t="str">
            <v>门帘01</v>
          </cell>
          <cell r="H52" t="str">
            <v>门帘01_/</v>
          </cell>
          <cell r="I52" t="str">
            <v>/</v>
          </cell>
          <cell r="J52" t="str">
            <v>尺寸以现场为准，阳台门用</v>
          </cell>
          <cell r="K52" t="str">
            <v>/</v>
          </cell>
          <cell r="L52" t="str">
            <v>件</v>
          </cell>
          <cell r="M52">
            <v>77</v>
          </cell>
        </row>
        <row r="53">
          <cell r="G53" t="str">
            <v>户内配电箱01</v>
          </cell>
          <cell r="H53" t="str">
            <v>户内配电箱01_/</v>
          </cell>
          <cell r="I53" t="str">
            <v>/</v>
          </cell>
          <cell r="J53" t="str">
            <v>AL1</v>
          </cell>
          <cell r="K53" t="str">
            <v>/</v>
          </cell>
          <cell r="L53" t="str">
            <v>个</v>
          </cell>
          <cell r="M53">
            <v>165</v>
          </cell>
        </row>
        <row r="54">
          <cell r="G54" t="str">
            <v>电表箱01</v>
          </cell>
          <cell r="H54" t="str">
            <v>电表箱01_/</v>
          </cell>
          <cell r="I54" t="str">
            <v>/</v>
          </cell>
          <cell r="J54" t="str">
            <v>-</v>
          </cell>
          <cell r="K54" t="str">
            <v>/</v>
          </cell>
          <cell r="L54" t="str">
            <v>个</v>
          </cell>
          <cell r="M54">
            <v>2041.4</v>
          </cell>
        </row>
        <row r="55">
          <cell r="G55" t="str">
            <v>总等电位箱01</v>
          </cell>
          <cell r="H55" t="str">
            <v>总等电位箱01_/</v>
          </cell>
          <cell r="I55" t="str">
            <v>/</v>
          </cell>
          <cell r="J55" t="str">
            <v>-</v>
          </cell>
          <cell r="K55" t="str">
            <v>/</v>
          </cell>
          <cell r="L55" t="str">
            <v>个</v>
          </cell>
          <cell r="M55">
            <v>85</v>
          </cell>
        </row>
        <row r="56">
          <cell r="G56" t="str">
            <v>等电位箱01</v>
          </cell>
          <cell r="H56" t="str">
            <v>等电位箱01_/</v>
          </cell>
          <cell r="I56" t="str">
            <v>/</v>
          </cell>
          <cell r="J56" t="str">
            <v>/</v>
          </cell>
          <cell r="K56" t="str">
            <v>/</v>
          </cell>
          <cell r="L56" t="str">
            <v>个</v>
          </cell>
          <cell r="M56">
            <v>41</v>
          </cell>
        </row>
        <row r="57">
          <cell r="G57" t="str">
            <v>入户转换箱01</v>
          </cell>
          <cell r="H57" t="str">
            <v>入户转换箱01_/</v>
          </cell>
          <cell r="I57" t="str">
            <v>/</v>
          </cell>
          <cell r="J57" t="str">
            <v>/</v>
          </cell>
          <cell r="K57" t="str">
            <v>/</v>
          </cell>
          <cell r="L57" t="str">
            <v>个</v>
          </cell>
          <cell r="M57">
            <v>366</v>
          </cell>
        </row>
        <row r="58">
          <cell r="G58" t="str">
            <v>电缆T接箱01</v>
          </cell>
          <cell r="H58" t="str">
            <v>电缆T接箱01_/</v>
          </cell>
          <cell r="I58" t="str">
            <v>/</v>
          </cell>
          <cell r="J58" t="str">
            <v>/</v>
          </cell>
          <cell r="K58" t="str">
            <v>/</v>
          </cell>
          <cell r="L58" t="str">
            <v>个</v>
          </cell>
          <cell r="M58">
            <v>326</v>
          </cell>
        </row>
        <row r="59">
          <cell r="G59" t="str">
            <v>配电层箱01</v>
          </cell>
          <cell r="H59" t="str">
            <v>配电层箱01_/</v>
          </cell>
          <cell r="I59" t="str">
            <v>/</v>
          </cell>
          <cell r="J59" t="str">
            <v>/</v>
          </cell>
          <cell r="K59" t="str">
            <v>/</v>
          </cell>
          <cell r="L59" t="str">
            <v>个</v>
          </cell>
          <cell r="M59">
            <v>450</v>
          </cell>
        </row>
        <row r="60">
          <cell r="G60" t="str">
            <v>配电总箱01</v>
          </cell>
          <cell r="H60" t="str">
            <v>配电总箱01_/</v>
          </cell>
          <cell r="I60" t="str">
            <v>/</v>
          </cell>
          <cell r="J60" t="str">
            <v>-</v>
          </cell>
          <cell r="K60" t="str">
            <v>/</v>
          </cell>
          <cell r="L60" t="str">
            <v>个</v>
          </cell>
          <cell r="M60">
            <v>2070</v>
          </cell>
        </row>
        <row r="61">
          <cell r="G61" t="str">
            <v>智能门禁01</v>
          </cell>
          <cell r="H61" t="str">
            <v>智能门禁01_/</v>
          </cell>
          <cell r="I61" t="str">
            <v>/</v>
          </cell>
          <cell r="J61" t="str">
            <v>含门禁电源器，开门按钮</v>
          </cell>
          <cell r="K61" t="str">
            <v>/</v>
          </cell>
          <cell r="L61" t="str">
            <v>套</v>
          </cell>
          <cell r="M61">
            <v>1066</v>
          </cell>
        </row>
        <row r="62">
          <cell r="G62" t="str">
            <v>入户门01木门</v>
          </cell>
          <cell r="H62" t="str">
            <v>入户门01木门_/</v>
          </cell>
          <cell r="I62" t="str">
            <v>/</v>
          </cell>
          <cell r="J62" t="str">
            <v>含门吸、猫眼、门把手、防火条、隔音条</v>
          </cell>
          <cell r="K62" t="str">
            <v>/</v>
          </cell>
          <cell r="L62" t="str">
            <v>樘</v>
          </cell>
          <cell r="M62">
            <v>920</v>
          </cell>
        </row>
        <row r="63">
          <cell r="G63" t="str">
            <v>入户门02钢门</v>
          </cell>
          <cell r="H63" t="str">
            <v>入户门02钢门_/</v>
          </cell>
          <cell r="I63" t="str">
            <v>/</v>
          </cell>
          <cell r="J63" t="str">
            <v>户外防火门，含门吸、猫眼、门把手、防火条、隔音条</v>
          </cell>
          <cell r="K63" t="str">
            <v>/</v>
          </cell>
          <cell r="L63" t="str">
            <v>樘</v>
          </cell>
          <cell r="M63">
            <v>428</v>
          </cell>
        </row>
        <row r="64">
          <cell r="G64" t="str">
            <v>单元门-侧门01</v>
          </cell>
          <cell r="H64" t="str">
            <v>单元门-侧门01_/</v>
          </cell>
          <cell r="I64" t="str">
            <v>/</v>
          </cell>
          <cell r="J64" t="str">
            <v>尺寸根据现场定制</v>
          </cell>
          <cell r="K64" t="str">
            <v>/</v>
          </cell>
          <cell r="L64" t="str">
            <v>樘</v>
          </cell>
          <cell r="M64">
            <v>948.99</v>
          </cell>
        </row>
        <row r="65">
          <cell r="G65" t="str">
            <v>单元门-正门01</v>
          </cell>
          <cell r="H65" t="str">
            <v>单元门-正门01_/</v>
          </cell>
          <cell r="I65" t="str">
            <v>/</v>
          </cell>
          <cell r="J65" t="str">
            <v>尺寸根据现场定制</v>
          </cell>
          <cell r="K65" t="str">
            <v>/</v>
          </cell>
          <cell r="L65" t="str">
            <v>樘</v>
          </cell>
          <cell r="M65">
            <v>948.99</v>
          </cell>
        </row>
        <row r="66">
          <cell r="G66" t="str">
            <v>卫生间门01</v>
          </cell>
          <cell r="H66" t="str">
            <v>卫生间门01_/</v>
          </cell>
          <cell r="I66" t="str">
            <v>/</v>
          </cell>
          <cell r="J66" t="str">
            <v>铝镁合金门</v>
          </cell>
          <cell r="K66" t="str">
            <v>/</v>
          </cell>
          <cell r="L66" t="str">
            <v>扇</v>
          </cell>
          <cell r="M66">
            <v>667</v>
          </cell>
        </row>
        <row r="67">
          <cell r="G67" t="str">
            <v>整体卫浴卫生间门01</v>
          </cell>
          <cell r="H67" t="str">
            <v>整体卫浴卫生间门01_/</v>
          </cell>
          <cell r="I67" t="str">
            <v>/</v>
          </cell>
          <cell r="J67" t="str">
            <v>700*2000mm，含门锁、结构胶及门套门框，铝合金门框尺寸</v>
          </cell>
          <cell r="K67" t="str">
            <v>/</v>
          </cell>
          <cell r="L67" t="str">
            <v>扇</v>
          </cell>
          <cell r="M67">
            <v>290</v>
          </cell>
        </row>
        <row r="68">
          <cell r="G68" t="str">
            <v>厨房门01</v>
          </cell>
          <cell r="H68" t="str">
            <v>厨房门01_/</v>
          </cell>
          <cell r="I68" t="str">
            <v>/</v>
          </cell>
          <cell r="J68" t="str">
            <v>（单开门）尺寸根据现场定制</v>
          </cell>
          <cell r="K68" t="str">
            <v>/</v>
          </cell>
          <cell r="L68" t="str">
            <v>扇</v>
          </cell>
          <cell r="M68">
            <v>0</v>
          </cell>
        </row>
        <row r="69">
          <cell r="G69" t="str">
            <v>房间门01</v>
          </cell>
          <cell r="H69" t="str">
            <v>房间门01_/</v>
          </cell>
          <cell r="I69" t="str">
            <v>/</v>
          </cell>
          <cell r="J69" t="str">
            <v>含门吸、门锁、钥匙、把手，尺寸根据现场</v>
          </cell>
          <cell r="K69" t="str">
            <v>/</v>
          </cell>
          <cell r="L69" t="str">
            <v>扇</v>
          </cell>
          <cell r="M69">
            <v>800</v>
          </cell>
        </row>
        <row r="70">
          <cell r="G70" t="str">
            <v>智能门锁01</v>
          </cell>
          <cell r="H70" t="str">
            <v>智能门锁01_/</v>
          </cell>
          <cell r="I70" t="str">
            <v>/</v>
          </cell>
          <cell r="J70" t="str">
            <v>TWNB-LOCK-06</v>
          </cell>
          <cell r="K70" t="str">
            <v>/</v>
          </cell>
          <cell r="L70" t="str">
            <v>把</v>
          </cell>
          <cell r="M70">
            <v>380</v>
          </cell>
        </row>
        <row r="71">
          <cell r="G71" t="str">
            <v>楼层窗01</v>
          </cell>
          <cell r="H71" t="str">
            <v>楼层窗01_/</v>
          </cell>
          <cell r="I71" t="str">
            <v>/</v>
          </cell>
          <cell r="J71" t="str">
            <v>尺寸根据现场定制</v>
          </cell>
          <cell r="K71" t="str">
            <v>/</v>
          </cell>
          <cell r="L71" t="str">
            <v>扇</v>
          </cell>
          <cell r="M71">
            <v>415</v>
          </cell>
        </row>
        <row r="72">
          <cell r="G72" t="str">
            <v>防火门01甲级</v>
          </cell>
          <cell r="H72" t="str">
            <v>防火门01甲级_/</v>
          </cell>
          <cell r="I72" t="str">
            <v>/</v>
          </cell>
          <cell r="J72" t="str">
            <v>防火分区处</v>
          </cell>
          <cell r="K72" t="str">
            <v>/</v>
          </cell>
          <cell r="L72" t="str">
            <v>扇</v>
          </cell>
          <cell r="M72">
            <v>442</v>
          </cell>
        </row>
        <row r="73">
          <cell r="G73" t="str">
            <v>防火门02乙级</v>
          </cell>
          <cell r="H73" t="str">
            <v>防火门02乙级_/</v>
          </cell>
          <cell r="I73" t="str">
            <v>/</v>
          </cell>
          <cell r="J73" t="str">
            <v>出屋面，楼梯间处</v>
          </cell>
          <cell r="K73" t="str">
            <v>/</v>
          </cell>
          <cell r="L73" t="str">
            <v>扇</v>
          </cell>
          <cell r="M73">
            <v>428</v>
          </cell>
        </row>
        <row r="74">
          <cell r="G74" t="str">
            <v>防火门03丙级</v>
          </cell>
          <cell r="H74" t="str">
            <v>防火门03丙级_/</v>
          </cell>
          <cell r="I74" t="str">
            <v>/</v>
          </cell>
          <cell r="J74" t="str">
            <v>钢制丙级防火门，使用与强弱电井，含锁具、闭门器、金属把手</v>
          </cell>
          <cell r="K74" t="str">
            <v>/</v>
          </cell>
          <cell r="L74" t="str">
            <v>扇</v>
          </cell>
          <cell r="M74">
            <v>425</v>
          </cell>
        </row>
        <row r="75">
          <cell r="G75" t="str">
            <v>窗户01清玻</v>
          </cell>
          <cell r="H75" t="str">
            <v>窗户01清玻_/</v>
          </cell>
          <cell r="I75" t="str">
            <v>/</v>
          </cell>
          <cell r="J75" t="str">
            <v>标准窗户，带固定页</v>
          </cell>
          <cell r="K75" t="str">
            <v>/</v>
          </cell>
          <cell r="L75" t="str">
            <v>扇</v>
          </cell>
          <cell r="M75">
            <v>415</v>
          </cell>
        </row>
        <row r="76">
          <cell r="G76" t="str">
            <v>窗户02磨砂</v>
          </cell>
          <cell r="H76" t="str">
            <v>窗户02磨砂_/</v>
          </cell>
          <cell r="I76" t="str">
            <v>/</v>
          </cell>
          <cell r="J76" t="str">
            <v>磨砂窗户，用于首层公寓</v>
          </cell>
          <cell r="K76" t="str">
            <v>/</v>
          </cell>
          <cell r="L76" t="str">
            <v>扇</v>
          </cell>
          <cell r="M76">
            <v>424</v>
          </cell>
        </row>
        <row r="77">
          <cell r="G77" t="str">
            <v>窗户03飘窗</v>
          </cell>
          <cell r="H77" t="str">
            <v>窗户03飘窗_/</v>
          </cell>
          <cell r="I77" t="str">
            <v>/</v>
          </cell>
          <cell r="J77" t="str">
            <v>飘窗，窗户低于900需配置窗户护栏</v>
          </cell>
          <cell r="K77" t="str">
            <v>/</v>
          </cell>
          <cell r="L77" t="str">
            <v>扇</v>
          </cell>
          <cell r="M77">
            <v>553.81</v>
          </cell>
        </row>
        <row r="78">
          <cell r="G78" t="str">
            <v>阳台门01推拉门</v>
          </cell>
          <cell r="H78" t="str">
            <v>阳台门01推拉门_/</v>
          </cell>
          <cell r="I78" t="str">
            <v>/</v>
          </cell>
          <cell r="J78" t="str">
            <v>（推拉门）尺寸根据现场定制</v>
          </cell>
          <cell r="K78" t="str">
            <v>/</v>
          </cell>
          <cell r="L78" t="str">
            <v>件</v>
          </cell>
          <cell r="M78">
            <v>414</v>
          </cell>
        </row>
        <row r="79">
          <cell r="G79" t="str">
            <v>阳台门02门联窗</v>
          </cell>
          <cell r="H79" t="str">
            <v>阳台门02门联窗_/</v>
          </cell>
          <cell r="I79" t="str">
            <v>/</v>
          </cell>
          <cell r="J79" t="str">
            <v>门联窗款，尺寸以现场为准</v>
          </cell>
          <cell r="K79" t="str">
            <v>/</v>
          </cell>
          <cell r="L79" t="str">
            <v>套</v>
          </cell>
          <cell r="M79">
            <v>459</v>
          </cell>
        </row>
        <row r="80">
          <cell r="G80" t="str">
            <v>阳台门03平开门</v>
          </cell>
          <cell r="H80" t="str">
            <v>阳台门03平开门_/</v>
          </cell>
          <cell r="I80" t="str">
            <v>/</v>
          </cell>
          <cell r="J80" t="str">
            <v>单开门，尺寸以现场为准</v>
          </cell>
          <cell r="K80" t="str">
            <v>/</v>
          </cell>
          <cell r="L80" t="str">
            <v>扇</v>
          </cell>
          <cell r="M80">
            <v>439</v>
          </cell>
        </row>
        <row r="81">
          <cell r="G81" t="str">
            <v>插座防溅盒01</v>
          </cell>
          <cell r="H81" t="str">
            <v>插座防溅盒01_/</v>
          </cell>
          <cell r="I81" t="str">
            <v>/</v>
          </cell>
          <cell r="J81" t="str">
            <v>/</v>
          </cell>
          <cell r="K81" t="str">
            <v>/</v>
          </cell>
          <cell r="L81" t="str">
            <v>个</v>
          </cell>
          <cell r="M81">
            <v>6</v>
          </cell>
        </row>
        <row r="82">
          <cell r="G82" t="str">
            <v>整体卫浴插座防溅盒01</v>
          </cell>
          <cell r="H82" t="str">
            <v>整体卫浴插座防溅盒01_/</v>
          </cell>
          <cell r="I82" t="str">
            <v>/</v>
          </cell>
          <cell r="J82" t="str">
            <v>价格含插座</v>
          </cell>
          <cell r="K82" t="str">
            <v>/</v>
          </cell>
          <cell r="L82" t="str">
            <v>个</v>
          </cell>
          <cell r="M82">
            <v>17</v>
          </cell>
        </row>
        <row r="83">
          <cell r="G83" t="str">
            <v>冰箱插座01</v>
          </cell>
          <cell r="H83" t="str">
            <v>冰箱插座01_/</v>
          </cell>
          <cell r="I83" t="str">
            <v>/</v>
          </cell>
          <cell r="J83" t="str">
            <v>在衣柜下方或者周围配套冰箱插座</v>
          </cell>
          <cell r="K83" t="str">
            <v>/</v>
          </cell>
          <cell r="L83" t="str">
            <v>个</v>
          </cell>
          <cell r="M83">
            <v>15</v>
          </cell>
        </row>
        <row r="84">
          <cell r="G84" t="str">
            <v>硬盘录像机01</v>
          </cell>
          <cell r="H84" t="str">
            <v>硬盘录像机01_/</v>
          </cell>
          <cell r="I84" t="str">
            <v>/</v>
          </cell>
        </row>
        <row r="84">
          <cell r="K84" t="str">
            <v>/</v>
          </cell>
        </row>
        <row r="84">
          <cell r="M84">
            <v>2045</v>
          </cell>
        </row>
        <row r="85">
          <cell r="G85" t="str">
            <v>摄像头01枪式</v>
          </cell>
          <cell r="H85" t="str">
            <v>摄像头01枪式_/</v>
          </cell>
          <cell r="I85" t="str">
            <v>/</v>
          </cell>
          <cell r="J85" t="str">
            <v>枪式</v>
          </cell>
          <cell r="K85" t="str">
            <v>/</v>
          </cell>
          <cell r="L85" t="str">
            <v>个</v>
          </cell>
          <cell r="M85">
            <v>505</v>
          </cell>
        </row>
        <row r="86">
          <cell r="G86" t="str">
            <v>摄像头02半球式</v>
          </cell>
          <cell r="H86" t="str">
            <v>摄像头02半球式_/</v>
          </cell>
          <cell r="I86" t="str">
            <v>/</v>
          </cell>
          <cell r="J86" t="str">
            <v>半球式</v>
          </cell>
          <cell r="K86" t="str">
            <v>/</v>
          </cell>
          <cell r="L86" t="str">
            <v>个</v>
          </cell>
          <cell r="M86">
            <v>376</v>
          </cell>
        </row>
        <row r="87">
          <cell r="G87" t="str">
            <v>摄像头03球形</v>
          </cell>
          <cell r="H87" t="str">
            <v>摄像头03球形_/</v>
          </cell>
          <cell r="I87" t="str">
            <v>/</v>
          </cell>
          <cell r="J87" t="str">
            <v>球形</v>
          </cell>
          <cell r="K87" t="str">
            <v>/</v>
          </cell>
          <cell r="L87" t="str">
            <v>个</v>
          </cell>
          <cell r="M87">
            <v>1496</v>
          </cell>
        </row>
        <row r="88">
          <cell r="G88" t="str">
            <v>监控显示器01</v>
          </cell>
          <cell r="H88" t="str">
            <v>监控显示器01_/</v>
          </cell>
          <cell r="I88" t="str">
            <v>/</v>
          </cell>
          <cell r="J88" t="str">
            <v>-</v>
          </cell>
          <cell r="K88" t="str">
            <v>/</v>
          </cell>
          <cell r="L88" t="str">
            <v>台</v>
          </cell>
          <cell r="M88">
            <v>0</v>
          </cell>
        </row>
        <row r="89">
          <cell r="G89" t="str">
            <v>Loft扶梯01</v>
          </cell>
          <cell r="H89" t="str">
            <v>Loft扶梯01_/</v>
          </cell>
          <cell r="I89" t="str">
            <v>/</v>
          </cell>
          <cell r="J89" t="str">
            <v>4690*2300*2200</v>
          </cell>
          <cell r="K89" t="str">
            <v>/</v>
          </cell>
          <cell r="L89" t="str">
            <v>张</v>
          </cell>
          <cell r="M89">
            <v>3696</v>
          </cell>
        </row>
        <row r="90">
          <cell r="G90" t="str">
            <v>书桌01无挡板0.9m</v>
          </cell>
          <cell r="H90" t="str">
            <v>书桌01无挡板0.9m_/</v>
          </cell>
          <cell r="I90" t="str">
            <v>/</v>
          </cell>
          <cell r="J90" t="str">
            <v>900宽</v>
          </cell>
          <cell r="K90" t="str">
            <v>/</v>
          </cell>
          <cell r="L90" t="str">
            <v>张</v>
          </cell>
          <cell r="M90">
            <v>289</v>
          </cell>
        </row>
        <row r="91">
          <cell r="G91" t="str">
            <v>书桌02带挡板0.9m</v>
          </cell>
          <cell r="H91" t="str">
            <v>书桌02带挡板0.9m_/</v>
          </cell>
          <cell r="I91" t="str">
            <v>/</v>
          </cell>
          <cell r="J91" t="str">
            <v>900宽1350高</v>
          </cell>
          <cell r="K91" t="str">
            <v>/</v>
          </cell>
          <cell r="L91" t="str">
            <v>张</v>
          </cell>
          <cell r="M91">
            <v>331</v>
          </cell>
        </row>
        <row r="92">
          <cell r="G92" t="str">
            <v>书桌03小书桌0.6m</v>
          </cell>
          <cell r="H92" t="str">
            <v>书桌03小书桌0.6m_/</v>
          </cell>
          <cell r="I92" t="str">
            <v>/</v>
          </cell>
          <cell r="J92" t="str">
            <v>600宽</v>
          </cell>
          <cell r="K92" t="str">
            <v>/</v>
          </cell>
          <cell r="L92" t="str">
            <v>张</v>
          </cell>
          <cell r="M92">
            <v>248</v>
          </cell>
        </row>
        <row r="93">
          <cell r="G93" t="str">
            <v>卡座01</v>
          </cell>
          <cell r="H93" t="str">
            <v>卡座01_/</v>
          </cell>
          <cell r="I93" t="str">
            <v>/</v>
          </cell>
          <cell r="J93" t="str">
            <v>500*650*450（靠背800）,一组三张</v>
          </cell>
          <cell r="K93" t="str">
            <v>/</v>
          </cell>
          <cell r="L93" t="str">
            <v>把</v>
          </cell>
          <cell r="M93">
            <v>965</v>
          </cell>
        </row>
        <row r="94">
          <cell r="G94" t="str">
            <v>独立厨台01</v>
          </cell>
          <cell r="H94" t="str">
            <v>独立厨台01_/</v>
          </cell>
          <cell r="I94" t="str">
            <v>/</v>
          </cell>
          <cell r="J94" t="str">
            <v>非标准尺寸操作台，尺寸定制</v>
          </cell>
          <cell r="K94" t="str">
            <v>/</v>
          </cell>
          <cell r="L94" t="str">
            <v>套</v>
          </cell>
          <cell r="M94">
            <v>1088</v>
          </cell>
        </row>
        <row r="95">
          <cell r="G95" t="str">
            <v>步入式坐凳</v>
          </cell>
          <cell r="H95" t="str">
            <v>步入式坐凳_/</v>
          </cell>
          <cell r="I95" t="str">
            <v>/</v>
          </cell>
          <cell r="J95" t="str">
            <v>420*120*450</v>
          </cell>
          <cell r="K95" t="str">
            <v>/</v>
          </cell>
          <cell r="L95" t="str">
            <v>个</v>
          </cell>
          <cell r="M95">
            <v>181</v>
          </cell>
        </row>
        <row r="96">
          <cell r="G96" t="str">
            <v>坐墩01</v>
          </cell>
          <cell r="H96" t="str">
            <v>坐墩01_/</v>
          </cell>
          <cell r="I96" t="str">
            <v>/</v>
          </cell>
          <cell r="J96" t="str">
            <v>400*400*400（储物凳）</v>
          </cell>
          <cell r="K96" t="str">
            <v>/</v>
          </cell>
          <cell r="L96" t="str">
            <v>个</v>
          </cell>
          <cell r="M96">
            <v>135.6</v>
          </cell>
        </row>
        <row r="97">
          <cell r="G97" t="str">
            <v>标准床01-1.5m宽</v>
          </cell>
          <cell r="H97" t="str">
            <v>标准床01-1.5m宽_/</v>
          </cell>
          <cell r="I97" t="str">
            <v>/</v>
          </cell>
          <cell r="J97" t="str">
            <v>/</v>
          </cell>
          <cell r="K97" t="str">
            <v>/</v>
          </cell>
          <cell r="L97" t="str">
            <v>张</v>
          </cell>
          <cell r="M97">
            <v>640</v>
          </cell>
        </row>
        <row r="98">
          <cell r="G98" t="str">
            <v>标准床02-1.35m宽</v>
          </cell>
          <cell r="H98" t="str">
            <v>标准床02-1.35m宽_/</v>
          </cell>
          <cell r="I98" t="str">
            <v>/</v>
          </cell>
          <cell r="J98" t="str">
            <v>/</v>
          </cell>
          <cell r="K98" t="str">
            <v>/</v>
          </cell>
          <cell r="L98" t="str">
            <v>张</v>
          </cell>
          <cell r="M98">
            <v>609</v>
          </cell>
        </row>
        <row r="99">
          <cell r="G99" t="str">
            <v>标准床03-1.2m宽</v>
          </cell>
          <cell r="H99" t="str">
            <v>标准床03-1.2m宽_/</v>
          </cell>
          <cell r="I99" t="str">
            <v>/</v>
          </cell>
          <cell r="J99" t="str">
            <v>/</v>
          </cell>
          <cell r="K99" t="str">
            <v>/</v>
          </cell>
          <cell r="L99" t="str">
            <v>张</v>
          </cell>
          <cell r="M99">
            <v>519</v>
          </cell>
        </row>
        <row r="100">
          <cell r="G100" t="str">
            <v>标准床04-上床下桌1.25宽</v>
          </cell>
          <cell r="H100" t="str">
            <v>标准床04-上床下桌1.25宽_/</v>
          </cell>
          <cell r="I100" t="str">
            <v>/</v>
          </cell>
          <cell r="J100" t="str">
            <v>/</v>
          </cell>
          <cell r="K100" t="str">
            <v>/</v>
          </cell>
          <cell r="L100" t="str">
            <v>张</v>
          </cell>
          <cell r="M100">
            <v>1055</v>
          </cell>
        </row>
        <row r="101">
          <cell r="G101" t="str">
            <v>标准床05-双层床1.05宽</v>
          </cell>
          <cell r="H101" t="str">
            <v>标准床05-双层床1.05宽_/</v>
          </cell>
          <cell r="I101" t="str">
            <v>/</v>
          </cell>
          <cell r="J101" t="str">
            <v>/</v>
          </cell>
          <cell r="K101" t="str">
            <v>/</v>
          </cell>
          <cell r="L101" t="str">
            <v>张</v>
          </cell>
          <cell r="M101">
            <v>2673</v>
          </cell>
        </row>
        <row r="102">
          <cell r="G102" t="str">
            <v>标准床06-上床下桌1.05宽</v>
          </cell>
          <cell r="H102" t="str">
            <v>标准床06-上床下桌1.05宽_/</v>
          </cell>
          <cell r="I102" t="str">
            <v>/</v>
          </cell>
          <cell r="J102" t="str">
            <v>/</v>
          </cell>
          <cell r="K102" t="str">
            <v>/</v>
          </cell>
          <cell r="L102" t="str">
            <v>张</v>
          </cell>
          <cell r="M102">
            <v>966</v>
          </cell>
        </row>
        <row r="103">
          <cell r="G103" t="str">
            <v>床垫01-1.5m</v>
          </cell>
          <cell r="H103" t="str">
            <v>床垫01-1.5m_/</v>
          </cell>
          <cell r="I103" t="str">
            <v>/</v>
          </cell>
          <cell r="J103" t="str">
            <v>/</v>
          </cell>
          <cell r="K103" t="str">
            <v>/</v>
          </cell>
          <cell r="L103" t="str">
            <v>张</v>
          </cell>
          <cell r="M103">
            <v>425</v>
          </cell>
        </row>
        <row r="104">
          <cell r="G104" t="str">
            <v>床垫02-1.35m</v>
          </cell>
          <cell r="H104" t="str">
            <v>床垫02-1.35m_/</v>
          </cell>
          <cell r="I104" t="str">
            <v>/</v>
          </cell>
          <cell r="J104" t="str">
            <v>/</v>
          </cell>
          <cell r="K104" t="str">
            <v>/</v>
          </cell>
          <cell r="L104" t="str">
            <v>张</v>
          </cell>
          <cell r="M104">
            <v>388</v>
          </cell>
        </row>
        <row r="105">
          <cell r="G105" t="str">
            <v>床垫03-1.2m</v>
          </cell>
          <cell r="H105" t="str">
            <v>床垫03-1.2m_/</v>
          </cell>
          <cell r="I105" t="str">
            <v>/</v>
          </cell>
          <cell r="J105" t="str">
            <v>/</v>
          </cell>
          <cell r="K105" t="str">
            <v>/</v>
          </cell>
          <cell r="L105" t="str">
            <v>张</v>
          </cell>
          <cell r="M105">
            <v>364</v>
          </cell>
        </row>
        <row r="106">
          <cell r="G106" t="str">
            <v>床垫04-1.25m</v>
          </cell>
          <cell r="H106" t="str">
            <v>床垫04-1.25m_/</v>
          </cell>
          <cell r="I106" t="str">
            <v>/</v>
          </cell>
          <cell r="J106" t="str">
            <v>/</v>
          </cell>
          <cell r="K106" t="str">
            <v>/</v>
          </cell>
          <cell r="L106" t="str">
            <v>张</v>
          </cell>
          <cell r="M106">
            <v>304</v>
          </cell>
        </row>
        <row r="107">
          <cell r="G107" t="str">
            <v>床垫05-1.05m</v>
          </cell>
          <cell r="H107" t="str">
            <v>床垫05-1.05m_/</v>
          </cell>
          <cell r="I107" t="str">
            <v>/</v>
          </cell>
          <cell r="J107" t="str">
            <v>/</v>
          </cell>
          <cell r="K107" t="str">
            <v>/</v>
          </cell>
          <cell r="L107" t="str">
            <v>张</v>
          </cell>
          <cell r="M107">
            <v>315</v>
          </cell>
        </row>
        <row r="108">
          <cell r="G108" t="str">
            <v>床头柜01</v>
          </cell>
          <cell r="H108" t="str">
            <v>床头柜01_/</v>
          </cell>
          <cell r="I108" t="str">
            <v>/</v>
          </cell>
          <cell r="J108" t="str">
            <v>400*400*550mm</v>
          </cell>
          <cell r="K108" t="str">
            <v>/</v>
          </cell>
          <cell r="L108" t="str">
            <v>个</v>
          </cell>
          <cell r="M108">
            <v>130</v>
          </cell>
        </row>
        <row r="109">
          <cell r="G109" t="str">
            <v>床边桌01</v>
          </cell>
          <cell r="H109" t="str">
            <v>床边桌01_/</v>
          </cell>
          <cell r="I109" t="str">
            <v>/</v>
          </cell>
          <cell r="J109" t="str">
            <v>550*350*650mm</v>
          </cell>
          <cell r="K109" t="str">
            <v>/</v>
          </cell>
          <cell r="L109" t="str">
            <v>张</v>
          </cell>
          <cell r="M109">
            <v>118</v>
          </cell>
        </row>
        <row r="110">
          <cell r="G110" t="str">
            <v>空调挡风板01</v>
          </cell>
          <cell r="H110" t="str">
            <v>空调挡风板01_/</v>
          </cell>
          <cell r="I110" t="str">
            <v>/</v>
          </cell>
          <cell r="J110" t="str">
            <v>-</v>
          </cell>
          <cell r="K110" t="str">
            <v>/</v>
          </cell>
          <cell r="L110" t="str">
            <v>个</v>
          </cell>
          <cell r="M110">
            <v>70</v>
          </cell>
        </row>
        <row r="111">
          <cell r="G111" t="str">
            <v>操作台01定制橱柜</v>
          </cell>
          <cell r="H111" t="str">
            <v>操作台01定制橱柜_/</v>
          </cell>
          <cell r="I111" t="str">
            <v>/</v>
          </cell>
          <cell r="J111" t="str">
            <v>/</v>
          </cell>
          <cell r="K111" t="str">
            <v>/</v>
          </cell>
          <cell r="L111" t="str">
            <v>套</v>
          </cell>
          <cell r="M111">
            <v>988</v>
          </cell>
        </row>
        <row r="112">
          <cell r="G112" t="str">
            <v>操作台02洗衣机1.6m</v>
          </cell>
          <cell r="H112" t="str">
            <v>操作台02洗衣机1.6m_/</v>
          </cell>
          <cell r="I112" t="str">
            <v>/</v>
          </cell>
          <cell r="J112" t="str">
            <v>/</v>
          </cell>
          <cell r="K112" t="str">
            <v>/</v>
          </cell>
          <cell r="L112" t="str">
            <v>套</v>
          </cell>
          <cell r="M112">
            <v>1086</v>
          </cell>
        </row>
        <row r="113">
          <cell r="G113" t="str">
            <v>操作台03洗衣机1.2m</v>
          </cell>
          <cell r="H113" t="str">
            <v>操作台03洗衣机1.2m_/</v>
          </cell>
          <cell r="I113" t="str">
            <v>/</v>
          </cell>
          <cell r="J113" t="str">
            <v>/</v>
          </cell>
          <cell r="K113" t="str">
            <v>/</v>
          </cell>
          <cell r="L113" t="str">
            <v>套</v>
          </cell>
          <cell r="M113">
            <v>875</v>
          </cell>
        </row>
        <row r="114">
          <cell r="G114" t="str">
            <v>操作台04带洗衣冰箱</v>
          </cell>
          <cell r="H114" t="str">
            <v>操作台04带洗衣冰箱_/</v>
          </cell>
          <cell r="I114" t="str">
            <v>/</v>
          </cell>
          <cell r="J114" t="str">
            <v>/</v>
          </cell>
          <cell r="K114" t="str">
            <v>/</v>
          </cell>
          <cell r="L114" t="str">
            <v>个</v>
          </cell>
          <cell r="M114">
            <v>757</v>
          </cell>
        </row>
        <row r="115">
          <cell r="G115" t="str">
            <v>操作台05单洗衣机0.75m</v>
          </cell>
          <cell r="H115" t="str">
            <v>操作台05单洗衣机0.75m_/</v>
          </cell>
          <cell r="I115" t="str">
            <v>/</v>
          </cell>
          <cell r="J115" t="str">
            <v>750宽</v>
          </cell>
          <cell r="K115" t="str">
            <v>/</v>
          </cell>
          <cell r="L115" t="str">
            <v>套</v>
          </cell>
          <cell r="M115">
            <v>468</v>
          </cell>
        </row>
        <row r="116">
          <cell r="G116" t="str">
            <v>洗衣机收纳架01</v>
          </cell>
          <cell r="H116" t="str">
            <v>洗衣机收纳架01_/</v>
          </cell>
          <cell r="I116" t="str">
            <v>/</v>
          </cell>
          <cell r="J116" t="str">
            <v>800*450*1450</v>
          </cell>
          <cell r="K116" t="str">
            <v>/</v>
          </cell>
          <cell r="L116" t="str">
            <v>件</v>
          </cell>
          <cell r="M116">
            <v>305</v>
          </cell>
        </row>
        <row r="117">
          <cell r="G117" t="str">
            <v>墙上/天花晾衣杆</v>
          </cell>
          <cell r="H117" t="str">
            <v>墙上/天花晾衣杆_/</v>
          </cell>
          <cell r="I117" t="str">
            <v>/</v>
          </cell>
          <cell r="J117" t="str">
            <v>/</v>
          </cell>
          <cell r="K117" t="str">
            <v>/</v>
          </cell>
          <cell r="L117" t="str">
            <v>根</v>
          </cell>
          <cell r="M117">
            <v>58</v>
          </cell>
        </row>
        <row r="118">
          <cell r="G118" t="str">
            <v>落地晾衣杆组装</v>
          </cell>
          <cell r="H118" t="str">
            <v>落地晾衣杆组装_/</v>
          </cell>
          <cell r="I118" t="str">
            <v>/</v>
          </cell>
          <cell r="J118" t="str">
            <v>/</v>
          </cell>
          <cell r="K118" t="str">
            <v>/</v>
          </cell>
          <cell r="L118" t="str">
            <v>根</v>
          </cell>
          <cell r="M118">
            <v>85</v>
          </cell>
        </row>
        <row r="119">
          <cell r="G119" t="str">
            <v>椅子01配书桌</v>
          </cell>
          <cell r="H119" t="str">
            <v>椅子01配书桌_/</v>
          </cell>
          <cell r="I119" t="str">
            <v>/</v>
          </cell>
          <cell r="J119" t="str">
            <v>440*430*750mm</v>
          </cell>
          <cell r="K119" t="str">
            <v>/</v>
          </cell>
          <cell r="L119" t="str">
            <v>把</v>
          </cell>
          <cell r="M119">
            <v>92</v>
          </cell>
        </row>
        <row r="120">
          <cell r="G120" t="str">
            <v>椅子02配餐桌</v>
          </cell>
          <cell r="H120" t="str">
            <v>椅子02配餐桌_/</v>
          </cell>
          <cell r="I120" t="str">
            <v>/</v>
          </cell>
          <cell r="J120" t="str">
            <v>520*480*760</v>
          </cell>
          <cell r="K120" t="str">
            <v>/</v>
          </cell>
          <cell r="L120" t="str">
            <v>把</v>
          </cell>
          <cell r="M120">
            <v>128</v>
          </cell>
        </row>
        <row r="121">
          <cell r="G121" t="str">
            <v>沙发01单人</v>
          </cell>
          <cell r="H121" t="str">
            <v>沙发01单人_</v>
          </cell>
        </row>
        <row r="121">
          <cell r="J121" t="str">
            <v>/</v>
          </cell>
          <cell r="K121" t="str">
            <v>/</v>
          </cell>
          <cell r="L121" t="str">
            <v>个</v>
          </cell>
          <cell r="M121">
            <v>507</v>
          </cell>
        </row>
        <row r="122">
          <cell r="G122" t="str">
            <v>沙发02两人</v>
          </cell>
          <cell r="H122" t="str">
            <v>沙发02两人_/</v>
          </cell>
          <cell r="I122" t="str">
            <v>/</v>
          </cell>
          <cell r="J122" t="str">
            <v>/</v>
          </cell>
          <cell r="K122" t="str">
            <v>/</v>
          </cell>
          <cell r="L122" t="str">
            <v>个</v>
          </cell>
          <cell r="M122">
            <v>784</v>
          </cell>
        </row>
        <row r="123">
          <cell r="G123" t="str">
            <v>沙发03三人</v>
          </cell>
          <cell r="H123" t="str">
            <v>沙发03三人_/</v>
          </cell>
          <cell r="I123" t="str">
            <v>/</v>
          </cell>
          <cell r="J123" t="str">
            <v>/</v>
          </cell>
          <cell r="K123" t="str">
            <v>/</v>
          </cell>
          <cell r="L123" t="str">
            <v>个</v>
          </cell>
          <cell r="M123">
            <v>1026</v>
          </cell>
        </row>
        <row r="124">
          <cell r="G124" t="str">
            <v>电视柜01</v>
          </cell>
          <cell r="H124" t="str">
            <v>电视柜01_/</v>
          </cell>
          <cell r="I124" t="str">
            <v>/</v>
          </cell>
          <cell r="J124" t="str">
            <v>1200*400*400mm（铁艺电视柜）</v>
          </cell>
          <cell r="K124" t="str">
            <v>/</v>
          </cell>
          <cell r="L124" t="str">
            <v>个</v>
          </cell>
          <cell r="M124">
            <v>292</v>
          </cell>
        </row>
        <row r="125">
          <cell r="G125" t="str">
            <v>矮台01</v>
          </cell>
          <cell r="H125" t="str">
            <v>矮台01_/</v>
          </cell>
          <cell r="I125" t="str">
            <v>/</v>
          </cell>
          <cell r="J125" t="str">
            <v>1500*120*1200轻钢龙骨矮台</v>
          </cell>
          <cell r="K125" t="str">
            <v>/</v>
          </cell>
          <cell r="L125" t="str">
            <v>个</v>
          </cell>
          <cell r="M125">
            <v>800</v>
          </cell>
        </row>
        <row r="126">
          <cell r="G126" t="str">
            <v>网络收纳盒01</v>
          </cell>
          <cell r="H126" t="str">
            <v>网络收纳盒01_/</v>
          </cell>
          <cell r="I126" t="str">
            <v>/</v>
          </cell>
          <cell r="J126" t="str">
            <v>/</v>
          </cell>
          <cell r="K126" t="str">
            <v>/</v>
          </cell>
          <cell r="L126" t="str">
            <v>个</v>
          </cell>
          <cell r="M126">
            <v>43</v>
          </cell>
        </row>
        <row r="127">
          <cell r="G127" t="str">
            <v>茶几01圆形</v>
          </cell>
          <cell r="H127" t="str">
            <v>茶几01圆形_/</v>
          </cell>
          <cell r="I127" t="str">
            <v>/</v>
          </cell>
          <cell r="J127" t="str">
            <v>Φ400*450（圆形）</v>
          </cell>
          <cell r="K127" t="str">
            <v>/</v>
          </cell>
          <cell r="L127" t="str">
            <v>张</v>
          </cell>
          <cell r="M127">
            <v>242</v>
          </cell>
        </row>
        <row r="128">
          <cell r="G128" t="str">
            <v>茶几02椭圆</v>
          </cell>
          <cell r="H128" t="str">
            <v>茶几02椭圆_/</v>
          </cell>
          <cell r="I128" t="str">
            <v>/</v>
          </cell>
          <cell r="J128" t="str">
            <v>900*600*405（椭圆形茶几）</v>
          </cell>
          <cell r="K128" t="str">
            <v>/</v>
          </cell>
          <cell r="L128" t="str">
            <v>张</v>
          </cell>
          <cell r="M128">
            <v>275</v>
          </cell>
        </row>
        <row r="129">
          <cell r="G129" t="str">
            <v>茶几03一大一小</v>
          </cell>
          <cell r="H129" t="str">
            <v>茶几03一大一小_/</v>
          </cell>
          <cell r="I129" t="str">
            <v>/</v>
          </cell>
          <cell r="J129" t="str">
            <v>Φ550*450,Φ400*400（一大一小款圆形茶几，一白一黄）</v>
          </cell>
          <cell r="K129" t="str">
            <v>/</v>
          </cell>
          <cell r="L129" t="str">
            <v>组</v>
          </cell>
          <cell r="M129">
            <v>440</v>
          </cell>
        </row>
        <row r="130">
          <cell r="G130" t="str">
            <v>衣柜01-通用无冰箱</v>
          </cell>
          <cell r="H130" t="str">
            <v>衣柜01-通用无冰箱_/</v>
          </cell>
          <cell r="I130" t="str">
            <v>/</v>
          </cell>
          <cell r="J130" t="str">
            <v>1050*500*2000mm，YG_10无冰箱位</v>
          </cell>
          <cell r="K130" t="str">
            <v>/</v>
          </cell>
          <cell r="L130" t="str">
            <v>个</v>
          </cell>
          <cell r="M130">
            <v>959</v>
          </cell>
        </row>
        <row r="131">
          <cell r="G131" t="str">
            <v>衣柜02-通用有冰箱</v>
          </cell>
          <cell r="H131" t="str">
            <v>衣柜02-通用有冰箱_/</v>
          </cell>
          <cell r="I131" t="str">
            <v>/</v>
          </cell>
          <cell r="J131" t="str">
            <v>1050*500*2000mm，YG_11有冰箱位</v>
          </cell>
          <cell r="K131" t="str">
            <v>/</v>
          </cell>
          <cell r="L131" t="str">
            <v>个</v>
          </cell>
          <cell r="M131">
            <v>922</v>
          </cell>
        </row>
        <row r="132">
          <cell r="G132" t="str">
            <v>衣柜03-高架床衣柜</v>
          </cell>
          <cell r="H132" t="str">
            <v>衣柜03-高架床衣柜_/</v>
          </cell>
          <cell r="I132" t="str">
            <v>/</v>
          </cell>
          <cell r="J132" t="str">
            <v>1050*500*1600</v>
          </cell>
          <cell r="K132" t="str">
            <v>/</v>
          </cell>
          <cell r="L132" t="str">
            <v>个</v>
          </cell>
          <cell r="M132">
            <v>973</v>
          </cell>
        </row>
        <row r="133">
          <cell r="G133" t="str">
            <v>衣柜05-双人</v>
          </cell>
          <cell r="H133" t="str">
            <v>衣柜05-双人_/</v>
          </cell>
          <cell r="I133" t="str">
            <v>/</v>
          </cell>
          <cell r="J133" t="str">
            <v>450*450*1850</v>
          </cell>
          <cell r="K133" t="str">
            <v>/</v>
          </cell>
          <cell r="L133" t="str">
            <v>个</v>
          </cell>
          <cell r="M133">
            <v>429</v>
          </cell>
        </row>
        <row r="134">
          <cell r="G134" t="str">
            <v>衣柜06-四人</v>
          </cell>
          <cell r="H134" t="str">
            <v>衣柜06-四人_/</v>
          </cell>
          <cell r="I134" t="str">
            <v>/</v>
          </cell>
          <cell r="J134" t="str">
            <v>450*900*1850</v>
          </cell>
          <cell r="K134" t="str">
            <v>/</v>
          </cell>
          <cell r="L134" t="str">
            <v>个</v>
          </cell>
          <cell r="M134">
            <v>684</v>
          </cell>
        </row>
        <row r="135">
          <cell r="G135" t="str">
            <v>衣柜07-步入式</v>
          </cell>
          <cell r="H135" t="str">
            <v>衣柜07-步入式_/</v>
          </cell>
          <cell r="I135" t="str">
            <v>/</v>
          </cell>
          <cell r="J135" t="str">
            <v>1120*1050*2100</v>
          </cell>
          <cell r="K135" t="str">
            <v>/</v>
          </cell>
          <cell r="L135" t="str">
            <v>个</v>
          </cell>
          <cell r="M135">
            <v>1121</v>
          </cell>
        </row>
        <row r="136">
          <cell r="G136" t="str">
            <v>试衣镜01</v>
          </cell>
          <cell r="H136" t="str">
            <v>试衣镜01_/</v>
          </cell>
          <cell r="I136" t="str">
            <v>/</v>
          </cell>
          <cell r="J136" t="str">
            <v>40*140cm</v>
          </cell>
          <cell r="K136" t="str">
            <v>/</v>
          </cell>
          <cell r="L136" t="str">
            <v>个</v>
          </cell>
          <cell r="M136">
            <v>77</v>
          </cell>
        </row>
        <row r="137">
          <cell r="G137" t="str">
            <v>踏步01</v>
          </cell>
          <cell r="H137" t="str">
            <v>踏步01_/</v>
          </cell>
          <cell r="I137" t="str">
            <v>/</v>
          </cell>
          <cell r="J137" t="str">
            <v>第一步：250*500*385；第二第三步：250*500*345</v>
          </cell>
          <cell r="K137" t="str">
            <v>/</v>
          </cell>
          <cell r="L137" t="str">
            <v>个</v>
          </cell>
          <cell r="M137">
            <v>550</v>
          </cell>
        </row>
        <row r="138">
          <cell r="G138" t="str">
            <v>整体卫浴镜子01</v>
          </cell>
          <cell r="H138" t="str">
            <v>整体卫浴镜子01_/</v>
          </cell>
          <cell r="I138" t="str">
            <v>/</v>
          </cell>
          <cell r="J138" t="str">
            <v>400*600mm,厚度5mm</v>
          </cell>
          <cell r="K138" t="str">
            <v>/</v>
          </cell>
          <cell r="L138" t="str">
            <v>面</v>
          </cell>
          <cell r="M138">
            <v>55</v>
          </cell>
        </row>
        <row r="139">
          <cell r="G139" t="str">
            <v>鞋柜01</v>
          </cell>
          <cell r="H139" t="str">
            <v>鞋柜01_/</v>
          </cell>
          <cell r="I139" t="str">
            <v>/</v>
          </cell>
          <cell r="J139" t="str">
            <v>600宽铁艺</v>
          </cell>
          <cell r="K139" t="str">
            <v>/</v>
          </cell>
          <cell r="L139" t="str">
            <v>个</v>
          </cell>
          <cell r="M139">
            <v>223</v>
          </cell>
        </row>
        <row r="140">
          <cell r="G140" t="str">
            <v>鞋柜02</v>
          </cell>
          <cell r="H140" t="str">
            <v>鞋柜02_/</v>
          </cell>
          <cell r="I140" t="str">
            <v>/</v>
          </cell>
          <cell r="J140" t="str">
            <v>玄关鞋柜1200宽2000高</v>
          </cell>
          <cell r="K140" t="str">
            <v>/</v>
          </cell>
          <cell r="L140" t="str">
            <v>个</v>
          </cell>
          <cell r="M140">
            <v>629</v>
          </cell>
        </row>
        <row r="141">
          <cell r="G141" t="str">
            <v>镜子01</v>
          </cell>
          <cell r="H141" t="str">
            <v>镜子01_/</v>
          </cell>
          <cell r="I141" t="str">
            <v>/</v>
          </cell>
          <cell r="J141" t="str">
            <v>钢化玻璃，385mm宽*600mm高，周边磨边</v>
          </cell>
          <cell r="K141" t="str">
            <v>/</v>
          </cell>
          <cell r="L141" t="str">
            <v>面</v>
          </cell>
          <cell r="M141">
            <v>53</v>
          </cell>
        </row>
        <row r="142">
          <cell r="G142" t="str">
            <v>两人餐桌01正方形</v>
          </cell>
          <cell r="H142" t="str">
            <v>两人餐桌01正方形_/</v>
          </cell>
          <cell r="I142" t="str">
            <v>/</v>
          </cell>
          <cell r="J142" t="str">
            <v>600*600*750</v>
          </cell>
          <cell r="K142" t="str">
            <v>/</v>
          </cell>
          <cell r="L142" t="str">
            <v>张</v>
          </cell>
          <cell r="M142">
            <v>388</v>
          </cell>
        </row>
        <row r="143">
          <cell r="G143" t="str">
            <v>两人餐桌02长方形</v>
          </cell>
          <cell r="H143" t="str">
            <v>两人餐桌02长方形_/</v>
          </cell>
          <cell r="I143" t="str">
            <v>/</v>
          </cell>
          <cell r="J143" t="str">
            <v>1200*800*750mm（木质桌角）</v>
          </cell>
          <cell r="K143" t="str">
            <v>/</v>
          </cell>
          <cell r="L143" t="str">
            <v>张</v>
          </cell>
          <cell r="M143">
            <v>257</v>
          </cell>
        </row>
        <row r="144">
          <cell r="G144" t="str">
            <v>四人餐桌01</v>
          </cell>
          <cell r="H144" t="str">
            <v>四人餐桌01_/</v>
          </cell>
          <cell r="I144" t="str">
            <v>/</v>
          </cell>
          <cell r="J144" t="str">
            <v>1200*800*750mm（金属桌角）</v>
          </cell>
          <cell r="K144" t="str">
            <v>/</v>
          </cell>
          <cell r="L144" t="str">
            <v>张</v>
          </cell>
          <cell r="M144">
            <v>540</v>
          </cell>
        </row>
        <row r="145">
          <cell r="G145" t="str">
            <v>六人餐桌01</v>
          </cell>
          <cell r="H145" t="str">
            <v>六人餐桌01_/</v>
          </cell>
          <cell r="I145" t="str">
            <v>/</v>
          </cell>
          <cell r="J145" t="str">
            <v>1400*7700*750</v>
          </cell>
          <cell r="K145" t="str">
            <v>/</v>
          </cell>
          <cell r="L145" t="str">
            <v>张</v>
          </cell>
          <cell r="M145">
            <v>638</v>
          </cell>
        </row>
        <row r="146">
          <cell r="G146" t="str">
            <v>洗衣机支架01</v>
          </cell>
          <cell r="H146" t="str">
            <v>洗衣机支架01_/</v>
          </cell>
          <cell r="I146" t="str">
            <v>/</v>
          </cell>
          <cell r="J146" t="str">
            <v>-</v>
          </cell>
          <cell r="K146" t="str">
            <v>/</v>
          </cell>
          <cell r="L146" t="str">
            <v>个</v>
          </cell>
          <cell r="M146">
            <v>283</v>
          </cell>
        </row>
        <row r="147">
          <cell r="G147" t="str">
            <v>窗户挡板01</v>
          </cell>
          <cell r="H147" t="str">
            <v>窗户挡板01_/</v>
          </cell>
          <cell r="I147" t="str">
            <v>/</v>
          </cell>
          <cell r="J147" t="str">
            <v>防坠物网状铝板，尺寸根据现场</v>
          </cell>
          <cell r="K147" t="str">
            <v>/</v>
          </cell>
          <cell r="L147" t="str">
            <v>件</v>
          </cell>
          <cell r="M147">
            <v>80</v>
          </cell>
        </row>
        <row r="148">
          <cell r="G148" t="str">
            <v>屋面围栏01</v>
          </cell>
          <cell r="H148" t="str">
            <v>屋面围栏01_/</v>
          </cell>
          <cell r="I148" t="str">
            <v>/</v>
          </cell>
          <cell r="J148" t="str">
            <v>/</v>
          </cell>
          <cell r="K148" t="str">
            <v>/</v>
          </cell>
          <cell r="L148" t="str">
            <v>件</v>
          </cell>
          <cell r="M148">
            <v>288</v>
          </cell>
        </row>
        <row r="149">
          <cell r="G149" t="str">
            <v>窗户护栏01</v>
          </cell>
          <cell r="H149" t="str">
            <v>窗户护栏01_/</v>
          </cell>
          <cell r="I149" t="str">
            <v>/</v>
          </cell>
          <cell r="J149" t="str">
            <v>规格根据现场定制</v>
          </cell>
          <cell r="K149" t="str">
            <v>/</v>
          </cell>
          <cell r="L149" t="str">
            <v>件</v>
          </cell>
          <cell r="M149">
            <v>288</v>
          </cell>
        </row>
        <row r="150">
          <cell r="G150" t="str">
            <v>阳台栏杆01</v>
          </cell>
          <cell r="H150" t="str">
            <v>阳台栏杆01_/</v>
          </cell>
          <cell r="I150" t="str">
            <v>/</v>
          </cell>
          <cell r="J150" t="str">
            <v>50*50*1.2mm不锈钢扶手</v>
          </cell>
          <cell r="K150" t="str">
            <v>/</v>
          </cell>
          <cell r="L150" t="str">
            <v>件</v>
          </cell>
          <cell r="M150">
            <v>288</v>
          </cell>
        </row>
        <row r="151">
          <cell r="G151" t="str">
            <v>防坠物棚01</v>
          </cell>
          <cell r="H151" t="str">
            <v>防坠物棚01_/</v>
          </cell>
          <cell r="I151" t="str">
            <v>/</v>
          </cell>
          <cell r="J151" t="str">
            <v>原则上绕外墙一周，实际可根据现场情况定制</v>
          </cell>
          <cell r="K151" t="str">
            <v>/</v>
          </cell>
          <cell r="L151" t="str">
            <v>件</v>
          </cell>
          <cell r="M151">
            <v>0</v>
          </cell>
        </row>
        <row r="152">
          <cell r="G152" t="str">
            <v>晾晒区防护网01</v>
          </cell>
          <cell r="H152" t="str">
            <v>晾晒区防护网01_/</v>
          </cell>
          <cell r="I152" t="str">
            <v>/</v>
          </cell>
          <cell r="J152" t="str">
            <v>0.5mm10*10镀锌钢丝网</v>
          </cell>
          <cell r="K152" t="str">
            <v>/</v>
          </cell>
          <cell r="L152" t="str">
            <v>件</v>
          </cell>
          <cell r="M152">
            <v>2.86</v>
          </cell>
        </row>
        <row r="153">
          <cell r="G153" t="str">
            <v>防雨棚02</v>
          </cell>
          <cell r="H153" t="str">
            <v>防雨棚02_/</v>
          </cell>
          <cell r="I153" t="str">
            <v>/</v>
          </cell>
          <cell r="J153" t="str">
            <v>镀锌钢板，尺寸根据现场</v>
          </cell>
          <cell r="K153" t="str">
            <v>/</v>
          </cell>
          <cell r="L153" t="str">
            <v>件</v>
          </cell>
          <cell r="M153">
            <v>303.18</v>
          </cell>
        </row>
        <row r="154">
          <cell r="G154" t="str">
            <v>防雨玻璃棚01</v>
          </cell>
          <cell r="H154" t="str">
            <v>防雨玻璃棚01_/</v>
          </cell>
          <cell r="I154" t="str">
            <v>/</v>
          </cell>
          <cell r="J154" t="str">
            <v>尺寸根据现场定制</v>
          </cell>
          <cell r="K154" t="str">
            <v>/</v>
          </cell>
          <cell r="L154" t="str">
            <v>件</v>
          </cell>
          <cell r="M154">
            <v>300</v>
          </cell>
        </row>
        <row r="155">
          <cell r="G155" t="str">
            <v>排风设备01</v>
          </cell>
          <cell r="H155" t="str">
            <v>排风设备01_电梯配套</v>
          </cell>
          <cell r="I155" t="str">
            <v>电梯配套</v>
          </cell>
          <cell r="J155" t="str">
            <v>电梯配套</v>
          </cell>
          <cell r="K155" t="str">
            <v>/</v>
          </cell>
          <cell r="L155" t="str">
            <v>套</v>
          </cell>
          <cell r="M155">
            <v>300</v>
          </cell>
        </row>
        <row r="156">
          <cell r="G156" t="str">
            <v>警示标识01</v>
          </cell>
          <cell r="H156" t="str">
            <v>警示标识01_电梯配套</v>
          </cell>
          <cell r="I156" t="str">
            <v>电梯配套</v>
          </cell>
          <cell r="J156" t="str">
            <v>A4大小，橙红色</v>
          </cell>
          <cell r="K156" t="str">
            <v>/</v>
          </cell>
          <cell r="L156" t="str">
            <v>张</v>
          </cell>
          <cell r="M156">
            <v>36</v>
          </cell>
        </row>
        <row r="157">
          <cell r="G157" t="str">
            <v>电梯灯盘01</v>
          </cell>
          <cell r="H157" t="str">
            <v>电梯灯盘01_电梯配套</v>
          </cell>
          <cell r="I157" t="str">
            <v>电梯配套</v>
          </cell>
          <cell r="J157" t="str">
            <v>电梯配套</v>
          </cell>
          <cell r="K157" t="str">
            <v>/</v>
          </cell>
          <cell r="L157" t="str">
            <v>个</v>
          </cell>
          <cell r="M157">
            <v>20</v>
          </cell>
        </row>
        <row r="158">
          <cell r="G158" t="str">
            <v>电梯摄像头01</v>
          </cell>
          <cell r="H158" t="str">
            <v>电梯摄像头01_电梯配套</v>
          </cell>
          <cell r="I158" t="str">
            <v>电梯配套</v>
          </cell>
          <cell r="J158" t="str">
            <v>电梯配套</v>
          </cell>
          <cell r="K158" t="str">
            <v>/</v>
          </cell>
          <cell r="L158" t="str">
            <v>个</v>
          </cell>
          <cell r="M158">
            <v>300</v>
          </cell>
        </row>
        <row r="159">
          <cell r="G159" t="str">
            <v>电梯贴纸01</v>
          </cell>
          <cell r="H159" t="str">
            <v>电梯贴纸01_电梯配套</v>
          </cell>
          <cell r="I159" t="str">
            <v>电梯配套</v>
          </cell>
          <cell r="J159" t="str">
            <v>电梯配套</v>
          </cell>
          <cell r="K159" t="str">
            <v>/</v>
          </cell>
          <cell r="L159" t="str">
            <v>件</v>
          </cell>
        </row>
        <row r="160">
          <cell r="G160" t="str">
            <v>电梯地毯01</v>
          </cell>
          <cell r="H160" t="str">
            <v>电梯地毯01_电梯配套</v>
          </cell>
          <cell r="I160" t="str">
            <v>电梯配套</v>
          </cell>
          <cell r="J160" t="str">
            <v>电梯配套</v>
          </cell>
          <cell r="K160" t="str">
            <v>/</v>
          </cell>
          <cell r="L160" t="str">
            <v>件</v>
          </cell>
          <cell r="M160">
            <v>449</v>
          </cell>
        </row>
        <row r="161">
          <cell r="G161" t="str">
            <v>电梯轿厢01</v>
          </cell>
          <cell r="H161" t="str">
            <v>电梯轿厢01_电梯配套</v>
          </cell>
          <cell r="I161" t="str">
            <v>电梯配套</v>
          </cell>
          <cell r="J161" t="str">
            <v>电梯配套</v>
          </cell>
          <cell r="K161" t="str">
            <v>/</v>
          </cell>
          <cell r="L161" t="str">
            <v>套</v>
          </cell>
          <cell r="M161">
            <v>19999</v>
          </cell>
        </row>
        <row r="162">
          <cell r="G162" t="str">
            <v>电梯门（内）01</v>
          </cell>
          <cell r="H162" t="str">
            <v>电梯门（内）01_电梯配套</v>
          </cell>
          <cell r="I162" t="str">
            <v>电梯配套</v>
          </cell>
          <cell r="J162" t="str">
            <v>电梯配套</v>
          </cell>
          <cell r="K162" t="str">
            <v>/</v>
          </cell>
          <cell r="L162" t="str">
            <v>套</v>
          </cell>
          <cell r="M162">
            <v>700</v>
          </cell>
        </row>
        <row r="163">
          <cell r="G163" t="str">
            <v>电梯门（外）01</v>
          </cell>
          <cell r="H163" t="str">
            <v>电梯门（外）01_电梯配套</v>
          </cell>
          <cell r="I163" t="str">
            <v>电梯配套</v>
          </cell>
          <cell r="J163" t="str">
            <v>电梯配套</v>
          </cell>
          <cell r="K163" t="str">
            <v>/</v>
          </cell>
          <cell r="L163" t="str">
            <v>套</v>
          </cell>
          <cell r="M163">
            <v>700</v>
          </cell>
        </row>
        <row r="164">
          <cell r="G164" t="str">
            <v>电梯对讲01</v>
          </cell>
          <cell r="H164" t="str">
            <v>电梯对讲01_电梯配套</v>
          </cell>
          <cell r="I164" t="str">
            <v>电梯配套</v>
          </cell>
          <cell r="J164" t="str">
            <v>电梯配套</v>
          </cell>
          <cell r="K164" t="str">
            <v>/</v>
          </cell>
          <cell r="L164" t="str">
            <v>件</v>
          </cell>
          <cell r="M164">
            <v>300</v>
          </cell>
        </row>
        <row r="165">
          <cell r="G165" t="str">
            <v>单门冰箱</v>
          </cell>
          <cell r="H165" t="str">
            <v>单门冰箱_/</v>
          </cell>
          <cell r="I165" t="str">
            <v>/</v>
          </cell>
          <cell r="J165" t="str">
            <v>170升</v>
          </cell>
          <cell r="K165" t="str">
            <v>/</v>
          </cell>
          <cell r="L165" t="str">
            <v>台</v>
          </cell>
          <cell r="M165">
            <v>1200</v>
          </cell>
        </row>
        <row r="166">
          <cell r="G166" t="str">
            <v>吸油烟机01-斜板式</v>
          </cell>
          <cell r="H166" t="str">
            <v>吸油烟机01-斜板式_/</v>
          </cell>
          <cell r="I166" t="str">
            <v>/</v>
          </cell>
          <cell r="J166" t="str">
            <v>705*440*630mm</v>
          </cell>
          <cell r="K166" t="str">
            <v>/</v>
          </cell>
          <cell r="L166" t="str">
            <v>台</v>
          </cell>
          <cell r="M166">
            <v>660</v>
          </cell>
        </row>
        <row r="167">
          <cell r="G167" t="str">
            <v>吸油烟机02-平板式</v>
          </cell>
          <cell r="H167" t="str">
            <v>吸油烟机02-平板式_/</v>
          </cell>
          <cell r="I167" t="str">
            <v>/</v>
          </cell>
          <cell r="J167" t="str">
            <v>600*450*555mm</v>
          </cell>
          <cell r="K167" t="str">
            <v>/</v>
          </cell>
          <cell r="L167" t="str">
            <v>台</v>
          </cell>
          <cell r="M167">
            <v>730</v>
          </cell>
        </row>
        <row r="168">
          <cell r="G168" t="str">
            <v>排风扇01</v>
          </cell>
          <cell r="H168" t="str">
            <v>排风扇01_/</v>
          </cell>
          <cell r="I168" t="str">
            <v>/</v>
          </cell>
          <cell r="J168" t="str">
            <v>300*300mm</v>
          </cell>
          <cell r="K168" t="str">
            <v>/</v>
          </cell>
          <cell r="L168" t="str">
            <v>个</v>
          </cell>
          <cell r="M168">
            <v>153</v>
          </cell>
        </row>
        <row r="169">
          <cell r="G169" t="str">
            <v>整体卫浴排风扇01</v>
          </cell>
          <cell r="H169" t="str">
            <v>整体卫浴排风扇01_/</v>
          </cell>
          <cell r="I169" t="str">
            <v>/</v>
          </cell>
          <cell r="J169" t="str">
            <v>含排风管</v>
          </cell>
          <cell r="K169" t="str">
            <v>/</v>
          </cell>
          <cell r="L169" t="str">
            <v>个</v>
          </cell>
          <cell r="M169">
            <v>100</v>
          </cell>
        </row>
        <row r="170">
          <cell r="G170" t="str">
            <v>波轮洗衣机01</v>
          </cell>
          <cell r="H170" t="str">
            <v>波轮洗衣机01_/</v>
          </cell>
          <cell r="I170" t="str">
            <v>/</v>
          </cell>
          <cell r="J170" t="str">
            <v>/</v>
          </cell>
          <cell r="K170" t="str">
            <v>/</v>
          </cell>
          <cell r="L170" t="str">
            <v>台</v>
          </cell>
          <cell r="M170">
            <v>595</v>
          </cell>
        </row>
        <row r="171">
          <cell r="G171" t="str">
            <v>滚筒洗衣机01</v>
          </cell>
          <cell r="H171" t="str">
            <v>滚筒洗衣机01_/</v>
          </cell>
          <cell r="I171" t="str">
            <v>/</v>
          </cell>
          <cell r="J171" t="str">
            <v>/</v>
          </cell>
          <cell r="K171" t="str">
            <v>/</v>
          </cell>
          <cell r="L171" t="str">
            <v>台</v>
          </cell>
          <cell r="M171">
            <v>950</v>
          </cell>
        </row>
        <row r="172">
          <cell r="G172" t="str">
            <v>电热水器01-40L</v>
          </cell>
          <cell r="H172" t="str">
            <v>电热水器01-40L_/</v>
          </cell>
          <cell r="I172" t="str">
            <v>/</v>
          </cell>
          <cell r="J172" t="str">
            <v>40L-D40-HK3</v>
          </cell>
          <cell r="K172" t="str">
            <v>/</v>
          </cell>
          <cell r="L172" t="str">
            <v>台</v>
          </cell>
          <cell r="M172">
            <v>370</v>
          </cell>
        </row>
        <row r="173">
          <cell r="G173" t="str">
            <v>电热水器02-60L</v>
          </cell>
          <cell r="H173" t="str">
            <v>电热水器02-60L_/</v>
          </cell>
          <cell r="I173" t="str">
            <v>/</v>
          </cell>
          <cell r="J173" t="str">
            <v>60L，F60-A20GA2(H)</v>
          </cell>
          <cell r="K173" t="str">
            <v>/</v>
          </cell>
          <cell r="L173" t="str">
            <v>台</v>
          </cell>
          <cell r="M173">
            <v>430</v>
          </cell>
        </row>
        <row r="174">
          <cell r="G174" t="str">
            <v>电热水器03-80L</v>
          </cell>
          <cell r="H174" t="str">
            <v>电热水器03-80L_/</v>
          </cell>
          <cell r="I174" t="str">
            <v>/</v>
          </cell>
          <cell r="J174" t="str">
            <v>80L,直径450*788mm</v>
          </cell>
          <cell r="K174" t="str">
            <v>/</v>
          </cell>
          <cell r="L174" t="str">
            <v>台</v>
          </cell>
          <cell r="M174">
            <v>580</v>
          </cell>
        </row>
        <row r="175">
          <cell r="G175" t="str">
            <v>冷暖空调01-1p</v>
          </cell>
          <cell r="H175" t="str">
            <v>冷暖空调01-1p_/</v>
          </cell>
          <cell r="I175" t="str">
            <v>/</v>
          </cell>
          <cell r="J175" t="str">
            <v>/</v>
          </cell>
          <cell r="K175" t="str">
            <v>/</v>
          </cell>
          <cell r="L175" t="str">
            <v>个</v>
          </cell>
          <cell r="M175">
            <v>1680</v>
          </cell>
        </row>
        <row r="176">
          <cell r="G176" t="str">
            <v>冷暖空调02-1.5p</v>
          </cell>
          <cell r="H176" t="str">
            <v>冷暖空调02-1.5p_/</v>
          </cell>
          <cell r="I176" t="str">
            <v>/</v>
          </cell>
          <cell r="J176" t="str">
            <v>/</v>
          </cell>
          <cell r="K176" t="str">
            <v>/</v>
          </cell>
          <cell r="L176" t="str">
            <v>台</v>
          </cell>
          <cell r="M176">
            <v>1880</v>
          </cell>
        </row>
        <row r="177">
          <cell r="G177" t="str">
            <v>冷暖空调03-3p</v>
          </cell>
          <cell r="H177" t="str">
            <v>冷暖空调03-3p_/</v>
          </cell>
          <cell r="I177" t="str">
            <v>/</v>
          </cell>
          <cell r="J177" t="str">
            <v>/</v>
          </cell>
          <cell r="K177" t="str">
            <v>/</v>
          </cell>
          <cell r="L177" t="str">
            <v>台</v>
          </cell>
          <cell r="M177">
            <v>4980</v>
          </cell>
        </row>
        <row r="178">
          <cell r="G178" t="str">
            <v>空调遥控器01</v>
          </cell>
          <cell r="H178" t="str">
            <v>空调遥控器01_/</v>
          </cell>
          <cell r="I178" t="str">
            <v>/</v>
          </cell>
          <cell r="J178" t="str">
            <v>配套遥控器</v>
          </cell>
          <cell r="K178" t="str">
            <v>/</v>
          </cell>
          <cell r="L178" t="str">
            <v>个</v>
          </cell>
          <cell r="M178">
            <v>10</v>
          </cell>
        </row>
        <row r="179">
          <cell r="G179" t="str">
            <v>户外照明灯01</v>
          </cell>
          <cell r="H179" t="str">
            <v>户外照明灯01_/</v>
          </cell>
          <cell r="I179" t="str">
            <v>/</v>
          </cell>
          <cell r="J179" t="str">
            <v>黑色LED防水灯，50W</v>
          </cell>
          <cell r="K179" t="str">
            <v>/</v>
          </cell>
          <cell r="L179" t="str">
            <v>个</v>
          </cell>
          <cell r="M179">
            <v>0</v>
          </cell>
        </row>
        <row r="180">
          <cell r="G180" t="str">
            <v>红外感应灯01</v>
          </cell>
          <cell r="H180" t="str">
            <v>红外感应灯01_/</v>
          </cell>
          <cell r="I180" t="str">
            <v>/</v>
          </cell>
          <cell r="J180" t="str">
            <v>直径19*厚6
.5cm,功率12w</v>
          </cell>
          <cell r="K180" t="str">
            <v>/</v>
          </cell>
          <cell r="L180" t="str">
            <v>个</v>
          </cell>
          <cell r="M180">
            <v>67</v>
          </cell>
        </row>
        <row r="181">
          <cell r="G181" t="str">
            <v>嵌入式厨卫灯01</v>
          </cell>
          <cell r="H181" t="str">
            <v>嵌入式厨卫灯01_/</v>
          </cell>
          <cell r="I181" t="str">
            <v>/</v>
          </cell>
          <cell r="J181" t="str">
            <v>300*300mm,10W</v>
          </cell>
          <cell r="K181" t="str">
            <v>/</v>
          </cell>
          <cell r="L181" t="str">
            <v>个</v>
          </cell>
          <cell r="M181">
            <v>60</v>
          </cell>
        </row>
        <row r="182">
          <cell r="G182" t="str">
            <v>整体卫浴厨卫灯01</v>
          </cell>
          <cell r="H182" t="str">
            <v>整体卫浴厨卫灯01_/</v>
          </cell>
          <cell r="I182" t="str">
            <v>/</v>
          </cell>
          <cell r="J182" t="str">
            <v>-</v>
          </cell>
          <cell r="K182" t="str">
            <v>/</v>
          </cell>
          <cell r="L182" t="str">
            <v>个</v>
          </cell>
          <cell r="M182">
            <v>66.26</v>
          </cell>
        </row>
        <row r="183">
          <cell r="G183" t="str">
            <v>整体卫浴暗装筒灯01</v>
          </cell>
          <cell r="H183" t="str">
            <v>整体卫浴暗装筒灯01_/</v>
          </cell>
          <cell r="I183" t="str">
            <v>/</v>
          </cell>
          <cell r="J183" t="str">
            <v>LED3W,4000K</v>
          </cell>
          <cell r="K183" t="str">
            <v>/</v>
          </cell>
          <cell r="L183" t="str">
            <v>个</v>
          </cell>
          <cell r="M183">
            <v>9</v>
          </cell>
        </row>
        <row r="184">
          <cell r="G184" t="str">
            <v>吊灯01</v>
          </cell>
          <cell r="H184" t="str">
            <v>吊灯01_/</v>
          </cell>
          <cell r="I184" t="str">
            <v>/</v>
          </cell>
          <cell r="J184" t="str">
            <v>直径30cm,
功率35w,自然光420
0k(3300K-5000K)</v>
          </cell>
          <cell r="K184" t="str">
            <v>/</v>
          </cell>
          <cell r="L184" t="str">
            <v>个</v>
          </cell>
          <cell r="M184">
            <v>93</v>
          </cell>
        </row>
        <row r="185">
          <cell r="G185" t="str">
            <v>吸顶灯01</v>
          </cell>
          <cell r="H185" t="str">
            <v>吸顶灯01_/</v>
          </cell>
          <cell r="I185" t="str">
            <v>/</v>
          </cell>
          <cell r="J185" t="str">
            <v>规格：直径30cm</v>
          </cell>
          <cell r="K185" t="str">
            <v>/</v>
          </cell>
          <cell r="L185" t="str">
            <v>个</v>
          </cell>
          <cell r="M185">
            <v>74</v>
          </cell>
        </row>
        <row r="186">
          <cell r="G186" t="str">
            <v>壁灯01</v>
          </cell>
          <cell r="H186" t="str">
            <v>壁灯01_/</v>
          </cell>
          <cell r="I186" t="str">
            <v>/</v>
          </cell>
          <cell r="J186" t="str">
            <v>B296-1122黑色，10W，铝材，10cm*20cm*8cm</v>
          </cell>
          <cell r="K186" t="str">
            <v>/</v>
          </cell>
          <cell r="L186" t="str">
            <v>个</v>
          </cell>
          <cell r="M186">
            <v>108</v>
          </cell>
        </row>
        <row r="187">
          <cell r="G187" t="str">
            <v>应急照明灯01</v>
          </cell>
          <cell r="H187" t="str">
            <v>应急照明灯01_/</v>
          </cell>
          <cell r="I187" t="str">
            <v>/</v>
          </cell>
          <cell r="J187" t="str">
            <v>双头应急灯220V/LED-8W</v>
          </cell>
          <cell r="K187" t="str">
            <v>/</v>
          </cell>
          <cell r="L187" t="str">
            <v>个</v>
          </cell>
          <cell r="M187">
            <v>54</v>
          </cell>
        </row>
        <row r="188">
          <cell r="G188" t="str">
            <v>筒灯01</v>
          </cell>
          <cell r="H188" t="str">
            <v>筒灯01_/</v>
          </cell>
          <cell r="I188" t="str">
            <v>/</v>
          </cell>
          <cell r="J188" t="str">
            <v>6W（直径90mm,3300K）</v>
          </cell>
          <cell r="K188" t="str">
            <v>/</v>
          </cell>
          <cell r="L188" t="str">
            <v>个</v>
          </cell>
          <cell r="M188">
            <v>56</v>
          </cell>
        </row>
        <row r="189">
          <cell r="G189" t="str">
            <v>镜前灯01</v>
          </cell>
          <cell r="H189" t="str">
            <v>镜前灯01_/</v>
          </cell>
          <cell r="I189" t="str">
            <v>/</v>
          </cell>
          <cell r="J189" t="str">
            <v>长38.5*高3
.8*进深5.5cm,功率
7w,色湿4200K</v>
          </cell>
          <cell r="K189" t="str">
            <v>/</v>
          </cell>
          <cell r="L189" t="str">
            <v>个</v>
          </cell>
          <cell r="M189">
            <v>81</v>
          </cell>
        </row>
        <row r="190">
          <cell r="G190" t="str">
            <v>阳台灯01</v>
          </cell>
          <cell r="H190" t="str">
            <v>阳台灯01_/</v>
          </cell>
          <cell r="I190" t="str">
            <v>/</v>
          </cell>
          <cell r="J190" t="str">
            <v>围形LED防水防蚊吸顶灯</v>
          </cell>
          <cell r="K190" t="str">
            <v>/</v>
          </cell>
          <cell r="L190" t="str">
            <v>个</v>
          </cell>
          <cell r="M190">
            <v>48</v>
          </cell>
        </row>
        <row r="191">
          <cell r="G191" t="str">
            <v>门头烤漆字</v>
          </cell>
          <cell r="H191" t="str">
            <v>门头烤漆字_/</v>
          </cell>
          <cell r="I191" t="str">
            <v>/</v>
          </cell>
          <cell r="J191" t="str">
            <v>含LOGO与乐寓文字</v>
          </cell>
          <cell r="K191" t="str">
            <v>/</v>
          </cell>
          <cell r="L191" t="str">
            <v>件</v>
          </cell>
          <cell r="M191">
            <v>240</v>
          </cell>
        </row>
        <row r="192">
          <cell r="G192" t="str">
            <v>公区公告栏01-大</v>
          </cell>
          <cell r="H192" t="str">
            <v>公区公告栏01-大_/</v>
          </cell>
          <cell r="I192" t="str">
            <v>/</v>
          </cell>
          <cell r="J192" t="str">
            <v>1200*700</v>
          </cell>
          <cell r="K192" t="str">
            <v>/</v>
          </cell>
          <cell r="L192" t="str">
            <v>个</v>
          </cell>
          <cell r="M192">
            <v>601</v>
          </cell>
        </row>
        <row r="193">
          <cell r="G193" t="str">
            <v>公区公告栏01-小</v>
          </cell>
          <cell r="H193" t="str">
            <v>公区公告栏01-小_/</v>
          </cell>
          <cell r="I193" t="str">
            <v>/</v>
          </cell>
          <cell r="J193" t="str">
            <v>A3尺寸，uv亚克力3mm</v>
          </cell>
          <cell r="K193" t="str">
            <v>/</v>
          </cell>
          <cell r="L193" t="str">
            <v>个</v>
          </cell>
          <cell r="M193">
            <v>33</v>
          </cell>
        </row>
        <row r="194">
          <cell r="G194" t="str">
            <v>户内公告栏01</v>
          </cell>
          <cell r="H194" t="str">
            <v>户内公告栏01_/</v>
          </cell>
          <cell r="I194" t="str">
            <v>/</v>
          </cell>
          <cell r="J194" t="str">
            <v>215*305mm</v>
          </cell>
          <cell r="K194" t="str">
            <v>/</v>
          </cell>
          <cell r="L194" t="str">
            <v>个</v>
          </cell>
          <cell r="M194">
            <v>33</v>
          </cell>
        </row>
        <row r="195">
          <cell r="G195" t="str">
            <v>防水贴纸</v>
          </cell>
          <cell r="H195" t="str">
            <v>防水贴纸_/</v>
          </cell>
          <cell r="I195" t="str">
            <v>/</v>
          </cell>
          <cell r="J195" t="str">
            <v>100*150机房、管井、设备
、警示、热水器开关、监控区域)</v>
          </cell>
          <cell r="K195" t="str">
            <v>/</v>
          </cell>
          <cell r="L195" t="str">
            <v>张</v>
          </cell>
          <cell r="M195">
            <v>4.7</v>
          </cell>
        </row>
        <row r="196">
          <cell r="G196" t="str">
            <v>发光楼栋号01</v>
          </cell>
          <cell r="H196" t="str">
            <v>发光楼栋号01_/</v>
          </cell>
          <cell r="I196" t="str">
            <v>/</v>
          </cell>
          <cell r="J196" t="str">
            <v>白色发光楼栋号，色温3000k（正门用）</v>
          </cell>
          <cell r="K196" t="str">
            <v>/</v>
          </cell>
          <cell r="L196" t="str">
            <v>件</v>
          </cell>
          <cell r="M196">
            <v>1280</v>
          </cell>
        </row>
        <row r="197">
          <cell r="G197" t="str">
            <v>上下床衣柜标识</v>
          </cell>
          <cell r="H197" t="str">
            <v>上下床衣柜标识_/</v>
          </cell>
          <cell r="I197" t="str">
            <v>/</v>
          </cell>
          <cell r="J197" t="str">
            <v>120*40mm（带上下+数字指示）</v>
          </cell>
          <cell r="K197" t="str">
            <v>/</v>
          </cell>
          <cell r="L197" t="str">
            <v>张</v>
          </cell>
          <cell r="M197">
            <v>3.22</v>
          </cell>
        </row>
        <row r="198">
          <cell r="G198" t="str">
            <v>信息标识</v>
          </cell>
          <cell r="H198" t="str">
            <v>信息标识_/</v>
          </cell>
          <cell r="I198" t="str">
            <v>/</v>
          </cell>
          <cell r="J198" t="str">
            <v>含租房热线、警示标识</v>
          </cell>
          <cell r="K198" t="str">
            <v>/</v>
          </cell>
          <cell r="L198" t="str">
            <v>张</v>
          </cell>
          <cell r="M198">
            <v>14</v>
          </cell>
        </row>
        <row r="199">
          <cell r="G199" t="str">
            <v>侧门1标识01</v>
          </cell>
          <cell r="H199" t="str">
            <v>侧门1标识01_/</v>
          </cell>
          <cell r="I199" t="str">
            <v>/</v>
          </cell>
          <cell r="J199" t="str">
            <v>红色侧门1标识</v>
          </cell>
          <cell r="K199" t="str">
            <v>/</v>
          </cell>
          <cell r="L199" t="str">
            <v>件</v>
          </cell>
          <cell r="M199">
            <v>40</v>
          </cell>
        </row>
        <row r="200">
          <cell r="G200" t="str">
            <v>APP开门01</v>
          </cell>
          <cell r="H200" t="str">
            <v>APP开门01_/</v>
          </cell>
          <cell r="I200" t="str">
            <v>/</v>
          </cell>
          <cell r="J200" t="str">
            <v>100*150mm亚克力材质</v>
          </cell>
          <cell r="K200" t="str">
            <v>/</v>
          </cell>
          <cell r="L200" t="str">
            <v>个</v>
          </cell>
          <cell r="M200">
            <v>17.44</v>
          </cell>
        </row>
        <row r="201">
          <cell r="G201" t="str">
            <v>天台警示标识牌</v>
          </cell>
          <cell r="H201" t="str">
            <v>天台警示标识牌_/</v>
          </cell>
          <cell r="I201" t="str">
            <v>/</v>
          </cell>
          <cell r="J201" t="str">
            <v>禁止高空抛物，禁止堆放杂物，小心坠落，禁止攀爬，晾晒区公约栏</v>
          </cell>
          <cell r="K201" t="str">
            <v>/</v>
          </cell>
          <cell r="L201" t="str">
            <v>个</v>
          </cell>
          <cell r="M201">
            <v>47</v>
          </cell>
        </row>
        <row r="202">
          <cell r="G202" t="str">
            <v>楼层牌01</v>
          </cell>
          <cell r="H202" t="str">
            <v>楼层牌01_/</v>
          </cell>
          <cell r="I202" t="str">
            <v>/</v>
          </cell>
          <cell r="J202" t="str">
            <v>UV亚力克3mm,300*250mm</v>
          </cell>
          <cell r="K202" t="str">
            <v>/</v>
          </cell>
          <cell r="L202" t="str">
            <v>张</v>
          </cell>
          <cell r="M202">
            <v>27</v>
          </cell>
        </row>
        <row r="203">
          <cell r="G203" t="str">
            <v>保洁签到板01</v>
          </cell>
          <cell r="H203" t="str">
            <v>保洁签到板01_/</v>
          </cell>
          <cell r="I203" t="str">
            <v>/</v>
          </cell>
          <cell r="J203" t="str">
            <v>A3亚克力</v>
          </cell>
          <cell r="K203" t="str">
            <v>/</v>
          </cell>
          <cell r="L203" t="str">
            <v>张</v>
          </cell>
          <cell r="M203">
            <v>27</v>
          </cell>
        </row>
        <row r="204">
          <cell r="G204" t="str">
            <v>门牌号01</v>
          </cell>
          <cell r="H204" t="str">
            <v>门牌号01_/</v>
          </cell>
          <cell r="I204" t="str">
            <v>/</v>
          </cell>
          <cell r="J204" t="str">
            <v>180*100mm</v>
          </cell>
          <cell r="K204" t="str">
            <v>/</v>
          </cell>
          <cell r="L204" t="str">
            <v>个</v>
          </cell>
          <cell r="M204">
            <v>14</v>
          </cell>
        </row>
        <row r="205">
          <cell r="G205" t="str">
            <v>防撞条01</v>
          </cell>
          <cell r="H205" t="str">
            <v>防撞条01_/</v>
          </cell>
          <cell r="I205" t="str">
            <v>/</v>
          </cell>
          <cell r="J205" t="str">
            <v>长度*高度120</v>
          </cell>
          <cell r="K205" t="str">
            <v>/</v>
          </cell>
          <cell r="L205" t="str">
            <v>条</v>
          </cell>
          <cell r="M205">
            <v>29</v>
          </cell>
        </row>
        <row r="206">
          <cell r="G206" t="str">
            <v>信号基站</v>
          </cell>
          <cell r="H206" t="str">
            <v>信号基站_/</v>
          </cell>
          <cell r="I206" t="str">
            <v>/</v>
          </cell>
          <cell r="J206" t="str">
            <v>-</v>
          </cell>
          <cell r="K206" t="str">
            <v>/</v>
          </cell>
          <cell r="L206" t="str">
            <v>台</v>
          </cell>
          <cell r="M206">
            <v>0</v>
          </cell>
        </row>
        <row r="207">
          <cell r="G207" t="str">
            <v>通讯机柜</v>
          </cell>
          <cell r="H207" t="str">
            <v>通讯机柜_/</v>
          </cell>
          <cell r="I207" t="str">
            <v>/</v>
          </cell>
          <cell r="J207" t="str">
            <v>-</v>
          </cell>
          <cell r="K207" t="str">
            <v>/</v>
          </cell>
          <cell r="L207" t="str">
            <v>组</v>
          </cell>
          <cell r="M207">
            <v>0</v>
          </cell>
        </row>
        <row r="208">
          <cell r="G208" t="str">
            <v>手机充电宝</v>
          </cell>
          <cell r="H208" t="str">
            <v>手机充电宝_/</v>
          </cell>
          <cell r="I208" t="str">
            <v>/</v>
          </cell>
          <cell r="J208" t="str">
            <v>长30cm*宽30cm*高150cm</v>
          </cell>
          <cell r="K208" t="str">
            <v>/</v>
          </cell>
          <cell r="L208" t="str">
            <v>台</v>
          </cell>
          <cell r="M208">
            <v>0</v>
          </cell>
        </row>
        <row r="209">
          <cell r="G209" t="str">
            <v>吧台</v>
          </cell>
          <cell r="H209" t="str">
            <v>吧台_/</v>
          </cell>
          <cell r="I209" t="str">
            <v>/</v>
          </cell>
          <cell r="J209" t="str">
            <v>-</v>
          </cell>
          <cell r="K209" t="str">
            <v>/</v>
          </cell>
          <cell r="L209" t="str">
            <v>组</v>
          </cell>
          <cell r="M209">
            <v>0</v>
          </cell>
        </row>
        <row r="210">
          <cell r="G210" t="str">
            <v>21寸广告LED屏</v>
          </cell>
          <cell r="H210" t="str">
            <v>21寸广告LED屏_/</v>
          </cell>
          <cell r="I210" t="str">
            <v>/</v>
          </cell>
          <cell r="J210" t="str">
            <v>21寸</v>
          </cell>
          <cell r="K210" t="str">
            <v>/</v>
          </cell>
          <cell r="L210" t="str">
            <v>个</v>
          </cell>
          <cell r="M210">
            <v>0</v>
          </cell>
        </row>
        <row r="211">
          <cell r="G211" t="str">
            <v>投影仪</v>
          </cell>
          <cell r="H211" t="str">
            <v>投影仪_/</v>
          </cell>
          <cell r="I211" t="str">
            <v>/</v>
          </cell>
          <cell r="J211" t="str">
            <v>长18.2cm*宽7.8cm</v>
          </cell>
          <cell r="K211" t="str">
            <v>/</v>
          </cell>
          <cell r="L211" t="str">
            <v>台</v>
          </cell>
          <cell r="M211">
            <v>0</v>
          </cell>
        </row>
        <row r="212">
          <cell r="G212" t="str">
            <v>立式广告屏</v>
          </cell>
          <cell r="H212" t="str">
            <v>立式广告屏_/</v>
          </cell>
          <cell r="I212" t="str">
            <v>/</v>
          </cell>
          <cell r="J212" t="str">
            <v>-</v>
          </cell>
          <cell r="K212" t="str">
            <v>/</v>
          </cell>
          <cell r="L212" t="str">
            <v>台</v>
          </cell>
          <cell r="M212">
            <v>0</v>
          </cell>
        </row>
        <row r="213">
          <cell r="G213" t="str">
            <v>电单车充电插座</v>
          </cell>
          <cell r="H213" t="str">
            <v>电单车充电插座_/</v>
          </cell>
          <cell r="I213" t="str">
            <v>/</v>
          </cell>
          <cell r="J213" t="str">
            <v>充电插座</v>
          </cell>
          <cell r="K213" t="str">
            <v>/</v>
          </cell>
          <cell r="L213" t="str">
            <v>台</v>
          </cell>
          <cell r="M213">
            <v>0</v>
          </cell>
        </row>
        <row r="214">
          <cell r="G214" t="str">
            <v>电单车电池换电柜</v>
          </cell>
          <cell r="H214" t="str">
            <v>电单车电池换电柜_/</v>
          </cell>
          <cell r="I214" t="str">
            <v>/</v>
          </cell>
          <cell r="J214" t="str">
            <v>长91cm*宽30.86cm*高65.17cm</v>
          </cell>
          <cell r="K214" t="str">
            <v>/</v>
          </cell>
          <cell r="L214" t="str">
            <v>台</v>
          </cell>
          <cell r="M214">
            <v>0</v>
          </cell>
        </row>
        <row r="215">
          <cell r="G215" t="str">
            <v>公区共享柜子</v>
          </cell>
          <cell r="H215" t="str">
            <v>公区共享柜子_/</v>
          </cell>
          <cell r="I215" t="str">
            <v>/</v>
          </cell>
          <cell r="J215" t="str">
            <v>长170cm*宽50cm*高220cm</v>
          </cell>
          <cell r="K215" t="str">
            <v>/</v>
          </cell>
          <cell r="L215" t="str">
            <v>个</v>
          </cell>
          <cell r="M215">
            <v>0</v>
          </cell>
        </row>
        <row r="216">
          <cell r="G216" t="str">
            <v>取餐柜</v>
          </cell>
          <cell r="H216" t="str">
            <v>取餐柜_/</v>
          </cell>
          <cell r="I216" t="str">
            <v>/</v>
          </cell>
          <cell r="J216" t="str">
            <v>长80cm*宽28cm*高197cm</v>
          </cell>
          <cell r="K216" t="str">
            <v>/</v>
          </cell>
          <cell r="L216" t="str">
            <v>台</v>
          </cell>
          <cell r="M216">
            <v>0</v>
          </cell>
        </row>
        <row r="217">
          <cell r="G217" t="str">
            <v>快递柜</v>
          </cell>
          <cell r="H217" t="str">
            <v>快递柜_/</v>
          </cell>
          <cell r="I217" t="str">
            <v>/</v>
          </cell>
          <cell r="J217" t="str">
            <v>-</v>
          </cell>
          <cell r="K217" t="str">
            <v>/</v>
          </cell>
          <cell r="L217" t="str">
            <v>台</v>
          </cell>
          <cell r="M217">
            <v>0</v>
          </cell>
        </row>
        <row r="218">
          <cell r="G218" t="str">
            <v>大容量洗衣机</v>
          </cell>
          <cell r="H218" t="str">
            <v>大容量洗衣机_/</v>
          </cell>
          <cell r="I218" t="str">
            <v>/</v>
          </cell>
          <cell r="J218" t="str">
            <v>-</v>
          </cell>
          <cell r="K218" t="str">
            <v>/</v>
          </cell>
          <cell r="L218" t="str">
            <v>台</v>
          </cell>
          <cell r="M218">
            <v>0</v>
          </cell>
        </row>
        <row r="219">
          <cell r="G219" t="str">
            <v>烘干机</v>
          </cell>
          <cell r="H219" t="str">
            <v>烘干机_/</v>
          </cell>
          <cell r="I219" t="str">
            <v>/</v>
          </cell>
          <cell r="J219" t="str">
            <v>-</v>
          </cell>
          <cell r="K219" t="str">
            <v>/</v>
          </cell>
          <cell r="L219" t="str">
            <v>台</v>
          </cell>
          <cell r="M219">
            <v>0</v>
          </cell>
        </row>
        <row r="220">
          <cell r="G220" t="str">
            <v>烘洗一体机</v>
          </cell>
          <cell r="H220" t="str">
            <v>烘洗一体机_/</v>
          </cell>
          <cell r="I220" t="str">
            <v>/</v>
          </cell>
          <cell r="J220" t="str">
            <v>-</v>
          </cell>
          <cell r="K220" t="str">
            <v>/</v>
          </cell>
          <cell r="L220" t="str">
            <v>台</v>
          </cell>
          <cell r="M220">
            <v>0</v>
          </cell>
        </row>
        <row r="221">
          <cell r="G221" t="str">
            <v>电梯框架广告</v>
          </cell>
          <cell r="H221" t="str">
            <v>电梯框架广告_/</v>
          </cell>
          <cell r="I221" t="str">
            <v>/</v>
          </cell>
          <cell r="J221" t="str">
            <v>长80cm*宽60cm</v>
          </cell>
          <cell r="K221" t="str">
            <v>/</v>
          </cell>
          <cell r="L221" t="str">
            <v>个</v>
          </cell>
          <cell r="M221">
            <v>0</v>
          </cell>
        </row>
        <row r="222">
          <cell r="G222" t="str">
            <v>娃娃机</v>
          </cell>
          <cell r="H222" t="str">
            <v>娃娃机_/</v>
          </cell>
          <cell r="I222" t="str">
            <v>/</v>
          </cell>
          <cell r="J222" t="str">
            <v>-</v>
          </cell>
          <cell r="K222" t="str">
            <v>/</v>
          </cell>
          <cell r="L222" t="str">
            <v>台</v>
          </cell>
          <cell r="M222">
            <v>0</v>
          </cell>
        </row>
        <row r="223">
          <cell r="G223" t="str">
            <v>游戏机</v>
          </cell>
          <cell r="H223" t="str">
            <v>游戏机_/</v>
          </cell>
          <cell r="I223" t="str">
            <v>/</v>
          </cell>
          <cell r="J223" t="str">
            <v>-</v>
          </cell>
          <cell r="K223" t="str">
            <v>/</v>
          </cell>
          <cell r="L223" t="str">
            <v>台</v>
          </cell>
          <cell r="M223">
            <v>0</v>
          </cell>
        </row>
        <row r="224">
          <cell r="G224" t="str">
            <v>咖啡机</v>
          </cell>
          <cell r="H224" t="str">
            <v>咖啡机_/</v>
          </cell>
          <cell r="I224" t="str">
            <v>/</v>
          </cell>
          <cell r="J224" t="str">
            <v>长50cm*宽68cm*高170cm</v>
          </cell>
          <cell r="K224" t="str">
            <v>/</v>
          </cell>
          <cell r="L224" t="str">
            <v>台</v>
          </cell>
          <cell r="M224">
            <v>0</v>
          </cell>
        </row>
        <row r="225">
          <cell r="G225" t="str">
            <v>无人水架</v>
          </cell>
          <cell r="H225" t="str">
            <v>无人水架_/</v>
          </cell>
          <cell r="I225" t="str">
            <v>/</v>
          </cell>
          <cell r="J225" t="str">
            <v>-</v>
          </cell>
          <cell r="K225" t="str">
            <v>/</v>
          </cell>
          <cell r="L225" t="str">
            <v>架</v>
          </cell>
          <cell r="M225">
            <v>0</v>
          </cell>
        </row>
        <row r="226">
          <cell r="G226" t="str">
            <v>自助售卖柜</v>
          </cell>
          <cell r="H226" t="str">
            <v>自助售卖柜_/</v>
          </cell>
          <cell r="I226" t="str">
            <v>/</v>
          </cell>
          <cell r="J226" t="str">
            <v>长200cm*宽50cm*高200cm</v>
          </cell>
          <cell r="K226" t="str">
            <v>/</v>
          </cell>
          <cell r="L226" t="str">
            <v>台</v>
          </cell>
          <cell r="M226">
            <v>0</v>
          </cell>
        </row>
        <row r="227">
          <cell r="G227" t="str">
            <v>自助小型售卖柜</v>
          </cell>
          <cell r="H227" t="str">
            <v>自助小型售卖柜_/</v>
          </cell>
          <cell r="I227" t="str">
            <v>/</v>
          </cell>
          <cell r="J227" t="str">
            <v>长59.5cm*宽55.5cm*高189.5cm</v>
          </cell>
          <cell r="K227" t="str">
            <v>/</v>
          </cell>
          <cell r="L227" t="str">
            <v>台</v>
          </cell>
          <cell r="M227">
            <v>0</v>
          </cell>
        </row>
        <row r="228">
          <cell r="G228" t="str">
            <v>取水柜01</v>
          </cell>
          <cell r="H228" t="str">
            <v>取水柜01_/</v>
          </cell>
          <cell r="I228" t="str">
            <v>/</v>
          </cell>
          <cell r="J228" t="str">
            <v>900*1500*300mm</v>
          </cell>
          <cell r="K228" t="str">
            <v>/</v>
          </cell>
          <cell r="L228" t="str">
            <v>个</v>
          </cell>
          <cell r="M228">
            <v>2216.02</v>
          </cell>
        </row>
        <row r="229">
          <cell r="G229" t="str">
            <v>增压水泵01</v>
          </cell>
          <cell r="H229" t="str">
            <v>增压水泵01_/</v>
          </cell>
          <cell r="I229" t="str">
            <v>/</v>
          </cell>
          <cell r="J229" t="str">
            <v>壁挂式，304#不锈钢20*20方钢焊接</v>
          </cell>
          <cell r="K229" t="str">
            <v>/</v>
          </cell>
          <cell r="L229" t="str">
            <v>个</v>
          </cell>
          <cell r="M229">
            <v>361.01</v>
          </cell>
        </row>
        <row r="230">
          <cell r="G230" t="str">
            <v>水表箱01</v>
          </cell>
          <cell r="H230" t="str">
            <v>水表箱01_/</v>
          </cell>
          <cell r="I230" t="str">
            <v>/</v>
          </cell>
          <cell r="J230" t="str">
            <v>壁挂式，304#不锈钢20*20方钢焊接</v>
          </cell>
          <cell r="K230" t="str">
            <v>/</v>
          </cell>
          <cell r="L230" t="str">
            <v>个</v>
          </cell>
          <cell r="M230">
            <v>0</v>
          </cell>
        </row>
        <row r="231">
          <cell r="G231" t="str">
            <v>抽水泵01</v>
          </cell>
          <cell r="H231" t="str">
            <v>抽水泵01_/</v>
          </cell>
          <cell r="I231" t="str">
            <v>/</v>
          </cell>
          <cell r="J231" t="str">
            <v>功率1KW以内,220V</v>
          </cell>
          <cell r="K231" t="str">
            <v>/</v>
          </cell>
          <cell r="L231" t="str">
            <v>台</v>
          </cell>
          <cell r="M231">
            <v>0</v>
          </cell>
        </row>
        <row r="232">
          <cell r="G232" t="str">
            <v>抽水泵02</v>
          </cell>
          <cell r="H232" t="str">
            <v>抽水泵02_/</v>
          </cell>
          <cell r="I232" t="str">
            <v>/</v>
          </cell>
          <cell r="J232" t="str">
            <v>功率1KW-2KW,380V</v>
          </cell>
          <cell r="K232" t="str">
            <v>/</v>
          </cell>
          <cell r="L232" t="str">
            <v>台</v>
          </cell>
          <cell r="M232">
            <v>0</v>
          </cell>
        </row>
        <row r="233">
          <cell r="G233" t="str">
            <v>抽水泵03</v>
          </cell>
          <cell r="H233" t="str">
            <v>抽水泵03_/</v>
          </cell>
          <cell r="I233" t="str">
            <v>/</v>
          </cell>
          <cell r="J233" t="str">
            <v>功率2KW以上,380V</v>
          </cell>
          <cell r="K233" t="str">
            <v>/</v>
          </cell>
          <cell r="L233" t="str">
            <v>台</v>
          </cell>
          <cell r="M233">
            <v>0</v>
          </cell>
        </row>
        <row r="234">
          <cell r="G234" t="str">
            <v>增压泵01</v>
          </cell>
          <cell r="H234" t="str">
            <v>增压泵01_/</v>
          </cell>
          <cell r="I234" t="str">
            <v>/</v>
          </cell>
          <cell r="J234" t="str">
            <v>功率1KW以内,220V</v>
          </cell>
          <cell r="K234" t="str">
            <v>/</v>
          </cell>
          <cell r="L234" t="str">
            <v>台</v>
          </cell>
          <cell r="M234">
            <v>0</v>
          </cell>
        </row>
        <row r="235">
          <cell r="G235" t="str">
            <v>增压泵02</v>
          </cell>
          <cell r="H235" t="str">
            <v>增压泵02_/</v>
          </cell>
          <cell r="I235" t="str">
            <v>/</v>
          </cell>
          <cell r="J235" t="str">
            <v>功率1KW-2KW,220V</v>
          </cell>
          <cell r="K235" t="str">
            <v>/</v>
          </cell>
          <cell r="L235" t="str">
            <v>台</v>
          </cell>
          <cell r="M235">
            <v>0</v>
          </cell>
        </row>
        <row r="236">
          <cell r="G236" t="str">
            <v>增压泵03</v>
          </cell>
          <cell r="H236" t="str">
            <v>增压泵03_/</v>
          </cell>
          <cell r="I236" t="str">
            <v>/</v>
          </cell>
          <cell r="J236" t="str">
            <v>功率2KW-3KW,380V</v>
          </cell>
          <cell r="K236" t="str">
            <v>/</v>
          </cell>
          <cell r="L236" t="str">
            <v>台</v>
          </cell>
          <cell r="M236">
            <v>0</v>
          </cell>
        </row>
        <row r="237">
          <cell r="G237" t="str">
            <v>增压泵04</v>
          </cell>
          <cell r="H237" t="str">
            <v>增压泵04_/</v>
          </cell>
          <cell r="I237" t="str">
            <v>/</v>
          </cell>
          <cell r="J237" t="str">
            <v>功率3KW以上,380V</v>
          </cell>
          <cell r="K237" t="str">
            <v>/</v>
          </cell>
          <cell r="L237" t="str">
            <v>台</v>
          </cell>
          <cell r="M237">
            <v>0</v>
          </cell>
        </row>
        <row r="238">
          <cell r="G238" t="str">
            <v>离心泵01</v>
          </cell>
          <cell r="H238" t="str">
            <v>离心泵01_/</v>
          </cell>
          <cell r="I238" t="str">
            <v>/</v>
          </cell>
          <cell r="J238" t="str">
            <v>功率1.5KW,220V</v>
          </cell>
          <cell r="K238" t="str">
            <v>/</v>
          </cell>
          <cell r="L238" t="str">
            <v>台</v>
          </cell>
          <cell r="M238">
            <v>0</v>
          </cell>
        </row>
        <row r="239">
          <cell r="G239" t="str">
            <v>离心泵02</v>
          </cell>
          <cell r="H239" t="str">
            <v>离心泵02_/</v>
          </cell>
          <cell r="I239" t="str">
            <v>/</v>
          </cell>
          <cell r="J239" t="str">
            <v>功率2.2KW,220V</v>
          </cell>
          <cell r="K239" t="str">
            <v>/</v>
          </cell>
          <cell r="L239" t="str">
            <v>台</v>
          </cell>
          <cell r="M239">
            <v>0</v>
          </cell>
        </row>
        <row r="240">
          <cell r="G240" t="str">
            <v>喷射泵01</v>
          </cell>
          <cell r="H240" t="str">
            <v>喷射泵01_/</v>
          </cell>
          <cell r="I240" t="str">
            <v>/</v>
          </cell>
          <cell r="J240" t="str">
            <v>功率1.1KW,220V</v>
          </cell>
          <cell r="K240" t="str">
            <v>/</v>
          </cell>
          <cell r="L240" t="str">
            <v>台</v>
          </cell>
          <cell r="M240">
            <v>0</v>
          </cell>
        </row>
        <row r="241">
          <cell r="G241" t="str">
            <v>清水泵01</v>
          </cell>
          <cell r="H241" t="str">
            <v>清水泵01_/</v>
          </cell>
          <cell r="I241" t="str">
            <v>/</v>
          </cell>
          <cell r="J241" t="str">
            <v>功率1KW以内,220V</v>
          </cell>
          <cell r="K241" t="str">
            <v>/</v>
          </cell>
          <cell r="L241" t="str">
            <v>台</v>
          </cell>
          <cell r="M241">
            <v>0</v>
          </cell>
        </row>
        <row r="242">
          <cell r="G242" t="str">
            <v>清水泵02</v>
          </cell>
          <cell r="H242" t="str">
            <v>清水泵02_/</v>
          </cell>
          <cell r="I242" t="str">
            <v>/</v>
          </cell>
          <cell r="J242" t="str">
            <v>功率1KW-2KW,380V</v>
          </cell>
          <cell r="K242" t="str">
            <v>/</v>
          </cell>
          <cell r="L242" t="str">
            <v>台</v>
          </cell>
          <cell r="M242">
            <v>0</v>
          </cell>
        </row>
        <row r="243">
          <cell r="G243" t="str">
            <v>清水泵03</v>
          </cell>
          <cell r="H243" t="str">
            <v>清水泵03_/</v>
          </cell>
          <cell r="I243" t="str">
            <v>/</v>
          </cell>
          <cell r="J243" t="str">
            <v>功率2KW以上,380V</v>
          </cell>
          <cell r="K243" t="str">
            <v>/</v>
          </cell>
          <cell r="L243" t="str">
            <v>台</v>
          </cell>
          <cell r="M243">
            <v>0</v>
          </cell>
        </row>
        <row r="244">
          <cell r="G244" t="str">
            <v>卧式离心泵01</v>
          </cell>
          <cell r="H244" t="str">
            <v>卧式离心泵01_/</v>
          </cell>
          <cell r="I244" t="str">
            <v>/</v>
          </cell>
          <cell r="J244" t="str">
            <v>功率1.5KW,220V</v>
          </cell>
          <cell r="K244" t="str">
            <v>/</v>
          </cell>
          <cell r="L244" t="str">
            <v>台</v>
          </cell>
          <cell r="M244">
            <v>0</v>
          </cell>
        </row>
        <row r="245">
          <cell r="G245" t="str">
            <v>卧式离心泵02</v>
          </cell>
          <cell r="H245" t="str">
            <v>卧式离心泵02_/</v>
          </cell>
          <cell r="I245" t="str">
            <v>/</v>
          </cell>
          <cell r="J245" t="str">
            <v>功率2.2KW,220V</v>
          </cell>
          <cell r="K245" t="str">
            <v>/</v>
          </cell>
          <cell r="L245" t="str">
            <v>台</v>
          </cell>
          <cell r="M245">
            <v>0</v>
          </cell>
        </row>
        <row r="246">
          <cell r="G246" t="str">
            <v>自吸泵01</v>
          </cell>
          <cell r="H246" t="str">
            <v>自吸泵01_/</v>
          </cell>
          <cell r="I246" t="str">
            <v>/</v>
          </cell>
          <cell r="J246" t="str">
            <v>功率1KW以内,220V</v>
          </cell>
          <cell r="K246" t="str">
            <v>/</v>
          </cell>
          <cell r="L246" t="str">
            <v>台</v>
          </cell>
          <cell r="M246">
            <v>0</v>
          </cell>
        </row>
        <row r="247">
          <cell r="G247" t="str">
            <v>不锈钢水池01</v>
          </cell>
          <cell r="H247" t="str">
            <v>不锈钢水池01_/</v>
          </cell>
          <cell r="I247" t="str">
            <v>/</v>
          </cell>
          <cell r="J247" t="str">
            <v>不锈钢材质，生活用水或消防共用水池</v>
          </cell>
          <cell r="K247" t="str">
            <v>/</v>
          </cell>
          <cell r="L247" t="str">
            <v>个</v>
          </cell>
          <cell r="M247">
            <v>0</v>
          </cell>
        </row>
        <row r="248">
          <cell r="G248" t="str">
            <v>砖混水池01</v>
          </cell>
          <cell r="H248" t="str">
            <v>砖混水池01_/</v>
          </cell>
          <cell r="I248" t="str">
            <v>/</v>
          </cell>
          <cell r="J248" t="str">
            <v>砖砌水池，生活用水或消防共用水池</v>
          </cell>
          <cell r="K248" t="str">
            <v>/</v>
          </cell>
          <cell r="L248" t="str">
            <v>个</v>
          </cell>
          <cell r="M248">
            <v>0</v>
          </cell>
        </row>
        <row r="249">
          <cell r="G249" t="str">
            <v>消防专用水池01</v>
          </cell>
          <cell r="H249" t="str">
            <v>消防专用水池01_/</v>
          </cell>
          <cell r="I249" t="str">
            <v>/</v>
          </cell>
          <cell r="J249" t="str">
            <v>消防专用蓄水池</v>
          </cell>
          <cell r="K249" t="str">
            <v>/</v>
          </cell>
          <cell r="L249" t="str">
            <v>个</v>
          </cell>
          <cell r="M249">
            <v>0</v>
          </cell>
        </row>
        <row r="250">
          <cell r="G250" t="str">
            <v>化粪池01</v>
          </cell>
          <cell r="H250" t="str">
            <v>化粪池01_/</v>
          </cell>
          <cell r="I250" t="str">
            <v>/</v>
          </cell>
          <cell r="J250" t="str">
            <v>容量5m³以内</v>
          </cell>
          <cell r="K250" t="str">
            <v>/</v>
          </cell>
          <cell r="L250" t="str">
            <v>个</v>
          </cell>
          <cell r="M250">
            <v>0</v>
          </cell>
        </row>
        <row r="251">
          <cell r="G251" t="str">
            <v>化粪池02</v>
          </cell>
          <cell r="H251" t="str">
            <v>化粪池02_/</v>
          </cell>
          <cell r="I251" t="str">
            <v>/</v>
          </cell>
          <cell r="J251" t="str">
            <v>容量5m³—10m³</v>
          </cell>
          <cell r="K251" t="str">
            <v>/</v>
          </cell>
          <cell r="L251" t="str">
            <v>个</v>
          </cell>
          <cell r="M251">
            <v>0</v>
          </cell>
        </row>
        <row r="252">
          <cell r="G252" t="str">
            <v>化粪池03</v>
          </cell>
          <cell r="H252" t="str">
            <v>化粪池03_/</v>
          </cell>
          <cell r="I252" t="str">
            <v>/</v>
          </cell>
          <cell r="J252" t="str">
            <v>容量15m³以上</v>
          </cell>
          <cell r="K252" t="str">
            <v>/</v>
          </cell>
          <cell r="L252" t="str">
            <v>个</v>
          </cell>
          <cell r="M252">
            <v>0</v>
          </cell>
        </row>
        <row r="253">
          <cell r="G253" t="str">
            <v>隔油池01</v>
          </cell>
          <cell r="H253" t="str">
            <v>隔油池01_/</v>
          </cell>
          <cell r="I253" t="str">
            <v>/</v>
          </cell>
          <cell r="J253" t="str">
            <v>容量5m³以内</v>
          </cell>
          <cell r="K253" t="str">
            <v>/</v>
          </cell>
          <cell r="L253" t="str">
            <v>个</v>
          </cell>
          <cell r="M253">
            <v>0</v>
          </cell>
        </row>
        <row r="254">
          <cell r="G254" t="str">
            <v>隔油池02</v>
          </cell>
          <cell r="H254" t="str">
            <v>隔油池02_/</v>
          </cell>
          <cell r="I254" t="str">
            <v>/</v>
          </cell>
          <cell r="J254" t="str">
            <v>容量5m³以上</v>
          </cell>
          <cell r="K254" t="str">
            <v>/</v>
          </cell>
          <cell r="L254" t="str">
            <v>个</v>
          </cell>
          <cell r="M254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12" sqref="H12"/>
    </sheetView>
  </sheetViews>
  <sheetFormatPr defaultColWidth="9" defaultRowHeight="14" outlineLevelCol="6"/>
  <cols>
    <col min="2" max="2" width="10.125" customWidth="1"/>
    <col min="3" max="3" width="14.5" style="330" customWidth="1"/>
    <col min="4" max="4" width="42.625" style="331" customWidth="1"/>
    <col min="5" max="5" width="13" hidden="1" customWidth="1"/>
    <col min="6" max="6" width="18.625" style="330" customWidth="1"/>
  </cols>
  <sheetData>
    <row r="1" ht="14.75" spans="1:7">
      <c r="A1" s="8"/>
      <c r="B1" s="8"/>
      <c r="C1" s="332"/>
      <c r="D1" s="333"/>
      <c r="E1" s="8"/>
      <c r="F1" s="332"/>
      <c r="G1" s="8"/>
    </row>
    <row r="2" ht="21.75" customHeight="1" spans="1:7">
      <c r="A2" s="8"/>
      <c r="B2" s="334" t="s">
        <v>0</v>
      </c>
      <c r="C2" s="335" t="s">
        <v>1</v>
      </c>
      <c r="D2" s="336" t="s">
        <v>2</v>
      </c>
      <c r="E2" s="336" t="s">
        <v>3</v>
      </c>
      <c r="F2" s="337" t="s">
        <v>4</v>
      </c>
      <c r="G2" s="8"/>
    </row>
    <row r="3" ht="26.25" customHeight="1" spans="1:7">
      <c r="A3" s="8"/>
      <c r="B3" s="338" t="s">
        <v>5</v>
      </c>
      <c r="C3" s="338">
        <v>44036</v>
      </c>
      <c r="D3" s="339" t="s">
        <v>6</v>
      </c>
      <c r="E3" s="338"/>
      <c r="F3" s="338">
        <v>44039</v>
      </c>
      <c r="G3" s="8"/>
    </row>
    <row r="4" ht="53.25" customHeight="1" spans="1:7">
      <c r="A4" s="8"/>
      <c r="B4" s="338" t="s">
        <v>7</v>
      </c>
      <c r="C4" s="338">
        <v>44056</v>
      </c>
      <c r="D4" s="339" t="s">
        <v>8</v>
      </c>
      <c r="E4" s="338" t="s">
        <v>9</v>
      </c>
      <c r="F4" s="338">
        <v>44056</v>
      </c>
      <c r="G4" s="8"/>
    </row>
    <row r="5" ht="101.25" customHeight="1" spans="1:7">
      <c r="A5" s="8"/>
      <c r="B5" s="338" t="s">
        <v>10</v>
      </c>
      <c r="C5" s="338">
        <v>44131</v>
      </c>
      <c r="D5" s="339" t="s">
        <v>11</v>
      </c>
      <c r="E5" s="338" t="s">
        <v>12</v>
      </c>
      <c r="F5" s="338">
        <v>44132</v>
      </c>
      <c r="G5" s="8"/>
    </row>
    <row r="6" ht="204" customHeight="1" spans="1:7">
      <c r="A6" s="8"/>
      <c r="B6" s="338" t="s">
        <v>13</v>
      </c>
      <c r="C6" s="338">
        <v>44281</v>
      </c>
      <c r="D6" s="339" t="s">
        <v>14</v>
      </c>
      <c r="E6" s="338"/>
      <c r="F6" s="338">
        <v>44287</v>
      </c>
      <c r="G6" s="8"/>
    </row>
    <row r="7" ht="85.9" customHeight="1" spans="1:7">
      <c r="A7" s="8"/>
      <c r="B7" s="338" t="s">
        <v>15</v>
      </c>
      <c r="C7" s="338">
        <v>44670</v>
      </c>
      <c r="D7" s="339" t="s">
        <v>16</v>
      </c>
      <c r="E7" s="338"/>
      <c r="F7" s="338">
        <v>44670</v>
      </c>
      <c r="G7" s="8"/>
    </row>
    <row r="8" ht="97.9" customHeight="1" spans="1:7">
      <c r="A8" s="8"/>
      <c r="B8" s="338" t="s">
        <v>17</v>
      </c>
      <c r="C8" s="338">
        <v>45127</v>
      </c>
      <c r="D8" s="339" t="s">
        <v>18</v>
      </c>
      <c r="E8" s="338"/>
      <c r="F8" s="338">
        <v>45127</v>
      </c>
      <c r="G8" s="8"/>
    </row>
    <row r="9" ht="14.75" spans="1:7">
      <c r="A9" s="8"/>
      <c r="B9" s="338" t="s">
        <v>19</v>
      </c>
      <c r="C9" s="338">
        <v>45468</v>
      </c>
      <c r="D9" s="340" t="s">
        <v>20</v>
      </c>
      <c r="E9" s="338"/>
      <c r="F9" s="338">
        <v>45468</v>
      </c>
      <c r="G9" s="8"/>
    </row>
    <row r="10" ht="14.75" spans="1:7">
      <c r="A10" s="8"/>
      <c r="B10" s="338" t="s">
        <v>21</v>
      </c>
      <c r="C10" s="338">
        <v>45482</v>
      </c>
      <c r="D10" s="339" t="s">
        <v>22</v>
      </c>
      <c r="E10" s="338"/>
      <c r="F10" s="338">
        <v>45482</v>
      </c>
      <c r="G10" s="8"/>
    </row>
    <row r="11" ht="14.75" spans="1:7">
      <c r="A11" s="8"/>
      <c r="B11" s="338" t="s">
        <v>23</v>
      </c>
      <c r="C11" s="338">
        <v>45483</v>
      </c>
      <c r="D11" s="339" t="s">
        <v>24</v>
      </c>
      <c r="E11" s="338"/>
      <c r="F11" s="338">
        <v>45483</v>
      </c>
      <c r="G11" s="8"/>
    </row>
    <row r="12" ht="14.75" spans="1:7">
      <c r="A12" s="8"/>
      <c r="B12" s="338"/>
      <c r="C12" s="338"/>
      <c r="D12" s="339"/>
      <c r="E12" s="338"/>
      <c r="F12" s="338"/>
      <c r="G12" s="8"/>
    </row>
    <row r="13" ht="14.75" spans="1:7">
      <c r="A13" s="8"/>
      <c r="B13" s="338"/>
      <c r="C13" s="338"/>
      <c r="D13" s="339"/>
      <c r="E13" s="338"/>
      <c r="F13" s="338"/>
      <c r="G13" s="8"/>
    </row>
    <row r="14" ht="14.75" spans="1:7">
      <c r="A14" s="8"/>
      <c r="B14" s="338"/>
      <c r="C14" s="338"/>
      <c r="D14" s="339"/>
      <c r="E14" s="338"/>
      <c r="F14" s="338"/>
      <c r="G14" s="8"/>
    </row>
    <row r="15" ht="14.75" spans="1:7">
      <c r="A15" s="8"/>
      <c r="B15" s="338"/>
      <c r="C15" s="338"/>
      <c r="D15" s="339"/>
      <c r="E15" s="338"/>
      <c r="F15" s="338"/>
      <c r="G15" s="8"/>
    </row>
    <row r="16" ht="14.75" spans="1:7">
      <c r="A16" s="8"/>
      <c r="B16" s="338"/>
      <c r="C16" s="338"/>
      <c r="D16" s="339"/>
      <c r="E16" s="338"/>
      <c r="F16" s="338"/>
      <c r="G16" s="8"/>
    </row>
    <row r="17" ht="14.75" spans="1:7">
      <c r="A17" s="8"/>
      <c r="B17" s="338"/>
      <c r="C17" s="338"/>
      <c r="D17" s="339"/>
      <c r="E17" s="338"/>
      <c r="F17" s="338"/>
      <c r="G17" s="8"/>
    </row>
    <row r="18" ht="14.75" spans="1:7">
      <c r="A18" s="8"/>
      <c r="B18" s="338"/>
      <c r="C18" s="338"/>
      <c r="D18" s="339"/>
      <c r="E18" s="338"/>
      <c r="F18" s="338"/>
      <c r="G18" s="8"/>
    </row>
    <row r="19" spans="1:7">
      <c r="A19" s="8"/>
      <c r="B19" s="8"/>
      <c r="C19" s="332"/>
      <c r="D19" s="341"/>
      <c r="E19" s="8"/>
      <c r="F19" s="332"/>
      <c r="G19" s="8"/>
    </row>
    <row r="20" spans="1:7">
      <c r="A20" s="8"/>
      <c r="B20" s="8"/>
      <c r="C20" s="332"/>
      <c r="D20" s="341"/>
      <c r="E20" s="8"/>
      <c r="F20" s="332"/>
      <c r="G20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"/>
  <sheetViews>
    <sheetView zoomScale="56" zoomScaleNormal="56" workbookViewId="0">
      <pane xSplit="3" ySplit="1" topLeftCell="D2" activePane="bottomRight" state="frozen"/>
      <selection/>
      <selection pane="topRight"/>
      <selection pane="bottomLeft"/>
      <selection pane="bottomRight" activeCell="O16" sqref="O16"/>
    </sheetView>
  </sheetViews>
  <sheetFormatPr defaultColWidth="9" defaultRowHeight="36.2" customHeight="1"/>
  <cols>
    <col min="1" max="1" width="22.125" customWidth="1"/>
    <col min="2" max="2" width="13.125" customWidth="1"/>
    <col min="3" max="3" width="22.75" style="266" customWidth="1"/>
    <col min="4" max="4" width="31.625" style="267" customWidth="1"/>
    <col min="5" max="5" width="50.875" style="267" customWidth="1"/>
    <col min="6" max="6" width="19.625" style="268" customWidth="1"/>
    <col min="7" max="7" width="96.25" style="266" customWidth="1"/>
    <col min="8" max="8" width="39.5" style="269" customWidth="1"/>
    <col min="9" max="9" width="8.625" style="159" hidden="1" customWidth="1"/>
    <col min="10" max="10" width="9.125" hidden="1" customWidth="1"/>
    <col min="11" max="11" width="25.125" style="8" customWidth="1"/>
    <col min="12" max="12" width="19.75" customWidth="1"/>
    <col min="13" max="13" width="28.125" customWidth="1"/>
    <col min="14" max="14" width="37.5" customWidth="1"/>
    <col min="15" max="15" width="36.375" customWidth="1"/>
  </cols>
  <sheetData>
    <row r="1" s="263" customFormat="1" customHeight="1" spans="1:15">
      <c r="A1" s="270"/>
      <c r="B1" s="270" t="s">
        <v>25</v>
      </c>
      <c r="C1" s="270" t="s">
        <v>26</v>
      </c>
      <c r="D1" s="271" t="s">
        <v>27</v>
      </c>
      <c r="E1" s="271" t="s">
        <v>28</v>
      </c>
      <c r="F1" s="272" t="s">
        <v>29</v>
      </c>
      <c r="G1" s="273" t="s">
        <v>30</v>
      </c>
      <c r="H1" s="274"/>
      <c r="I1" s="275"/>
      <c r="K1" s="276"/>
      <c r="L1" s="277" t="s">
        <v>31</v>
      </c>
      <c r="M1" s="277">
        <f>VLOOKUP('【2】运营中心填-基本信息&amp;审核标准'!C2,各村基准价!C:E,2,FALSE)</f>
        <v>1634.8</v>
      </c>
      <c r="N1" s="8"/>
    </row>
    <row r="2" customHeight="1" spans="1:15">
      <c r="A2" s="278" t="s">
        <v>32</v>
      </c>
      <c r="B2" s="278">
        <v>1</v>
      </c>
      <c r="C2" s="279" t="s">
        <v>33</v>
      </c>
      <c r="D2" s="280" t="s">
        <v>34</v>
      </c>
      <c r="E2" s="280" t="str">
        <f>$C$2&amp;D2</f>
        <v>区位交通很便利</v>
      </c>
      <c r="F2" s="281">
        <v>1.04</v>
      </c>
      <c r="G2" s="282" t="s">
        <v>35</v>
      </c>
      <c r="H2" s="283"/>
      <c r="I2" s="159" t="e">
        <f>J2*#REF!-J2</f>
        <v>#REF!</v>
      </c>
      <c r="J2">
        <v>1350</v>
      </c>
      <c r="L2" s="284" t="s">
        <v>36</v>
      </c>
      <c r="M2" s="284" t="s">
        <v>37</v>
      </c>
    </row>
    <row r="3" customHeight="1" spans="1:15">
      <c r="A3" s="285"/>
      <c r="B3" s="285"/>
      <c r="C3" s="279"/>
      <c r="D3" s="280" t="s">
        <v>38</v>
      </c>
      <c r="E3" s="280" t="str">
        <f>$C$2&amp;D3</f>
        <v>区位交通较便利</v>
      </c>
      <c r="F3" s="281">
        <v>1.02</v>
      </c>
      <c r="G3" s="282" t="s">
        <v>39</v>
      </c>
      <c r="H3" s="283"/>
      <c r="I3" s="159" t="e">
        <f>J3*#REF!-J3</f>
        <v>#REF!</v>
      </c>
      <c r="J3">
        <v>1350</v>
      </c>
      <c r="K3" s="8">
        <v>1</v>
      </c>
      <c r="L3" s="286" t="s">
        <v>40</v>
      </c>
      <c r="M3" s="9">
        <f>$M$1*K3</f>
        <v>1634.8</v>
      </c>
    </row>
    <row r="4" customHeight="1" spans="1:15">
      <c r="A4" s="285"/>
      <c r="B4" s="285"/>
      <c r="C4" s="279"/>
      <c r="D4" s="280" t="s">
        <v>41</v>
      </c>
      <c r="E4" s="280" t="str">
        <f>$C$2&amp;D4</f>
        <v>区位中心位置</v>
      </c>
      <c r="F4" s="281">
        <v>1</v>
      </c>
      <c r="G4" s="282" t="s">
        <v>42</v>
      </c>
      <c r="H4" s="283"/>
      <c r="I4" s="159">
        <f>J4*F2-J4</f>
        <v>54</v>
      </c>
      <c r="J4">
        <v>1350</v>
      </c>
      <c r="K4" s="8">
        <v>1.5</v>
      </c>
      <c r="L4" s="286" t="s">
        <v>43</v>
      </c>
      <c r="M4" s="9">
        <f>VLOOKUP('【2】运营中心填-基本信息&amp;审核标准'!C2,各村基准价!C:E,3,FALSE)</f>
        <v>2426.1</v>
      </c>
    </row>
    <row r="5" customHeight="1" spans="1:15">
      <c r="A5" s="285"/>
      <c r="B5" s="285"/>
      <c r="C5" s="279"/>
      <c r="D5" s="280" t="s">
        <v>44</v>
      </c>
      <c r="E5" s="280" t="str">
        <f>$C$2&amp;D5</f>
        <v>区位交通较不便</v>
      </c>
      <c r="F5" s="281">
        <v>0.98</v>
      </c>
      <c r="G5" s="282" t="s">
        <v>45</v>
      </c>
      <c r="H5" s="283"/>
      <c r="I5" s="159">
        <f>J5*F3-J5</f>
        <v>27</v>
      </c>
      <c r="J5">
        <v>1350</v>
      </c>
      <c r="K5" s="8">
        <v>2</v>
      </c>
      <c r="L5" s="287" t="s">
        <v>46</v>
      </c>
      <c r="M5" s="9">
        <f t="shared" ref="M5:M11" si="0">$M$1*K5</f>
        <v>3269.6</v>
      </c>
    </row>
    <row r="6" customHeight="1" spans="1:15">
      <c r="A6" s="285"/>
      <c r="B6" s="288"/>
      <c r="C6" s="279"/>
      <c r="D6" s="280" t="s">
        <v>47</v>
      </c>
      <c r="E6" s="280" t="str">
        <f>$C$2&amp;D6</f>
        <v>区位交通很不便</v>
      </c>
      <c r="F6" s="281">
        <v>0.96</v>
      </c>
      <c r="G6" s="282" t="s">
        <v>48</v>
      </c>
      <c r="H6" s="283"/>
      <c r="I6" s="159">
        <v>100</v>
      </c>
      <c r="J6">
        <v>1350</v>
      </c>
      <c r="K6" s="8">
        <v>1</v>
      </c>
      <c r="L6" s="287" t="s">
        <v>49</v>
      </c>
      <c r="M6" s="9">
        <f t="shared" si="0"/>
        <v>1634.8</v>
      </c>
    </row>
    <row r="7" customHeight="1" spans="1:15">
      <c r="A7" s="285"/>
      <c r="B7" s="278">
        <v>2</v>
      </c>
      <c r="C7" s="289" t="s">
        <v>50</v>
      </c>
      <c r="D7" s="16" t="s">
        <v>51</v>
      </c>
      <c r="E7" s="16" t="str">
        <f>$C$7&amp;D7</f>
        <v>有无电梯有</v>
      </c>
      <c r="F7" s="281">
        <v>1.05</v>
      </c>
      <c r="G7" s="290" t="s">
        <v>52</v>
      </c>
      <c r="H7" s="291"/>
      <c r="I7" s="159">
        <v>80</v>
      </c>
      <c r="J7">
        <v>1350</v>
      </c>
      <c r="K7" s="8">
        <v>1</v>
      </c>
      <c r="L7" s="287" t="s">
        <v>53</v>
      </c>
      <c r="M7" s="9">
        <f t="shared" si="0"/>
        <v>1634.8</v>
      </c>
    </row>
    <row r="8" customHeight="1" spans="1:15">
      <c r="A8" s="288"/>
      <c r="B8" s="288"/>
      <c r="C8" s="289"/>
      <c r="D8" s="16" t="s">
        <v>54</v>
      </c>
      <c r="E8" s="16" t="str">
        <f>$C$7&amp;D8</f>
        <v>有无电梯无</v>
      </c>
      <c r="F8" s="281">
        <v>1</v>
      </c>
      <c r="G8" s="290"/>
      <c r="H8" s="291"/>
      <c r="I8" s="159">
        <f>J8*F6-J8</f>
        <v>-54</v>
      </c>
      <c r="J8">
        <v>1350</v>
      </c>
      <c r="K8" s="8">
        <v>1.5</v>
      </c>
      <c r="L8" s="287" t="s">
        <v>55</v>
      </c>
      <c r="M8" s="9">
        <f>M4</f>
        <v>2426.1</v>
      </c>
    </row>
    <row r="9" customHeight="1" spans="1:15">
      <c r="A9" s="292" t="s">
        <v>56</v>
      </c>
      <c r="B9" s="293">
        <v>1</v>
      </c>
      <c r="C9" s="294" t="s">
        <v>57</v>
      </c>
      <c r="D9" s="16" t="s">
        <v>58</v>
      </c>
      <c r="E9" s="16" t="str">
        <f>$C$9&amp;D9</f>
        <v>套内空间很宽敞</v>
      </c>
      <c r="F9" s="281">
        <v>1.1</v>
      </c>
      <c r="G9" s="290" t="s">
        <v>59</v>
      </c>
      <c r="H9" s="291"/>
      <c r="I9" s="159">
        <f>J9*F7-J9</f>
        <v>0</v>
      </c>
      <c r="K9" s="8">
        <v>2</v>
      </c>
      <c r="L9" s="287" t="s">
        <v>60</v>
      </c>
      <c r="M9" s="9">
        <f t="shared" si="0"/>
        <v>3269.6</v>
      </c>
    </row>
    <row r="10" customHeight="1" spans="1:15">
      <c r="A10" s="295"/>
      <c r="B10" s="293"/>
      <c r="C10" s="294"/>
      <c r="D10" s="16" t="s">
        <v>61</v>
      </c>
      <c r="E10" s="16" t="str">
        <f>$C$9&amp;D10</f>
        <v>套内空间较宽敞</v>
      </c>
      <c r="F10" s="281">
        <v>1.06</v>
      </c>
      <c r="G10" s="290"/>
      <c r="H10" s="291"/>
      <c r="I10" s="159">
        <f>J10*F8-J10</f>
        <v>0</v>
      </c>
      <c r="K10" s="8">
        <v>2</v>
      </c>
      <c r="L10" s="287" t="s">
        <v>62</v>
      </c>
      <c r="M10" s="9">
        <f t="shared" si="0"/>
        <v>3269.6</v>
      </c>
    </row>
    <row r="11" customHeight="1" spans="1:15">
      <c r="A11" s="295"/>
      <c r="B11" s="293"/>
      <c r="C11" s="294"/>
      <c r="D11" s="16" t="s">
        <v>63</v>
      </c>
      <c r="E11" s="16" t="str">
        <f>$C$9&amp;D11</f>
        <v>套内空间适中</v>
      </c>
      <c r="F11" s="281">
        <v>1</v>
      </c>
      <c r="G11" s="290"/>
      <c r="H11" s="291"/>
      <c r="I11" s="159" t="e">
        <f>J11*#REF!-J11</f>
        <v>#REF!</v>
      </c>
      <c r="K11" s="8">
        <v>2</v>
      </c>
      <c r="L11" s="287" t="s">
        <v>64</v>
      </c>
      <c r="M11" s="9">
        <f t="shared" si="0"/>
        <v>3269.6</v>
      </c>
    </row>
    <row r="12" customHeight="1" spans="1:15">
      <c r="A12" s="295"/>
      <c r="B12" s="293"/>
      <c r="C12" s="294"/>
      <c r="D12" s="16" t="s">
        <v>65</v>
      </c>
      <c r="E12" s="16" t="str">
        <f>$C$9&amp;D12</f>
        <v>套内空间较狭小</v>
      </c>
      <c r="F12" s="281">
        <v>0.95</v>
      </c>
      <c r="G12" s="290"/>
      <c r="H12" s="291"/>
      <c r="I12" s="159" t="e">
        <f>J12*#REF!-J12</f>
        <v>#REF!</v>
      </c>
    </row>
    <row r="13" customHeight="1" spans="1:15">
      <c r="A13" s="295"/>
      <c r="B13" s="293"/>
      <c r="C13" s="294"/>
      <c r="D13" s="16" t="s">
        <v>66</v>
      </c>
      <c r="E13" s="16" t="str">
        <f>$C$9&amp;D13</f>
        <v>套内空间很狭小</v>
      </c>
      <c r="F13" s="281">
        <v>0.9</v>
      </c>
      <c r="G13" s="290"/>
      <c r="H13" s="291"/>
      <c r="I13" s="159" t="e">
        <f>J13*#REF!-J13</f>
        <v>#REF!</v>
      </c>
    </row>
    <row r="14" s="264" customFormat="1" customHeight="1" spans="1:15">
      <c r="A14" s="295"/>
      <c r="B14" s="292">
        <v>3</v>
      </c>
      <c r="C14" s="294" t="s">
        <v>67</v>
      </c>
      <c r="D14" s="16" t="s">
        <v>51</v>
      </c>
      <c r="E14" s="16" t="str">
        <f>$C$14&amp;D14</f>
        <v>阳台有</v>
      </c>
      <c r="F14" s="281">
        <v>1.07</v>
      </c>
      <c r="G14" s="290"/>
      <c r="H14" s="291"/>
      <c r="I14" s="159" t="e">
        <f>J14*#REF!-J14</f>
        <v>#REF!</v>
      </c>
      <c r="K14" s="296"/>
    </row>
    <row r="15" s="264" customFormat="1" customHeight="1" spans="1:15">
      <c r="A15" s="295"/>
      <c r="B15" s="295"/>
      <c r="C15" s="294"/>
      <c r="D15" s="16" t="s">
        <v>54</v>
      </c>
      <c r="E15" s="16" t="str">
        <f>$C$14&amp;D15</f>
        <v>阳台无</v>
      </c>
      <c r="F15" s="281">
        <v>1</v>
      </c>
      <c r="G15" s="282"/>
      <c r="H15" s="283"/>
      <c r="I15" s="159"/>
      <c r="K15" s="296"/>
    </row>
    <row r="16" customHeight="1" spans="1:15">
      <c r="A16" s="295"/>
      <c r="B16" s="292">
        <v>4</v>
      </c>
      <c r="C16" s="294" t="s">
        <v>68</v>
      </c>
      <c r="D16" s="16" t="s">
        <v>54</v>
      </c>
      <c r="E16" s="16" t="str">
        <f>$C$16&amp;D16</f>
        <v>楼梯房楼层无</v>
      </c>
      <c r="F16" s="281">
        <v>1</v>
      </c>
      <c r="G16" s="290" t="s">
        <v>69</v>
      </c>
      <c r="H16" s="291"/>
      <c r="I16" s="159">
        <f>J16*F11-J16</f>
        <v>0</v>
      </c>
      <c r="J16">
        <v>1350</v>
      </c>
      <c r="K16" s="297" t="s">
        <v>70</v>
      </c>
      <c r="L16" s="298" t="s">
        <v>71</v>
      </c>
      <c r="M16" s="298" t="s">
        <v>72</v>
      </c>
      <c r="N16" s="298" t="s">
        <v>73</v>
      </c>
      <c r="O16" s="298" t="s">
        <v>74</v>
      </c>
    </row>
    <row r="17" customHeight="1" spans="1:15">
      <c r="A17" s="295"/>
      <c r="B17" s="295"/>
      <c r="C17" s="294"/>
      <c r="D17" s="16" t="s">
        <v>75</v>
      </c>
      <c r="E17" s="16" t="str">
        <f>$C$16&amp;D17</f>
        <v>楼梯房楼层1F</v>
      </c>
      <c r="F17" s="281">
        <v>0.91</v>
      </c>
      <c r="G17" s="290"/>
      <c r="H17" s="291"/>
      <c r="I17" s="159">
        <f>J17*F12-J17</f>
        <v>-67.5</v>
      </c>
      <c r="J17">
        <v>1350</v>
      </c>
      <c r="K17" s="299" t="s">
        <v>58</v>
      </c>
      <c r="L17" s="300" t="s">
        <v>76</v>
      </c>
      <c r="M17" s="300" t="s">
        <v>77</v>
      </c>
      <c r="N17" s="300" t="s">
        <v>78</v>
      </c>
      <c r="O17" s="300" t="s">
        <v>79</v>
      </c>
    </row>
    <row r="18" customHeight="1" spans="1:15">
      <c r="A18" s="295"/>
      <c r="B18" s="295"/>
      <c r="C18" s="294"/>
      <c r="D18" s="16" t="s">
        <v>80</v>
      </c>
      <c r="E18" s="16" t="str">
        <f t="shared" ref="E18:E25" si="1">$C$16&amp;D18</f>
        <v>楼梯房楼层2F</v>
      </c>
      <c r="F18" s="281">
        <v>1.02</v>
      </c>
      <c r="G18" s="290"/>
      <c r="H18" s="291"/>
      <c r="I18" s="159">
        <f>J18*F13-J18</f>
        <v>-135</v>
      </c>
      <c r="J18">
        <v>1350</v>
      </c>
      <c r="K18" s="299" t="s">
        <v>61</v>
      </c>
      <c r="L18" s="300" t="s">
        <v>81</v>
      </c>
      <c r="M18" s="300" t="s">
        <v>82</v>
      </c>
      <c r="N18" s="300" t="s">
        <v>83</v>
      </c>
      <c r="O18" s="300" t="s">
        <v>84</v>
      </c>
    </row>
    <row r="19" customHeight="1" spans="1:15">
      <c r="A19" s="295"/>
      <c r="B19" s="295"/>
      <c r="C19" s="294"/>
      <c r="D19" s="16" t="s">
        <v>85</v>
      </c>
      <c r="E19" s="16" t="str">
        <f t="shared" si="1"/>
        <v>楼梯房楼层3F</v>
      </c>
      <c r="F19" s="281">
        <v>1.01</v>
      </c>
      <c r="G19" s="290"/>
      <c r="H19" s="291"/>
      <c r="I19" s="159" t="e">
        <f>J19*#REF!-J19</f>
        <v>#REF!</v>
      </c>
      <c r="J19">
        <v>1350</v>
      </c>
      <c r="K19" s="299" t="s">
        <v>63</v>
      </c>
      <c r="L19" s="300" t="s">
        <v>86</v>
      </c>
      <c r="M19" s="300" t="s">
        <v>87</v>
      </c>
      <c r="N19" s="300" t="s">
        <v>88</v>
      </c>
      <c r="O19" s="300" t="s">
        <v>89</v>
      </c>
    </row>
    <row r="20" customHeight="1" spans="1:15">
      <c r="A20" s="295"/>
      <c r="B20" s="295"/>
      <c r="C20" s="294"/>
      <c r="D20" s="16" t="s">
        <v>90</v>
      </c>
      <c r="E20" s="16" t="str">
        <f t="shared" si="1"/>
        <v>楼梯房楼层4F</v>
      </c>
      <c r="F20" s="281">
        <v>1</v>
      </c>
      <c r="G20" s="290"/>
      <c r="H20" s="291"/>
      <c r="I20" s="159" t="e">
        <f>J20*#REF!-J20</f>
        <v>#REF!</v>
      </c>
      <c r="J20">
        <v>1350</v>
      </c>
      <c r="K20" s="299" t="s">
        <v>65</v>
      </c>
      <c r="L20" s="300" t="s">
        <v>91</v>
      </c>
      <c r="M20" s="300" t="s">
        <v>92</v>
      </c>
      <c r="N20" s="300" t="s">
        <v>93</v>
      </c>
      <c r="O20" s="300" t="s">
        <v>94</v>
      </c>
    </row>
    <row r="21" customHeight="1" spans="1:15">
      <c r="A21" s="295"/>
      <c r="B21" s="295"/>
      <c r="C21" s="294"/>
      <c r="D21" s="16" t="s">
        <v>95</v>
      </c>
      <c r="E21" s="16" t="str">
        <f t="shared" si="1"/>
        <v>楼梯房楼层5F</v>
      </c>
      <c r="F21" s="281">
        <v>0.99</v>
      </c>
      <c r="G21" s="290"/>
      <c r="H21" s="291"/>
      <c r="I21" s="159" t="e">
        <f>J21*#REF!-J21</f>
        <v>#REF!</v>
      </c>
      <c r="J21">
        <v>1350</v>
      </c>
      <c r="K21" s="299" t="s">
        <v>66</v>
      </c>
      <c r="L21" s="300" t="s">
        <v>96</v>
      </c>
      <c r="M21" s="300" t="s">
        <v>97</v>
      </c>
      <c r="N21" s="300" t="s">
        <v>98</v>
      </c>
      <c r="O21" s="300" t="s">
        <v>99</v>
      </c>
    </row>
    <row r="22" customHeight="1" spans="1:15">
      <c r="A22" s="295"/>
      <c r="B22" s="295"/>
      <c r="C22" s="294"/>
      <c r="D22" s="16" t="s">
        <v>100</v>
      </c>
      <c r="E22" s="16" t="str">
        <f t="shared" si="1"/>
        <v>楼梯房楼层6F</v>
      </c>
      <c r="F22" s="281">
        <v>0.98</v>
      </c>
      <c r="G22" s="290"/>
      <c r="H22" s="291"/>
      <c r="I22" s="159" t="e">
        <f>J22*#REF!-J22</f>
        <v>#REF!</v>
      </c>
      <c r="J22">
        <v>1350</v>
      </c>
    </row>
    <row r="23" customHeight="1" spans="1:15">
      <c r="A23" s="295"/>
      <c r="B23" s="295"/>
      <c r="C23" s="294"/>
      <c r="D23" s="16" t="s">
        <v>101</v>
      </c>
      <c r="E23" s="16" t="str">
        <f t="shared" si="1"/>
        <v>楼梯房楼层7F</v>
      </c>
      <c r="F23" s="281">
        <v>0.96</v>
      </c>
      <c r="G23" s="290"/>
      <c r="H23" s="291"/>
      <c r="I23" s="159" t="e">
        <f>J23*#REF!-J23</f>
        <v>#REF!</v>
      </c>
      <c r="J23">
        <v>1350</v>
      </c>
    </row>
    <row r="24" customHeight="1" spans="1:15">
      <c r="A24" s="295"/>
      <c r="B24" s="295"/>
      <c r="C24" s="294"/>
      <c r="D24" s="16" t="s">
        <v>102</v>
      </c>
      <c r="E24" s="16" t="str">
        <f t="shared" si="1"/>
        <v>楼梯房楼层8F</v>
      </c>
      <c r="F24" s="281">
        <v>0.93</v>
      </c>
      <c r="G24" s="290"/>
      <c r="H24" s="291"/>
      <c r="I24" s="159">
        <f>J24*F14-J24</f>
        <v>94.5</v>
      </c>
      <c r="J24">
        <v>1350</v>
      </c>
    </row>
    <row r="25" customHeight="1" spans="1:15">
      <c r="A25" s="295"/>
      <c r="B25" s="301"/>
      <c r="C25" s="294"/>
      <c r="D25" s="16" t="s">
        <v>103</v>
      </c>
      <c r="E25" s="16" t="str">
        <f t="shared" si="1"/>
        <v>楼梯房楼层9F</v>
      </c>
      <c r="F25" s="281">
        <v>0.9</v>
      </c>
      <c r="G25" s="290"/>
      <c r="H25" s="291"/>
      <c r="I25" s="159">
        <f>J25*F15-J25</f>
        <v>0</v>
      </c>
      <c r="J25">
        <v>1350</v>
      </c>
    </row>
    <row r="26" customHeight="1" spans="1:15">
      <c r="A26" s="295"/>
      <c r="B26" s="292">
        <v>5</v>
      </c>
      <c r="C26" s="302" t="s">
        <v>104</v>
      </c>
      <c r="D26" s="16" t="s">
        <v>54</v>
      </c>
      <c r="E26" s="16" t="str">
        <f t="shared" ref="E26:E34" si="2">$C$26&amp;D26</f>
        <v>电梯房楼层无</v>
      </c>
      <c r="F26" s="281">
        <v>1</v>
      </c>
      <c r="G26" s="290"/>
      <c r="H26" s="291"/>
      <c r="I26" s="159" t="e">
        <f>J26*#REF!-J26</f>
        <v>#REF!</v>
      </c>
      <c r="J26">
        <v>1350</v>
      </c>
      <c r="K26" s="303"/>
    </row>
    <row r="27" customHeight="1" spans="1:15">
      <c r="A27" s="295"/>
      <c r="B27" s="295"/>
      <c r="C27" s="304"/>
      <c r="D27" s="16" t="s">
        <v>75</v>
      </c>
      <c r="E27" s="16" t="str">
        <f t="shared" si="2"/>
        <v>电梯房楼层1F</v>
      </c>
      <c r="F27" s="281">
        <v>0.87</v>
      </c>
      <c r="G27" s="290" t="s">
        <v>69</v>
      </c>
      <c r="H27" s="291"/>
    </row>
    <row r="28" customHeight="1" spans="1:15">
      <c r="A28" s="295"/>
      <c r="B28" s="295"/>
      <c r="C28" s="304"/>
      <c r="D28" s="16" t="s">
        <v>105</v>
      </c>
      <c r="E28" s="16" t="str">
        <f t="shared" si="2"/>
        <v>电梯房楼层2-3F</v>
      </c>
      <c r="F28" s="281">
        <v>0.99</v>
      </c>
      <c r="G28" s="290"/>
      <c r="H28" s="291"/>
      <c r="I28" s="159" t="e">
        <f>J28*#REF!-J28</f>
        <v>#REF!</v>
      </c>
    </row>
    <row r="29" customHeight="1" spans="1:15">
      <c r="A29" s="295"/>
      <c r="B29" s="295"/>
      <c r="C29" s="304"/>
      <c r="D29" s="16" t="s">
        <v>90</v>
      </c>
      <c r="E29" s="16" t="str">
        <f t="shared" si="2"/>
        <v>电梯房楼层4F</v>
      </c>
      <c r="F29" s="281">
        <v>1</v>
      </c>
      <c r="G29" s="290"/>
      <c r="H29" s="291"/>
      <c r="I29" s="159">
        <f t="shared" ref="I29" si="3">1325*F16-1325</f>
        <v>0</v>
      </c>
    </row>
    <row r="30" customHeight="1" spans="1:15">
      <c r="A30" s="295"/>
      <c r="B30" s="295"/>
      <c r="C30" s="304"/>
      <c r="D30" s="16" t="s">
        <v>106</v>
      </c>
      <c r="E30" s="16" t="str">
        <f t="shared" si="2"/>
        <v>电梯房楼层5-6F</v>
      </c>
      <c r="F30" s="281">
        <v>1.01</v>
      </c>
      <c r="G30" s="290"/>
      <c r="H30" s="291"/>
    </row>
    <row r="31" customHeight="1" spans="1:15">
      <c r="A31" s="295"/>
      <c r="B31" s="295"/>
      <c r="C31" s="304"/>
      <c r="D31" s="16" t="s">
        <v>107</v>
      </c>
      <c r="E31" s="16" t="str">
        <f t="shared" si="2"/>
        <v>电梯房楼层7-8F</v>
      </c>
      <c r="F31" s="281">
        <v>1.02</v>
      </c>
      <c r="G31" s="290"/>
      <c r="H31" s="291"/>
      <c r="I31" s="159">
        <f>1325*F18-1325</f>
        <v>26.5</v>
      </c>
    </row>
    <row r="32" customHeight="1" spans="1:15">
      <c r="A32" s="295"/>
      <c r="B32" s="295"/>
      <c r="C32" s="304"/>
      <c r="D32" s="16" t="s">
        <v>108</v>
      </c>
      <c r="E32" s="16" t="str">
        <f t="shared" si="2"/>
        <v>电梯房楼层9-10F</v>
      </c>
      <c r="F32" s="281">
        <v>1.03</v>
      </c>
      <c r="G32" s="290"/>
      <c r="H32" s="291"/>
      <c r="I32" s="159">
        <f>1325*F19-1325</f>
        <v>13.25</v>
      </c>
    </row>
    <row r="33" customHeight="1" spans="1:14">
      <c r="A33" s="295"/>
      <c r="B33" s="295"/>
      <c r="C33" s="304"/>
      <c r="D33" s="16" t="s">
        <v>109</v>
      </c>
      <c r="E33" s="16" t="str">
        <f t="shared" si="2"/>
        <v>电梯房楼层11-12F</v>
      </c>
      <c r="F33" s="281">
        <v>1.04</v>
      </c>
      <c r="G33" s="290"/>
      <c r="H33" s="291"/>
      <c r="I33" s="159">
        <f>1325*F20-1325</f>
        <v>0</v>
      </c>
    </row>
    <row r="34" customHeight="1" spans="1:14">
      <c r="A34" s="295"/>
      <c r="B34" s="301"/>
      <c r="C34" s="305"/>
      <c r="D34" s="16" t="s">
        <v>110</v>
      </c>
      <c r="E34" s="16" t="str">
        <f t="shared" si="2"/>
        <v>电梯房楼层13以上F</v>
      </c>
      <c r="F34" s="281">
        <v>1.05</v>
      </c>
      <c r="G34" s="290"/>
      <c r="H34" s="291"/>
      <c r="I34" s="159">
        <f>1325*F21-1325</f>
        <v>-13.25</v>
      </c>
    </row>
    <row r="35" customHeight="1" spans="1:14">
      <c r="A35" s="295"/>
      <c r="B35" s="295">
        <v>6</v>
      </c>
      <c r="C35" s="304" t="s">
        <v>111</v>
      </c>
      <c r="D35" s="16" t="s">
        <v>112</v>
      </c>
      <c r="E35" s="16" t="s">
        <v>113</v>
      </c>
      <c r="F35" s="281">
        <v>0.93</v>
      </c>
      <c r="G35" s="290"/>
      <c r="H35" s="291"/>
    </row>
    <row r="36" customHeight="1" spans="1:14">
      <c r="A36" s="295"/>
      <c r="B36" s="295"/>
      <c r="C36" s="304"/>
      <c r="D36" s="16" t="s">
        <v>114</v>
      </c>
      <c r="E36" s="16" t="str">
        <f t="shared" ref="E36:E41" si="4">$C$35&amp;D36</f>
        <v>功能配置（开间）缺失（书桌）</v>
      </c>
      <c r="F36" s="281">
        <v>0.98</v>
      </c>
      <c r="G36" s="290"/>
      <c r="H36" s="291"/>
      <c r="I36" s="159">
        <f>1325*F22-1325</f>
        <v>-26.5</v>
      </c>
    </row>
    <row r="37" customHeight="1" spans="1:14">
      <c r="A37" s="295"/>
      <c r="B37" s="295"/>
      <c r="C37" s="304"/>
      <c r="D37" s="16" t="s">
        <v>115</v>
      </c>
      <c r="E37" s="16" t="str">
        <f t="shared" si="4"/>
        <v>功能配置（开间）缺失（操作台）</v>
      </c>
      <c r="F37" s="281">
        <v>0.96</v>
      </c>
      <c r="G37" s="290"/>
      <c r="H37" s="291"/>
      <c r="I37" s="159">
        <f>1325*F23-1325</f>
        <v>-53</v>
      </c>
    </row>
    <row r="38" customHeight="1" spans="1:14">
      <c r="A38" s="295"/>
      <c r="B38" s="295"/>
      <c r="C38" s="304"/>
      <c r="D38" s="16" t="s">
        <v>63</v>
      </c>
      <c r="E38" s="16" t="str">
        <f t="shared" si="4"/>
        <v>功能配置（开间）适中</v>
      </c>
      <c r="F38" s="281">
        <v>1</v>
      </c>
      <c r="G38" s="282"/>
      <c r="H38" s="283"/>
      <c r="I38" s="159">
        <f>1325*F24-1325</f>
        <v>-92.75</v>
      </c>
    </row>
    <row r="39" customHeight="1" spans="1:14">
      <c r="A39" s="295"/>
      <c r="B39" s="295"/>
      <c r="C39" s="304"/>
      <c r="D39" s="16" t="s">
        <v>116</v>
      </c>
      <c r="E39" s="16" t="str">
        <f t="shared" si="4"/>
        <v>功能配置（开间）充足（油烟机/双人沙发）</v>
      </c>
      <c r="F39" s="281">
        <v>1.04</v>
      </c>
      <c r="G39" s="282"/>
      <c r="H39" s="283"/>
      <c r="I39" s="159">
        <f>1325*F25-1325</f>
        <v>-132.5</v>
      </c>
    </row>
    <row r="40" customHeight="1" spans="1:14">
      <c r="A40" s="295"/>
      <c r="B40" s="295"/>
      <c r="C40" s="304"/>
      <c r="D40" s="16" t="s">
        <v>117</v>
      </c>
      <c r="E40" s="16" t="str">
        <f t="shared" si="4"/>
        <v>功能配置（开间）充足（单人沙发/餐桌）</v>
      </c>
      <c r="F40" s="281">
        <v>1.03</v>
      </c>
      <c r="G40" s="282"/>
      <c r="H40" s="283"/>
    </row>
    <row r="41" customHeight="1" spans="1:14">
      <c r="A41" s="295"/>
      <c r="B41" s="301"/>
      <c r="C41" s="305"/>
      <c r="D41" s="16" t="s">
        <v>118</v>
      </c>
      <c r="E41" s="16" t="str">
        <f t="shared" si="4"/>
        <v>功能配置（开间）非常充足</v>
      </c>
      <c r="F41" s="281">
        <v>1.06</v>
      </c>
      <c r="G41" s="282"/>
      <c r="H41" s="283"/>
      <c r="I41" s="159">
        <f>1325*F27-1325</f>
        <v>-172.25</v>
      </c>
    </row>
    <row r="42" customHeight="1" spans="1:14">
      <c r="A42" s="295"/>
      <c r="B42" s="295"/>
      <c r="C42" s="302" t="s">
        <v>119</v>
      </c>
      <c r="D42" s="16">
        <v>5</v>
      </c>
      <c r="E42" s="16" t="str">
        <f>$C$42&amp;D42</f>
        <v>采光5</v>
      </c>
      <c r="F42" s="281">
        <v>1.06</v>
      </c>
      <c r="G42" s="282" t="s">
        <v>120</v>
      </c>
      <c r="H42" s="306"/>
    </row>
    <row r="43" customHeight="1" spans="1:14">
      <c r="A43" s="295"/>
      <c r="B43" s="295"/>
      <c r="C43" s="304"/>
      <c r="D43" s="16">
        <v>4</v>
      </c>
      <c r="E43" s="16" t="str">
        <f>$C$42&amp;D43</f>
        <v>采光4</v>
      </c>
      <c r="F43" s="281">
        <v>1.03</v>
      </c>
      <c r="G43" s="282"/>
      <c r="H43" s="307"/>
    </row>
    <row r="44" customHeight="1" spans="1:14">
      <c r="A44" s="295"/>
      <c r="B44" s="295"/>
      <c r="C44" s="304"/>
      <c r="D44" s="16">
        <v>3</v>
      </c>
      <c r="E44" s="16" t="str">
        <f>$C$42&amp;D44</f>
        <v>采光3</v>
      </c>
      <c r="F44" s="281">
        <v>1</v>
      </c>
      <c r="G44" s="290"/>
      <c r="H44" s="306"/>
      <c r="I44" s="159">
        <f>1325*F31-1325</f>
        <v>26.5</v>
      </c>
    </row>
    <row r="45" customHeight="1" spans="1:14">
      <c r="A45" s="295"/>
      <c r="B45" s="295"/>
      <c r="C45" s="304"/>
      <c r="D45" s="16">
        <v>2</v>
      </c>
      <c r="E45" s="16" t="str">
        <f>$C$42&amp;D45</f>
        <v>采光2</v>
      </c>
      <c r="F45" s="281">
        <v>0.96</v>
      </c>
      <c r="G45" s="282"/>
      <c r="H45" s="307"/>
      <c r="I45" s="159">
        <f t="shared" ref="I45:I46" si="5">1325*F32-1325</f>
        <v>39.75</v>
      </c>
    </row>
    <row r="46" customHeight="1" spans="1:14">
      <c r="A46" s="295"/>
      <c r="B46" s="295"/>
      <c r="C46" s="305"/>
      <c r="D46" s="16">
        <v>1</v>
      </c>
      <c r="E46" s="16" t="str">
        <f>$C$42&amp;D46</f>
        <v>采光1</v>
      </c>
      <c r="F46" s="281">
        <v>0.91</v>
      </c>
      <c r="G46" s="290"/>
      <c r="H46" s="307"/>
      <c r="I46" s="159">
        <f t="shared" si="5"/>
        <v>53</v>
      </c>
      <c r="L46" s="265"/>
      <c r="M46" s="265"/>
      <c r="N46" s="265"/>
    </row>
    <row r="47" customHeight="1" spans="1:14">
      <c r="A47" s="295"/>
      <c r="B47" s="295">
        <v>8</v>
      </c>
      <c r="C47" s="308" t="s">
        <v>121</v>
      </c>
      <c r="D47" s="16" t="s">
        <v>112</v>
      </c>
      <c r="E47" s="16" t="s">
        <v>122</v>
      </c>
      <c r="F47" s="281">
        <v>0.93</v>
      </c>
      <c r="G47" s="290"/>
      <c r="H47" s="307"/>
      <c r="L47" s="265"/>
      <c r="M47" s="265"/>
      <c r="N47" s="265"/>
    </row>
    <row r="48" customHeight="1" spans="1:14">
      <c r="A48" s="295"/>
      <c r="B48" s="295"/>
      <c r="C48" s="309"/>
      <c r="D48" s="310" t="s">
        <v>123</v>
      </c>
      <c r="E48" s="310" t="str">
        <f t="shared" ref="E48:E53" si="6">$C$47&amp;D48</f>
        <v>功能配置（一居）缺失（操作台/双人沙发）</v>
      </c>
      <c r="F48" s="281">
        <v>0.96</v>
      </c>
      <c r="G48" s="282"/>
      <c r="H48" s="310"/>
      <c r="K48" s="311" t="s">
        <v>124</v>
      </c>
      <c r="L48" s="312" t="s">
        <v>125</v>
      </c>
      <c r="M48" s="312" t="s">
        <v>73</v>
      </c>
      <c r="N48" s="313" t="s">
        <v>74</v>
      </c>
    </row>
    <row r="49" customHeight="1" spans="1:14">
      <c r="A49" s="295"/>
      <c r="B49" s="295"/>
      <c r="C49" s="309"/>
      <c r="D49" s="310" t="s">
        <v>126</v>
      </c>
      <c r="E49" s="310" t="str">
        <f t="shared" si="6"/>
        <v>功能配置（一居）缺失（餐桌）</v>
      </c>
      <c r="F49" s="281">
        <v>0.98</v>
      </c>
      <c r="G49" s="282"/>
      <c r="H49" s="310"/>
      <c r="I49" s="159">
        <f>J49*F36-J49</f>
        <v>-27</v>
      </c>
      <c r="J49">
        <v>1350</v>
      </c>
      <c r="K49" s="314" t="s">
        <v>112</v>
      </c>
      <c r="L49" s="315" t="s">
        <v>127</v>
      </c>
      <c r="M49" s="316" t="s">
        <v>128</v>
      </c>
      <c r="N49" s="317" t="s">
        <v>129</v>
      </c>
    </row>
    <row r="50" customHeight="1" spans="1:14">
      <c r="A50" s="295"/>
      <c r="B50" s="295"/>
      <c r="C50" s="309"/>
      <c r="D50" s="310" t="s">
        <v>63</v>
      </c>
      <c r="E50" s="310" t="str">
        <f t="shared" si="6"/>
        <v>功能配置（一居）适中</v>
      </c>
      <c r="F50" s="281">
        <v>1</v>
      </c>
      <c r="G50" s="282"/>
      <c r="H50" s="310"/>
      <c r="K50" s="314" t="s">
        <v>63</v>
      </c>
      <c r="L50" s="316" t="s">
        <v>130</v>
      </c>
      <c r="M50" s="316" t="s">
        <v>131</v>
      </c>
      <c r="N50" s="317" t="s">
        <v>132</v>
      </c>
    </row>
    <row r="51" customHeight="1" spans="1:14">
      <c r="A51" s="295"/>
      <c r="B51" s="295"/>
      <c r="C51" s="309"/>
      <c r="D51" s="310" t="s">
        <v>133</v>
      </c>
      <c r="E51" s="310" t="str">
        <f t="shared" si="6"/>
        <v>功能配置（一居）充配（书桌）</v>
      </c>
      <c r="F51" s="281">
        <v>1.02</v>
      </c>
      <c r="G51" s="282"/>
      <c r="H51" s="310"/>
      <c r="I51" s="159">
        <f>J51*F38-J51</f>
        <v>0</v>
      </c>
      <c r="J51">
        <v>1350</v>
      </c>
      <c r="K51" s="314" t="s">
        <v>134</v>
      </c>
      <c r="L51" s="318" t="s">
        <v>135</v>
      </c>
      <c r="M51" s="318" t="s">
        <v>136</v>
      </c>
      <c r="N51" s="319" t="s">
        <v>137</v>
      </c>
    </row>
    <row r="52" customHeight="1" spans="1:14">
      <c r="A52" s="295"/>
      <c r="B52" s="295"/>
      <c r="C52" s="309"/>
      <c r="D52" s="310" t="s">
        <v>138</v>
      </c>
      <c r="E52" s="310" t="str">
        <f t="shared" si="6"/>
        <v>功能配置（一居）充配（油烟机）</v>
      </c>
      <c r="F52" s="281">
        <v>1.04</v>
      </c>
      <c r="G52" s="282"/>
      <c r="H52" s="310"/>
      <c r="I52" s="159">
        <f>J52*F39-J52</f>
        <v>54</v>
      </c>
      <c r="J52">
        <v>1350</v>
      </c>
      <c r="K52" s="314" t="s">
        <v>118</v>
      </c>
      <c r="L52" s="318" t="s">
        <v>139</v>
      </c>
      <c r="M52" s="318" t="s">
        <v>140</v>
      </c>
      <c r="N52" s="319" t="s">
        <v>141</v>
      </c>
    </row>
    <row r="53" customHeight="1" spans="1:14">
      <c r="A53" s="295"/>
      <c r="B53" s="301"/>
      <c r="C53" s="320"/>
      <c r="D53" s="310" t="s">
        <v>142</v>
      </c>
      <c r="E53" s="310" t="str">
        <f t="shared" si="6"/>
        <v>功能配置（一居）非常充配</v>
      </c>
      <c r="F53" s="281">
        <v>1.06</v>
      </c>
      <c r="G53" s="282"/>
      <c r="H53" s="310"/>
    </row>
    <row r="54" customHeight="1" spans="1:14">
      <c r="A54" s="295"/>
      <c r="B54" s="293">
        <v>9</v>
      </c>
      <c r="C54" s="308" t="s">
        <v>143</v>
      </c>
      <c r="D54" s="16" t="s">
        <v>112</v>
      </c>
      <c r="E54" s="16" t="s">
        <v>144</v>
      </c>
      <c r="F54" s="321">
        <v>0.93</v>
      </c>
      <c r="G54" s="282"/>
      <c r="H54" s="310"/>
    </row>
    <row r="55" customHeight="1" spans="1:14">
      <c r="A55" s="295"/>
      <c r="B55" s="293"/>
      <c r="C55" s="309"/>
      <c r="D55" s="310" t="s">
        <v>145</v>
      </c>
      <c r="E55" s="310" t="str">
        <f>$C$54&amp;D55</f>
        <v>功能配置（二居）缺失（沙发/餐桌）</v>
      </c>
      <c r="F55" s="321">
        <v>0.96</v>
      </c>
      <c r="G55" s="282"/>
      <c r="H55" s="310"/>
    </row>
    <row r="56" customHeight="1" spans="1:14">
      <c r="A56" s="295"/>
      <c r="B56" s="293"/>
      <c r="C56" s="309"/>
      <c r="D56" s="310" t="s">
        <v>146</v>
      </c>
      <c r="E56" s="310" t="str">
        <f>$C$54&amp;D56</f>
        <v>功能配置（二居）缺失（电视柜/操作台）</v>
      </c>
      <c r="F56" s="321">
        <v>0.98</v>
      </c>
      <c r="G56" s="282"/>
      <c r="H56" s="310"/>
    </row>
    <row r="57" customHeight="1" spans="1:14">
      <c r="A57" s="295"/>
      <c r="B57" s="293"/>
      <c r="C57" s="309"/>
      <c r="D57" s="310" t="s">
        <v>63</v>
      </c>
      <c r="E57" s="310" t="str">
        <f>$C$54&amp;D57</f>
        <v>功能配置（二居）适中</v>
      </c>
      <c r="F57" s="321">
        <v>1</v>
      </c>
      <c r="G57" s="282"/>
      <c r="H57" s="310"/>
    </row>
    <row r="58" customHeight="1" spans="1:14">
      <c r="A58" s="295"/>
      <c r="B58" s="293"/>
      <c r="C58" s="309"/>
      <c r="D58" s="310" t="s">
        <v>147</v>
      </c>
      <c r="E58" s="310" t="str">
        <f>$C$54&amp;D58</f>
        <v>功能配置（二居）充配（油烟机/冰箱）</v>
      </c>
      <c r="F58" s="321">
        <v>1.04</v>
      </c>
      <c r="G58" s="282"/>
      <c r="H58" s="310"/>
    </row>
    <row r="59" customHeight="1" spans="1:14">
      <c r="A59" s="295"/>
      <c r="B59" s="293"/>
      <c r="C59" s="320"/>
      <c r="D59" s="310" t="s">
        <v>142</v>
      </c>
      <c r="E59" s="310" t="str">
        <f>$C$54&amp;D59</f>
        <v>功能配置（二居）非常充配</v>
      </c>
      <c r="F59" s="321">
        <v>1.06</v>
      </c>
      <c r="G59" s="282"/>
      <c r="H59" s="310"/>
    </row>
    <row r="60" customHeight="1" spans="1:14">
      <c r="A60" s="322"/>
      <c r="B60" s="94"/>
      <c r="C60" s="323" t="s">
        <v>148</v>
      </c>
      <c r="D60" s="324" t="s">
        <v>149</v>
      </c>
      <c r="E60" s="324"/>
      <c r="F60" s="325">
        <v>1</v>
      </c>
      <c r="G60" s="326"/>
      <c r="H60" s="326" t="s">
        <v>150</v>
      </c>
    </row>
    <row r="61" customHeight="1" spans="1:14">
      <c r="A61" s="322"/>
      <c r="B61" s="94"/>
      <c r="C61" s="323"/>
      <c r="D61" s="324" t="s">
        <v>151</v>
      </c>
      <c r="E61" s="324"/>
      <c r="F61" s="325">
        <v>0.975</v>
      </c>
      <c r="G61" s="326"/>
      <c r="H61" s="326" t="s">
        <v>150</v>
      </c>
      <c r="I61" s="159" t="e">
        <f>J61*#REF!-J61</f>
        <v>#REF!</v>
      </c>
      <c r="J61">
        <v>1350</v>
      </c>
    </row>
    <row r="62" customHeight="1" spans="1:14">
      <c r="A62" s="322"/>
      <c r="B62" s="94"/>
      <c r="C62" s="323"/>
      <c r="D62" s="324" t="s">
        <v>152</v>
      </c>
      <c r="E62" s="324"/>
      <c r="F62" s="325">
        <v>0.95</v>
      </c>
      <c r="G62" s="326"/>
      <c r="H62" s="326" t="s">
        <v>150</v>
      </c>
      <c r="I62" s="159">
        <f>J62*F42-J62</f>
        <v>81</v>
      </c>
      <c r="J62">
        <v>1350</v>
      </c>
    </row>
    <row r="63" customHeight="1" spans="1:14">
      <c r="A63" s="322"/>
      <c r="B63" s="94"/>
      <c r="C63" s="323"/>
      <c r="D63" s="324" t="s">
        <v>153</v>
      </c>
      <c r="E63" s="324"/>
      <c r="F63" s="325">
        <v>0.91</v>
      </c>
      <c r="G63" s="326"/>
      <c r="H63" s="326" t="s">
        <v>150</v>
      </c>
      <c r="I63" s="159">
        <f t="shared" ref="I63:I65" si="7">J63*F43-J63</f>
        <v>40.5</v>
      </c>
      <c r="J63">
        <v>1350</v>
      </c>
    </row>
    <row r="64" customHeight="1" spans="1:14">
      <c r="A64" s="322"/>
      <c r="B64" s="94"/>
      <c r="C64" s="323" t="s">
        <v>154</v>
      </c>
      <c r="D64" s="324" t="s">
        <v>155</v>
      </c>
      <c r="E64" s="324"/>
      <c r="F64" s="325">
        <v>1.045</v>
      </c>
      <c r="G64" s="326" t="s">
        <v>156</v>
      </c>
      <c r="H64" s="326" t="s">
        <v>150</v>
      </c>
      <c r="I64" s="159">
        <f t="shared" si="7"/>
        <v>0</v>
      </c>
      <c r="J64">
        <v>1350</v>
      </c>
    </row>
    <row r="65" customHeight="1" spans="1:14">
      <c r="A65" s="322"/>
      <c r="B65" s="94"/>
      <c r="C65" s="323"/>
      <c r="D65" s="324" t="s">
        <v>157</v>
      </c>
      <c r="E65" s="324"/>
      <c r="F65" s="325">
        <v>1.02</v>
      </c>
      <c r="G65" s="326" t="s">
        <v>158</v>
      </c>
      <c r="H65" s="326" t="s">
        <v>150</v>
      </c>
      <c r="I65" s="159">
        <f t="shared" si="7"/>
        <v>-54</v>
      </c>
      <c r="J65">
        <v>1350</v>
      </c>
      <c r="K65" s="327"/>
      <c r="L65" s="265"/>
      <c r="M65" s="265"/>
      <c r="N65" s="265"/>
    </row>
    <row r="66" customHeight="1" spans="1:14">
      <c r="A66" s="322"/>
      <c r="B66" s="94"/>
      <c r="C66" s="323"/>
      <c r="D66" s="324" t="s">
        <v>63</v>
      </c>
      <c r="E66" s="324"/>
      <c r="F66" s="325">
        <v>1</v>
      </c>
      <c r="G66" s="326" t="s">
        <v>159</v>
      </c>
      <c r="H66" s="326" t="s">
        <v>150</v>
      </c>
      <c r="K66" s="327"/>
      <c r="L66" s="265"/>
      <c r="M66" s="265"/>
      <c r="N66" s="265"/>
    </row>
    <row r="67" s="265" customFormat="1" customHeight="1" spans="1:14">
      <c r="A67" s="322"/>
      <c r="B67" s="94"/>
      <c r="C67" s="323"/>
      <c r="D67" s="324" t="s">
        <v>160</v>
      </c>
      <c r="E67" s="324"/>
      <c r="F67" s="325">
        <v>0.95</v>
      </c>
      <c r="G67" s="326" t="s">
        <v>161</v>
      </c>
      <c r="H67" s="326" t="s">
        <v>150</v>
      </c>
      <c r="I67" s="328">
        <f>J67*F48-J67</f>
        <v>-58</v>
      </c>
      <c r="J67" s="265">
        <v>1450</v>
      </c>
      <c r="K67" s="327"/>
    </row>
    <row r="68" s="265" customFormat="1" customHeight="1" spans="1:14">
      <c r="A68" s="322"/>
      <c r="B68" s="94"/>
      <c r="C68" s="323" t="s">
        <v>162</v>
      </c>
      <c r="D68" s="324" t="s">
        <v>54</v>
      </c>
      <c r="E68" s="324"/>
      <c r="F68" s="325">
        <v>1</v>
      </c>
      <c r="G68" s="329" t="s">
        <v>163</v>
      </c>
      <c r="H68" s="326" t="s">
        <v>150</v>
      </c>
      <c r="I68" s="328">
        <f>J68*F49-J68</f>
        <v>-29</v>
      </c>
      <c r="J68" s="265">
        <v>1450</v>
      </c>
      <c r="K68" s="327"/>
    </row>
    <row r="69" s="265" customFormat="1" customHeight="1" spans="1:14">
      <c r="A69" s="322"/>
      <c r="B69" s="94"/>
      <c r="C69" s="323"/>
      <c r="D69" s="324" t="s">
        <v>164</v>
      </c>
      <c r="E69" s="324"/>
      <c r="F69" s="325">
        <v>0.975</v>
      </c>
      <c r="G69" s="329"/>
      <c r="H69" s="326" t="s">
        <v>150</v>
      </c>
      <c r="I69" s="328">
        <f>J69*F50-J69</f>
        <v>0</v>
      </c>
      <c r="J69" s="265">
        <v>1450</v>
      </c>
      <c r="K69" s="327"/>
    </row>
    <row r="70" s="265" customFormat="1" customHeight="1" spans="1:14">
      <c r="A70" s="322"/>
      <c r="B70" s="94"/>
      <c r="C70" s="323"/>
      <c r="D70" s="324" t="s">
        <v>165</v>
      </c>
      <c r="E70" s="324"/>
      <c r="F70" s="325">
        <v>0.95</v>
      </c>
      <c r="G70" s="329"/>
      <c r="H70" s="326" t="s">
        <v>150</v>
      </c>
      <c r="I70" s="328"/>
      <c r="K70" s="327"/>
    </row>
    <row r="71" s="265" customFormat="1" customHeight="1" spans="1:14">
      <c r="A71" s="322"/>
      <c r="B71" s="94"/>
      <c r="C71" s="323"/>
      <c r="D71" s="324" t="s">
        <v>166</v>
      </c>
      <c r="E71" s="324"/>
      <c r="F71" s="325">
        <v>0.91</v>
      </c>
      <c r="G71" s="329"/>
      <c r="H71" s="326" t="s">
        <v>150</v>
      </c>
      <c r="I71" s="328"/>
      <c r="K71" s="8"/>
      <c r="L71"/>
      <c r="M71"/>
      <c r="N71"/>
    </row>
    <row r="72" s="265" customFormat="1" customHeight="1" spans="1:14">
      <c r="A72" s="322"/>
      <c r="B72" s="94"/>
      <c r="C72" s="323" t="s">
        <v>167</v>
      </c>
      <c r="D72" s="324" t="s">
        <v>54</v>
      </c>
      <c r="E72" s="324"/>
      <c r="F72" s="325">
        <v>1</v>
      </c>
      <c r="G72" s="329" t="s">
        <v>168</v>
      </c>
      <c r="H72" s="326" t="s">
        <v>150</v>
      </c>
      <c r="I72" s="328">
        <f>J72*F53-J72</f>
        <v>180</v>
      </c>
      <c r="J72" s="265">
        <v>3000</v>
      </c>
      <c r="K72" s="8"/>
      <c r="L72"/>
      <c r="M72"/>
      <c r="N72"/>
    </row>
    <row r="73" customHeight="1" spans="1:14">
      <c r="A73" s="322"/>
      <c r="B73" s="94"/>
      <c r="C73" s="323"/>
      <c r="D73" s="324" t="s">
        <v>164</v>
      </c>
      <c r="E73" s="324"/>
      <c r="F73" s="325">
        <v>0.975</v>
      </c>
      <c r="G73" s="329"/>
      <c r="H73" s="326" t="s">
        <v>150</v>
      </c>
    </row>
    <row r="74" customHeight="1" spans="1:14">
      <c r="A74" s="322"/>
      <c r="B74" s="94"/>
      <c r="C74" s="323"/>
      <c r="D74" s="324" t="s">
        <v>165</v>
      </c>
      <c r="E74" s="324"/>
      <c r="F74" s="325">
        <v>0.945</v>
      </c>
      <c r="G74" s="329"/>
      <c r="H74" s="326" t="s">
        <v>150</v>
      </c>
    </row>
    <row r="75" customHeight="1" spans="1:14">
      <c r="A75" s="322"/>
      <c r="B75" s="94"/>
      <c r="C75" s="323"/>
      <c r="D75" s="324" t="s">
        <v>166</v>
      </c>
      <c r="E75" s="324"/>
      <c r="F75" s="325">
        <v>0.9</v>
      </c>
      <c r="G75" s="329"/>
      <c r="H75" s="326" t="s">
        <v>150</v>
      </c>
    </row>
    <row r="79" customHeight="1" spans="1:14">
      <c r="A79" s="162"/>
    </row>
    <row r="81" customHeight="1" spans="9:9">
      <c r="I81" s="159">
        <f t="shared" ref="I81:I88" si="8">J81*F68-J81</f>
        <v>0</v>
      </c>
    </row>
    <row r="82" customHeight="1" spans="9:9">
      <c r="I82" s="159">
        <f t="shared" si="8"/>
        <v>0</v>
      </c>
    </row>
    <row r="83" customHeight="1" spans="9:9">
      <c r="I83" s="159">
        <f t="shared" si="8"/>
        <v>0</v>
      </c>
    </row>
    <row r="84" customHeight="1" spans="9:9">
      <c r="I84" s="159">
        <f t="shared" si="8"/>
        <v>0</v>
      </c>
    </row>
    <row r="85" customHeight="1" spans="9:9">
      <c r="I85" s="159">
        <f t="shared" si="8"/>
        <v>0</v>
      </c>
    </row>
    <row r="86" customHeight="1" spans="9:9">
      <c r="I86" s="159">
        <f t="shared" si="8"/>
        <v>0</v>
      </c>
    </row>
    <row r="87" customHeight="1" spans="9:9">
      <c r="I87" s="159">
        <f t="shared" si="8"/>
        <v>0</v>
      </c>
    </row>
    <row r="88" customHeight="1" spans="9:9">
      <c r="I88" s="159">
        <f t="shared" si="8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A1" sqref="A1"/>
    </sheetView>
  </sheetViews>
  <sheetFormatPr defaultColWidth="11" defaultRowHeight="14" outlineLevelCol="5"/>
  <cols>
    <col min="1" max="1" width="9.375" customWidth="1"/>
    <col min="2" max="2" width="5.625" customWidth="1"/>
    <col min="3" max="3" width="16" customWidth="1"/>
    <col min="4" max="5" width="8.75" customWidth="1"/>
    <col min="6" max="6" width="13" customWidth="1"/>
  </cols>
  <sheetData>
    <row r="1" ht="16.5" spans="1:6">
      <c r="A1" s="252" t="s">
        <v>169</v>
      </c>
      <c r="B1" s="252" t="s">
        <v>25</v>
      </c>
      <c r="C1" s="252" t="s">
        <v>170</v>
      </c>
      <c r="D1" s="253" t="s">
        <v>40</v>
      </c>
      <c r="E1" s="253" t="s">
        <v>43</v>
      </c>
      <c r="F1" s="252" t="s">
        <v>171</v>
      </c>
    </row>
    <row r="2" ht="16.5" spans="1:6">
      <c r="A2" s="254" t="s">
        <v>172</v>
      </c>
      <c r="B2" s="255">
        <v>1</v>
      </c>
      <c r="C2" s="254" t="s">
        <v>173</v>
      </c>
      <c r="D2" s="256">
        <v>2075.1</v>
      </c>
      <c r="E2" s="256">
        <v>2847.2</v>
      </c>
      <c r="F2" s="254" t="s">
        <v>174</v>
      </c>
    </row>
    <row r="3" ht="16.5" spans="1:6">
      <c r="A3" s="254" t="s">
        <v>172</v>
      </c>
      <c r="B3" s="255">
        <v>2</v>
      </c>
      <c r="C3" s="254" t="s">
        <v>175</v>
      </c>
      <c r="D3" s="256">
        <v>2080.7</v>
      </c>
      <c r="E3" s="256">
        <v>2851.9</v>
      </c>
      <c r="F3" s="254" t="s">
        <v>174</v>
      </c>
    </row>
    <row r="4" ht="16.5" spans="1:6">
      <c r="A4" s="254" t="s">
        <v>172</v>
      </c>
      <c r="B4" s="255">
        <v>3</v>
      </c>
      <c r="C4" s="254" t="s">
        <v>176</v>
      </c>
      <c r="D4" s="256">
        <v>2075.2</v>
      </c>
      <c r="E4" s="256">
        <v>2847.3</v>
      </c>
      <c r="F4" s="254" t="s">
        <v>174</v>
      </c>
    </row>
    <row r="5" ht="16.5" spans="1:6">
      <c r="A5" s="254" t="s">
        <v>177</v>
      </c>
      <c r="B5" s="255">
        <v>4</v>
      </c>
      <c r="C5" s="257" t="s">
        <v>178</v>
      </c>
      <c r="D5" s="256">
        <v>2200.7</v>
      </c>
      <c r="E5" s="256">
        <v>2945.6</v>
      </c>
      <c r="F5" s="254" t="s">
        <v>174</v>
      </c>
    </row>
    <row r="6" ht="16.5" spans="1:6">
      <c r="A6" s="254" t="s">
        <v>177</v>
      </c>
      <c r="B6" s="255">
        <v>5</v>
      </c>
      <c r="C6" s="254" t="s">
        <v>179</v>
      </c>
      <c r="D6" s="256">
        <v>1889.9</v>
      </c>
      <c r="E6" s="256">
        <v>2669.3</v>
      </c>
      <c r="F6" s="254" t="s">
        <v>174</v>
      </c>
    </row>
    <row r="7" ht="16.5" spans="1:6">
      <c r="A7" s="254" t="s">
        <v>177</v>
      </c>
      <c r="B7" s="255">
        <v>6</v>
      </c>
      <c r="C7" s="254" t="s">
        <v>180</v>
      </c>
      <c r="D7" s="256">
        <v>1585.3</v>
      </c>
      <c r="E7" s="256">
        <v>2353.9</v>
      </c>
      <c r="F7" s="254" t="s">
        <v>174</v>
      </c>
    </row>
    <row r="8" ht="16.5" spans="1:6">
      <c r="A8" s="254" t="s">
        <v>177</v>
      </c>
      <c r="B8" s="255">
        <v>7</v>
      </c>
      <c r="C8" s="254" t="s">
        <v>181</v>
      </c>
      <c r="D8" s="256">
        <v>1707.9</v>
      </c>
      <c r="E8" s="256">
        <v>2486.2</v>
      </c>
      <c r="F8" s="254" t="s">
        <v>174</v>
      </c>
    </row>
    <row r="9" ht="16.5" spans="1:6">
      <c r="A9" s="254" t="s">
        <v>177</v>
      </c>
      <c r="B9" s="255">
        <v>8</v>
      </c>
      <c r="C9" s="254" t="s">
        <v>182</v>
      </c>
      <c r="D9" s="256">
        <v>1943.3</v>
      </c>
      <c r="E9" s="256">
        <v>2720.1</v>
      </c>
      <c r="F9" s="254" t="s">
        <v>174</v>
      </c>
    </row>
    <row r="10" ht="16.5" spans="1:6">
      <c r="A10" s="254" t="s">
        <v>177</v>
      </c>
      <c r="B10" s="255">
        <v>9</v>
      </c>
      <c r="C10" s="254" t="s">
        <v>183</v>
      </c>
      <c r="D10" s="256">
        <v>1530.2</v>
      </c>
      <c r="E10" s="256">
        <v>2292.2</v>
      </c>
      <c r="F10" s="254" t="s">
        <v>174</v>
      </c>
    </row>
    <row r="11" ht="16.5" spans="1:6">
      <c r="A11" s="254" t="s">
        <v>177</v>
      </c>
      <c r="B11" s="255">
        <v>10</v>
      </c>
      <c r="C11" s="254" t="s">
        <v>184</v>
      </c>
      <c r="D11" s="256">
        <v>1530.7</v>
      </c>
      <c r="E11" s="256">
        <v>2292.8</v>
      </c>
      <c r="F11" s="254" t="s">
        <v>174</v>
      </c>
    </row>
    <row r="12" ht="16.5" spans="1:6">
      <c r="A12" s="254" t="s">
        <v>177</v>
      </c>
      <c r="B12" s="255">
        <v>11</v>
      </c>
      <c r="C12" s="254" t="s">
        <v>185</v>
      </c>
      <c r="D12" s="256">
        <v>1624.6</v>
      </c>
      <c r="E12" s="256">
        <v>2397.1</v>
      </c>
      <c r="F12" s="254" t="s">
        <v>174</v>
      </c>
    </row>
    <row r="13" ht="16.5" spans="1:6">
      <c r="A13" s="254" t="s">
        <v>177</v>
      </c>
      <c r="B13" s="255">
        <v>12</v>
      </c>
      <c r="C13" s="254" t="s">
        <v>186</v>
      </c>
      <c r="D13" s="256">
        <v>1748.1</v>
      </c>
      <c r="E13" s="256">
        <v>2528</v>
      </c>
      <c r="F13" s="254" t="s">
        <v>174</v>
      </c>
    </row>
    <row r="14" ht="16.5" spans="1:6">
      <c r="A14" s="254" t="s">
        <v>177</v>
      </c>
      <c r="B14" s="255">
        <v>13</v>
      </c>
      <c r="C14" s="254" t="s">
        <v>187</v>
      </c>
      <c r="D14" s="256">
        <v>1771.8</v>
      </c>
      <c r="E14" s="256">
        <v>2552.2</v>
      </c>
      <c r="F14" s="254" t="s">
        <v>174</v>
      </c>
    </row>
    <row r="15" ht="16.5" spans="1:6">
      <c r="A15" s="254" t="s">
        <v>177</v>
      </c>
      <c r="B15" s="255">
        <v>14</v>
      </c>
      <c r="C15" s="254" t="s">
        <v>188</v>
      </c>
      <c r="D15" s="256">
        <v>2149.8</v>
      </c>
      <c r="E15" s="256">
        <v>2903.4</v>
      </c>
      <c r="F15" s="254" t="s">
        <v>174</v>
      </c>
    </row>
    <row r="16" ht="16.5" spans="1:6">
      <c r="A16" s="254" t="s">
        <v>177</v>
      </c>
      <c r="B16" s="255">
        <v>15</v>
      </c>
      <c r="C16" s="254" t="s">
        <v>189</v>
      </c>
      <c r="D16" s="256">
        <v>2133.4</v>
      </c>
      <c r="E16" s="256">
        <v>2889.6</v>
      </c>
      <c r="F16" s="254" t="s">
        <v>174</v>
      </c>
    </row>
    <row r="17" ht="16.5" spans="1:6">
      <c r="A17" s="254" t="s">
        <v>177</v>
      </c>
      <c r="B17" s="255">
        <v>16</v>
      </c>
      <c r="C17" s="254" t="s">
        <v>190</v>
      </c>
      <c r="D17" s="256">
        <v>2287.2</v>
      </c>
      <c r="E17" s="256">
        <v>3014.3</v>
      </c>
      <c r="F17" s="254" t="s">
        <v>174</v>
      </c>
    </row>
    <row r="18" ht="16.5" spans="1:6">
      <c r="A18" s="254" t="s">
        <v>177</v>
      </c>
      <c r="B18" s="255">
        <v>17</v>
      </c>
      <c r="C18" s="254" t="s">
        <v>191</v>
      </c>
      <c r="D18" s="256">
        <v>2223.2</v>
      </c>
      <c r="E18" s="256">
        <v>2963.8</v>
      </c>
      <c r="F18" s="254" t="s">
        <v>174</v>
      </c>
    </row>
    <row r="19" ht="16.5" spans="1:6">
      <c r="A19" s="254" t="s">
        <v>192</v>
      </c>
      <c r="B19" s="255">
        <v>18</v>
      </c>
      <c r="C19" s="254" t="s">
        <v>193</v>
      </c>
      <c r="D19" s="256">
        <v>1612.1</v>
      </c>
      <c r="E19" s="256">
        <v>2402.5</v>
      </c>
      <c r="F19" s="254" t="s">
        <v>174</v>
      </c>
    </row>
    <row r="20" ht="16.5" spans="1:6">
      <c r="A20" s="254" t="s">
        <v>194</v>
      </c>
      <c r="B20" s="255">
        <v>19</v>
      </c>
      <c r="C20" s="254" t="s">
        <v>195</v>
      </c>
      <c r="D20" s="256">
        <v>1594.1</v>
      </c>
      <c r="E20" s="256">
        <v>2402.5</v>
      </c>
      <c r="F20" s="254" t="s">
        <v>174</v>
      </c>
    </row>
    <row r="21" ht="16.5" spans="1:6">
      <c r="A21" s="254" t="s">
        <v>196</v>
      </c>
      <c r="B21" s="255">
        <v>20</v>
      </c>
      <c r="C21" s="254" t="s">
        <v>197</v>
      </c>
      <c r="D21" s="256">
        <v>2755.7</v>
      </c>
      <c r="E21" s="256">
        <v>3302.1</v>
      </c>
      <c r="F21" s="254" t="s">
        <v>174</v>
      </c>
    </row>
    <row r="22" ht="16.5" spans="1:6">
      <c r="A22" s="254" t="s">
        <v>194</v>
      </c>
      <c r="B22" s="255">
        <v>21</v>
      </c>
      <c r="C22" s="254" t="s">
        <v>198</v>
      </c>
      <c r="D22" s="256">
        <v>1221.3</v>
      </c>
      <c r="E22" s="256">
        <v>1941.9</v>
      </c>
      <c r="F22" s="254" t="s">
        <v>174</v>
      </c>
    </row>
    <row r="23" ht="16.5" spans="1:6">
      <c r="A23" s="254" t="s">
        <v>192</v>
      </c>
      <c r="B23" s="255">
        <v>22</v>
      </c>
      <c r="C23" s="254" t="s">
        <v>199</v>
      </c>
      <c r="D23" s="256">
        <v>1634.8</v>
      </c>
      <c r="E23" s="256">
        <v>2426.1</v>
      </c>
      <c r="F23" s="254" t="s">
        <v>174</v>
      </c>
    </row>
    <row r="24" ht="16.5" spans="1:6">
      <c r="A24" s="254" t="s">
        <v>192</v>
      </c>
      <c r="B24" s="255">
        <v>23</v>
      </c>
      <c r="C24" s="254" t="s">
        <v>200</v>
      </c>
      <c r="D24" s="256">
        <v>1376.8</v>
      </c>
      <c r="E24" s="256">
        <v>2133.5</v>
      </c>
      <c r="F24" s="254" t="s">
        <v>174</v>
      </c>
    </row>
    <row r="25" ht="16.5" spans="1:6">
      <c r="A25" s="254" t="s">
        <v>194</v>
      </c>
      <c r="B25" s="255">
        <v>24</v>
      </c>
      <c r="C25" s="254" t="s">
        <v>201</v>
      </c>
      <c r="D25" s="256">
        <v>974.7</v>
      </c>
      <c r="E25" s="256">
        <v>1610.2</v>
      </c>
      <c r="F25" s="254" t="s">
        <v>174</v>
      </c>
    </row>
    <row r="26" ht="16.5" spans="1:6">
      <c r="A26" s="258" t="s">
        <v>196</v>
      </c>
      <c r="B26" s="259">
        <v>25</v>
      </c>
      <c r="C26" s="258" t="s">
        <v>202</v>
      </c>
      <c r="D26" s="260">
        <v>2522.7</v>
      </c>
      <c r="E26" s="260">
        <v>3173.7</v>
      </c>
      <c r="F26" s="258" t="s">
        <v>174</v>
      </c>
    </row>
    <row r="27" ht="16.5" spans="1:6">
      <c r="A27" s="254" t="s">
        <v>177</v>
      </c>
      <c r="B27" s="255">
        <v>26</v>
      </c>
      <c r="C27" s="254" t="s">
        <v>203</v>
      </c>
      <c r="D27" s="256">
        <v>1176.7</v>
      </c>
      <c r="E27" s="256">
        <v>1750.7</v>
      </c>
      <c r="F27" s="254" t="s">
        <v>174</v>
      </c>
    </row>
    <row r="28" ht="16.5" spans="1:6">
      <c r="A28" s="254" t="s">
        <v>192</v>
      </c>
      <c r="B28" s="255">
        <v>27</v>
      </c>
      <c r="C28" s="254" t="s">
        <v>204</v>
      </c>
      <c r="D28" s="256">
        <v>1450.9</v>
      </c>
      <c r="E28" s="256">
        <v>2202.1</v>
      </c>
      <c r="F28" s="254" t="s">
        <v>174</v>
      </c>
    </row>
    <row r="29" ht="16.5" spans="1:6">
      <c r="A29" s="254" t="s">
        <v>177</v>
      </c>
      <c r="B29" s="255">
        <v>28</v>
      </c>
      <c r="C29" s="254" t="s">
        <v>205</v>
      </c>
      <c r="D29" s="256">
        <v>1530.54435040042</v>
      </c>
      <c r="E29" s="256">
        <v>2292.5691359225</v>
      </c>
      <c r="F29" s="254" t="s">
        <v>174</v>
      </c>
    </row>
    <row r="30" ht="16.5" spans="1:6">
      <c r="A30" s="258" t="s">
        <v>196</v>
      </c>
      <c r="B30" s="259">
        <v>29</v>
      </c>
      <c r="C30" s="258" t="s">
        <v>206</v>
      </c>
      <c r="D30" s="261">
        <v>1789.4</v>
      </c>
      <c r="E30" s="261">
        <v>2576.7</v>
      </c>
      <c r="F30" s="258" t="s">
        <v>174</v>
      </c>
    </row>
    <row r="31" ht="16.5" spans="1:6">
      <c r="A31" s="254" t="s">
        <v>192</v>
      </c>
      <c r="B31" s="255">
        <v>30</v>
      </c>
      <c r="C31" s="254" t="s">
        <v>207</v>
      </c>
      <c r="D31" s="256">
        <v>1345.74572938574</v>
      </c>
      <c r="E31" s="256">
        <v>2076.96965590494</v>
      </c>
      <c r="F31" s="254" t="s">
        <v>174</v>
      </c>
    </row>
    <row r="32" ht="16.5" spans="1:6">
      <c r="A32" s="254" t="s">
        <v>192</v>
      </c>
      <c r="B32" s="255">
        <v>31</v>
      </c>
      <c r="C32" s="254" t="s">
        <v>208</v>
      </c>
      <c r="D32" s="256">
        <v>917.9373387016</v>
      </c>
      <c r="E32" s="256">
        <v>1510.1154822756</v>
      </c>
      <c r="F32" s="254" t="s">
        <v>174</v>
      </c>
    </row>
    <row r="33" ht="16.5" spans="1:6">
      <c r="A33" s="254" t="s">
        <v>192</v>
      </c>
      <c r="B33" s="255">
        <v>32</v>
      </c>
      <c r="C33" s="254" t="s">
        <v>209</v>
      </c>
      <c r="D33" s="256">
        <v>1383.87167941877</v>
      </c>
      <c r="E33" s="256">
        <v>2123.26186286188</v>
      </c>
      <c r="F33" s="254" t="s">
        <v>174</v>
      </c>
    </row>
    <row r="34" ht="16.5" spans="1:6">
      <c r="A34" s="254" t="s">
        <v>192</v>
      </c>
      <c r="B34" s="255">
        <v>33</v>
      </c>
      <c r="C34" s="254" t="s">
        <v>210</v>
      </c>
      <c r="D34" s="256">
        <v>1362.27653085428</v>
      </c>
      <c r="E34" s="256">
        <v>2097.12612819244</v>
      </c>
      <c r="F34" s="254" t="s">
        <v>174</v>
      </c>
    </row>
    <row r="35" ht="16.5" spans="1:6">
      <c r="A35" s="254" t="s">
        <v>192</v>
      </c>
      <c r="B35" s="255">
        <v>34</v>
      </c>
      <c r="C35" s="254" t="s">
        <v>211</v>
      </c>
      <c r="D35" s="256">
        <v>1454.93952128476</v>
      </c>
      <c r="E35" s="256">
        <v>2207.70600163055</v>
      </c>
      <c r="F35" s="254" t="s">
        <v>174</v>
      </c>
    </row>
    <row r="36" ht="16.5" spans="1:6">
      <c r="A36" s="254" t="s">
        <v>192</v>
      </c>
      <c r="B36" s="255">
        <v>35</v>
      </c>
      <c r="C36" s="254" t="s">
        <v>212</v>
      </c>
      <c r="D36" s="256">
        <v>1345.47211240266</v>
      </c>
      <c r="E36" s="256">
        <v>2076.63493332796</v>
      </c>
      <c r="F36" s="254" t="s">
        <v>174</v>
      </c>
    </row>
    <row r="37" ht="16.5" spans="1:6">
      <c r="A37" s="254" t="s">
        <v>192</v>
      </c>
      <c r="B37" s="255">
        <v>36</v>
      </c>
      <c r="C37" s="254" t="s">
        <v>213</v>
      </c>
      <c r="D37" s="256">
        <v>1450.13068582243</v>
      </c>
      <c r="E37" s="256">
        <v>2202.06784249969</v>
      </c>
      <c r="F37" s="254" t="s">
        <v>174</v>
      </c>
    </row>
    <row r="38" ht="16.5" spans="1:6">
      <c r="A38" s="254" t="s">
        <v>192</v>
      </c>
      <c r="B38" s="255">
        <v>37</v>
      </c>
      <c r="C38" s="254" t="s">
        <v>214</v>
      </c>
      <c r="D38" s="256">
        <v>1421.11138361406</v>
      </c>
      <c r="E38" s="256">
        <v>2167.8104202485</v>
      </c>
      <c r="F38" s="254" t="s">
        <v>174</v>
      </c>
    </row>
    <row r="39" ht="16.5" spans="1:6">
      <c r="A39" s="254" t="s">
        <v>215</v>
      </c>
      <c r="B39" s="255">
        <v>38</v>
      </c>
      <c r="C39" s="254" t="s">
        <v>216</v>
      </c>
      <c r="D39" s="256">
        <v>2919.3</v>
      </c>
      <c r="E39" s="256">
        <v>3649.1</v>
      </c>
      <c r="F39" s="254" t="s">
        <v>174</v>
      </c>
    </row>
    <row r="40" ht="16.5" spans="1:6">
      <c r="A40" s="254" t="s">
        <v>215</v>
      </c>
      <c r="B40" s="255">
        <v>39</v>
      </c>
      <c r="C40" s="254" t="s">
        <v>217</v>
      </c>
      <c r="D40" s="256">
        <v>2999.48548362201</v>
      </c>
      <c r="E40" s="256">
        <v>3749.35685452751</v>
      </c>
      <c r="F40" s="254" t="s">
        <v>174</v>
      </c>
    </row>
    <row r="41" ht="16.5" spans="1:6">
      <c r="A41" s="254" t="s">
        <v>215</v>
      </c>
      <c r="B41" s="255">
        <v>40</v>
      </c>
      <c r="C41" s="254" t="s">
        <v>218</v>
      </c>
      <c r="D41" s="256">
        <v>3072.62556170018</v>
      </c>
      <c r="E41" s="256">
        <v>3840.78195212522</v>
      </c>
      <c r="F41" s="254" t="s">
        <v>174</v>
      </c>
    </row>
    <row r="42" ht="16.5" spans="1:6">
      <c r="A42" s="254" t="s">
        <v>215</v>
      </c>
      <c r="B42" s="255">
        <v>41</v>
      </c>
      <c r="C42" s="254" t="s">
        <v>219</v>
      </c>
      <c r="D42" s="256">
        <v>2880.05277331946</v>
      </c>
      <c r="E42" s="256">
        <v>3600.06596664933</v>
      </c>
      <c r="F42" s="254" t="s">
        <v>174</v>
      </c>
    </row>
    <row r="43" ht="16.5" spans="1:6">
      <c r="A43" s="254" t="s">
        <v>215</v>
      </c>
      <c r="B43" s="255">
        <v>42</v>
      </c>
      <c r="C43" s="254" t="s">
        <v>220</v>
      </c>
      <c r="D43" s="256">
        <v>3075.26471292307</v>
      </c>
      <c r="E43" s="256">
        <v>3844.08089115384</v>
      </c>
      <c r="F43" s="254" t="s">
        <v>174</v>
      </c>
    </row>
    <row r="44" ht="16.5" spans="1:6">
      <c r="A44" s="254" t="s">
        <v>196</v>
      </c>
      <c r="B44" s="255">
        <v>43</v>
      </c>
      <c r="C44" s="254" t="s">
        <v>221</v>
      </c>
      <c r="D44" s="256">
        <v>2186.64882873455</v>
      </c>
      <c r="E44" s="256">
        <v>2937.4176816903</v>
      </c>
      <c r="F44" s="254" t="s">
        <v>174</v>
      </c>
    </row>
    <row r="45" ht="16.5" spans="1:6">
      <c r="A45" s="254" t="s">
        <v>177</v>
      </c>
      <c r="B45" s="255">
        <v>44</v>
      </c>
      <c r="C45" s="254" t="s">
        <v>222</v>
      </c>
      <c r="D45" s="256">
        <v>1549.94914057398</v>
      </c>
      <c r="E45" s="256">
        <v>2316.84502135192</v>
      </c>
      <c r="F45" s="254" t="s">
        <v>174</v>
      </c>
    </row>
    <row r="46" ht="16.5" spans="1:6">
      <c r="A46" s="254" t="s">
        <v>194</v>
      </c>
      <c r="B46" s="255">
        <v>45</v>
      </c>
      <c r="C46" s="254" t="s">
        <v>223</v>
      </c>
      <c r="D46" s="256">
        <v>1480.22995148625</v>
      </c>
      <c r="E46" s="256">
        <v>2237.17691205664</v>
      </c>
      <c r="F46" s="254" t="s">
        <v>174</v>
      </c>
    </row>
    <row r="47" ht="16.5" spans="1:6">
      <c r="A47" s="254" t="s">
        <v>194</v>
      </c>
      <c r="B47" s="255">
        <v>46</v>
      </c>
      <c r="C47" s="254" t="s">
        <v>224</v>
      </c>
      <c r="D47" s="256">
        <v>1155.65824991294</v>
      </c>
      <c r="E47" s="256">
        <v>1835.84854072861</v>
      </c>
      <c r="F47" s="254" t="s">
        <v>174</v>
      </c>
    </row>
    <row r="48" ht="16.5" spans="1:6">
      <c r="A48" s="254" t="s">
        <v>172</v>
      </c>
      <c r="B48" s="262">
        <v>47</v>
      </c>
      <c r="C48" s="254" t="s">
        <v>225</v>
      </c>
      <c r="D48" s="256">
        <v>2244.04662132937</v>
      </c>
      <c r="E48" s="256">
        <v>2983.88536724303</v>
      </c>
      <c r="F48" s="254" t="s">
        <v>174</v>
      </c>
    </row>
    <row r="49" ht="16.5" spans="1:6">
      <c r="A49" s="254" t="s">
        <v>215</v>
      </c>
      <c r="B49" s="262">
        <v>48</v>
      </c>
      <c r="C49" s="254" t="s">
        <v>226</v>
      </c>
      <c r="D49" s="256">
        <v>2939.00592803019</v>
      </c>
      <c r="E49" s="256">
        <v>3673.75741003774</v>
      </c>
      <c r="F49" s="254" t="s">
        <v>174</v>
      </c>
    </row>
    <row r="50" ht="16.5" spans="1:6">
      <c r="A50" s="254" t="s">
        <v>215</v>
      </c>
      <c r="B50" s="262">
        <v>49</v>
      </c>
      <c r="C50" s="254" t="s">
        <v>227</v>
      </c>
      <c r="D50" s="256">
        <v>2907.56964071726</v>
      </c>
      <c r="E50" s="256">
        <v>3634.46205089657</v>
      </c>
      <c r="F50" s="254" t="s">
        <v>174</v>
      </c>
    </row>
    <row r="51" ht="16.5" spans="1:6">
      <c r="A51" s="254" t="s">
        <v>215</v>
      </c>
      <c r="B51" s="262">
        <v>50</v>
      </c>
      <c r="C51" s="254" t="s">
        <v>228</v>
      </c>
      <c r="D51" s="256">
        <v>3014.82619976101</v>
      </c>
      <c r="E51" s="256">
        <v>3768.53274970127</v>
      </c>
      <c r="F51" s="254" t="s">
        <v>174</v>
      </c>
    </row>
    <row r="52" ht="16.5" spans="1:6">
      <c r="A52" s="254" t="s">
        <v>215</v>
      </c>
      <c r="B52" s="262">
        <v>51</v>
      </c>
      <c r="C52" s="254" t="s">
        <v>229</v>
      </c>
      <c r="D52" s="256">
        <v>3010.64580560568</v>
      </c>
      <c r="E52" s="256">
        <v>3763.3072570071</v>
      </c>
      <c r="F52" s="254" t="s">
        <v>174</v>
      </c>
    </row>
    <row r="53" ht="16.5" spans="1:6">
      <c r="A53" s="254" t="s">
        <v>196</v>
      </c>
      <c r="B53" s="262">
        <v>52</v>
      </c>
      <c r="C53" s="254" t="s">
        <v>230</v>
      </c>
      <c r="D53" s="256">
        <v>1408.43390965085</v>
      </c>
      <c r="E53" s="256">
        <v>2152.71886755881</v>
      </c>
      <c r="F53" s="254" t="s">
        <v>174</v>
      </c>
    </row>
    <row r="54" ht="16.5" spans="1:6">
      <c r="A54" s="254" t="s">
        <v>196</v>
      </c>
      <c r="B54" s="262">
        <v>53</v>
      </c>
      <c r="C54" s="254" t="s">
        <v>231</v>
      </c>
      <c r="D54" s="256">
        <v>1514.92854799523</v>
      </c>
      <c r="E54" s="256">
        <v>2277.11603383402</v>
      </c>
      <c r="F54" s="254" t="s">
        <v>174</v>
      </c>
    </row>
    <row r="55" ht="16.5" spans="1:6">
      <c r="A55" s="254" t="s">
        <v>196</v>
      </c>
      <c r="B55" s="262">
        <v>54</v>
      </c>
      <c r="C55" s="254" t="s">
        <v>232</v>
      </c>
      <c r="D55" s="256">
        <v>2573.33502611194</v>
      </c>
      <c r="E55" s="256">
        <v>3220.18121591023</v>
      </c>
      <c r="F55" s="254" t="s">
        <v>174</v>
      </c>
    </row>
    <row r="56" ht="16.5" spans="1:6">
      <c r="A56" s="254" t="s">
        <v>196</v>
      </c>
      <c r="B56" s="262">
        <v>55</v>
      </c>
      <c r="C56" s="254" t="s">
        <v>233</v>
      </c>
      <c r="D56" s="256">
        <v>1391.8518876263</v>
      </c>
      <c r="E56" s="256">
        <v>2132.86384682774</v>
      </c>
      <c r="F56" s="254" t="s">
        <v>174</v>
      </c>
    </row>
    <row r="57" ht="16.5" spans="1:6">
      <c r="A57" s="258" t="s">
        <v>215</v>
      </c>
      <c r="B57" s="261">
        <v>56</v>
      </c>
      <c r="C57" s="258" t="s">
        <v>234</v>
      </c>
      <c r="D57" s="260">
        <v>2829.07598044249</v>
      </c>
      <c r="E57" s="256">
        <v>3536.34497555311</v>
      </c>
      <c r="F57" s="254" t="s">
        <v>174</v>
      </c>
    </row>
    <row r="58" ht="16.5" spans="1:6">
      <c r="A58" s="254" t="s">
        <v>215</v>
      </c>
      <c r="B58" s="262">
        <v>57</v>
      </c>
      <c r="C58" s="254" t="s">
        <v>235</v>
      </c>
      <c r="D58" s="256">
        <v>2783.47404182446</v>
      </c>
      <c r="E58" s="256">
        <v>3479.34255228057</v>
      </c>
      <c r="F58" s="254" t="s">
        <v>174</v>
      </c>
    </row>
    <row r="59" ht="16.5" spans="1:6">
      <c r="A59" s="254" t="s">
        <v>194</v>
      </c>
      <c r="B59" s="262">
        <v>58</v>
      </c>
      <c r="C59" s="254" t="s">
        <v>236</v>
      </c>
      <c r="D59" s="262">
        <v>1318.6</v>
      </c>
      <c r="E59" s="256">
        <v>2043.6</v>
      </c>
      <c r="F59" s="254" t="s">
        <v>174</v>
      </c>
    </row>
    <row r="60" ht="16.5" spans="1:6">
      <c r="A60" s="254" t="s">
        <v>177</v>
      </c>
      <c r="B60" s="262">
        <v>59</v>
      </c>
      <c r="C60" s="254" t="s">
        <v>237</v>
      </c>
      <c r="D60" s="256">
        <v>1701.1</v>
      </c>
      <c r="E60" s="256">
        <v>2479.02980766755</v>
      </c>
      <c r="F60" s="254" t="s">
        <v>174</v>
      </c>
    </row>
    <row r="61" ht="16.5" spans="1:6">
      <c r="A61" s="254" t="s">
        <v>177</v>
      </c>
      <c r="B61" s="262">
        <v>60</v>
      </c>
      <c r="C61" s="254" t="s">
        <v>238</v>
      </c>
      <c r="D61" s="256">
        <v>1521.59999999999</v>
      </c>
      <c r="E61" s="256">
        <v>2282.40879518824</v>
      </c>
      <c r="F61" s="254" t="s">
        <v>174</v>
      </c>
    </row>
    <row r="62" ht="16.5" spans="1:6">
      <c r="A62" s="254" t="s">
        <v>177</v>
      </c>
      <c r="B62" s="262">
        <v>61</v>
      </c>
      <c r="C62" s="254" t="s">
        <v>239</v>
      </c>
      <c r="D62" s="256">
        <v>2109.52895986243</v>
      </c>
      <c r="E62" s="256">
        <v>2869.29868756391</v>
      </c>
      <c r="F62" s="254" t="s">
        <v>174</v>
      </c>
    </row>
    <row r="63" ht="16.5" spans="1:6">
      <c r="A63" s="254" t="s">
        <v>177</v>
      </c>
      <c r="B63" s="262">
        <v>62</v>
      </c>
      <c r="C63" s="254" t="s">
        <v>240</v>
      </c>
      <c r="D63" s="256">
        <v>1866.4</v>
      </c>
      <c r="E63" s="256">
        <v>2646.53944981253</v>
      </c>
      <c r="F63" s="254" t="s">
        <v>174</v>
      </c>
    </row>
    <row r="64" ht="16.5" spans="1:6">
      <c r="A64" s="254" t="s">
        <v>196</v>
      </c>
      <c r="B64" s="262">
        <v>63</v>
      </c>
      <c r="C64" s="254" t="s">
        <v>241</v>
      </c>
      <c r="D64" s="256">
        <v>1485.7</v>
      </c>
      <c r="E64" s="256">
        <v>2243.5</v>
      </c>
      <c r="F64" s="254" t="s">
        <v>174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showGridLines="0" zoomScale="85" zoomScaleNormal="85" topLeftCell="B1" workbookViewId="0">
      <selection activeCell="F36" sqref="F36"/>
    </sheetView>
  </sheetViews>
  <sheetFormatPr defaultColWidth="8.625" defaultRowHeight="14"/>
  <cols>
    <col min="1" max="1" width="6" customWidth="1"/>
    <col min="2" max="2" width="18.75" customWidth="1"/>
    <col min="3" max="3" width="19" style="8" customWidth="1"/>
    <col min="4" max="4" width="15.125" style="8" customWidth="1"/>
    <col min="5" max="5" width="21.125" style="8" customWidth="1"/>
    <col min="6" max="6" width="19.125" style="8" customWidth="1"/>
    <col min="7" max="7" width="17.375" style="8" customWidth="1"/>
    <col min="8" max="8" width="15.125" customWidth="1"/>
    <col min="9" max="9" width="13.75" customWidth="1"/>
    <col min="10" max="11" width="11.125" customWidth="1"/>
    <col min="12" max="12" width="20" customWidth="1"/>
    <col min="13" max="13" width="14.125" customWidth="1"/>
    <col min="14" max="14" width="20.75" customWidth="1"/>
    <col min="15" max="15" width="16.5" customWidth="1"/>
    <col min="16" max="16" width="10.625" hidden="1" customWidth="1"/>
    <col min="17" max="17" width="12.625"/>
  </cols>
  <sheetData>
    <row r="1" ht="17.25" spans="1:16">
      <c r="A1" s="67"/>
      <c r="B1" s="189"/>
      <c r="C1" s="190"/>
      <c r="D1" s="190"/>
      <c r="E1" s="190"/>
    </row>
    <row r="2" ht="24" customHeight="1" spans="1:16">
      <c r="A2" s="67"/>
      <c r="B2" s="191" t="s">
        <v>242</v>
      </c>
      <c r="C2" s="192" t="s">
        <v>199</v>
      </c>
      <c r="D2" s="193" t="s">
        <v>243</v>
      </c>
      <c r="E2" s="194" t="s">
        <v>244</v>
      </c>
      <c r="F2"/>
      <c r="G2"/>
    </row>
    <row r="3" ht="17.25" spans="1:16">
      <c r="A3" s="67"/>
      <c r="B3" s="195" t="s">
        <v>245</v>
      </c>
      <c r="C3" s="196" t="s">
        <v>246</v>
      </c>
      <c r="D3" s="197" t="s">
        <v>247</v>
      </c>
      <c r="E3" s="98" t="s">
        <v>248</v>
      </c>
      <c r="F3" s="192" t="s">
        <v>249</v>
      </c>
      <c r="G3" s="192" t="s">
        <v>250</v>
      </c>
      <c r="H3" s="194" t="s">
        <v>251</v>
      </c>
      <c r="I3" s="198" t="s">
        <v>252</v>
      </c>
      <c r="J3" s="192" t="s">
        <v>253</v>
      </c>
      <c r="K3" s="199" t="s">
        <v>254</v>
      </c>
      <c r="L3" s="200" t="s">
        <v>255</v>
      </c>
      <c r="M3" s="192" t="s">
        <v>256</v>
      </c>
      <c r="N3" s="194" t="s">
        <v>257</v>
      </c>
      <c r="O3" s="201" t="s">
        <v>258</v>
      </c>
      <c r="P3" t="s">
        <v>259</v>
      </c>
    </row>
    <row r="4" ht="17.25" spans="1:16">
      <c r="A4" s="67"/>
      <c r="B4" s="202"/>
      <c r="C4" s="203" t="s">
        <v>260</v>
      </c>
      <c r="D4" s="203" t="s">
        <v>261</v>
      </c>
      <c r="E4" s="204" t="str">
        <f t="array" ref="E4">_xlfn.TEXTJOIN("&amp;",TRUE,_xlfn._xlws.FILTER('【3-2】大区&amp;运营中心填-房间模型价'!K2:K10,'【3-2】大区&amp;运营中心填-房间模型价'!K2:K10&lt;&gt;""))</f>
        <v>一居室&amp;开间</v>
      </c>
      <c r="F4" s="204">
        <f t="array" ref="F4">INT(LOOKUP(2,1/(NOT(ISBLANK('【3-2】大区&amp;运营中心填-房间模型价'!H:H))),'【3-2】大区&amp;运营中心填-房间模型价'!H:H)/100)</f>
        <v>7</v>
      </c>
      <c r="G4" s="205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49</v>
      </c>
      <c r="H4" s="206">
        <f>'【3-2】大区&amp;运营中心填-房间模型价'!G2</f>
        <v>6</v>
      </c>
      <c r="I4" s="207">
        <f>AVERAGEIF('【3-2】大区&amp;运营中心填-房间模型价'!J:J,"开间",'【3-2】大区&amp;运营中心填-房间模型价'!AM:AM)</f>
        <v>1427.14285714286</v>
      </c>
      <c r="J4" s="205">
        <f>AVERAGEIF('【3-2】大区&amp;运营中心填-房间模型价'!J:J,"一居室",'【3-2】大区&amp;运营中心填-房间模型价'!AM:AM)</f>
        <v>2035.71428571429</v>
      </c>
      <c r="K4" s="208">
        <f>SUMIF('【3-2】大区&amp;运营中心填-房间模型价'!A:A,E2,'【3-2】大区&amp;运营中心填-房间模型价'!AM:AM)/G4</f>
        <v>1397.14285714286</v>
      </c>
      <c r="L4" s="209">
        <f>AVERAGEIF('【3-2】大区&amp;运营中心填-房间模型价'!J:J,"开间",'【3-2】大区&amp;运营中心填-房间模型价'!N:N)</f>
        <v>13.2346428571429</v>
      </c>
      <c r="M4" s="205">
        <f>AVERAGEIF('【3-2】大区&amp;运营中心填-房间模型价'!J:J,"一居室",'【3-2】大区&amp;运营中心填-房间模型价'!N:N)</f>
        <v>20.2842857142857</v>
      </c>
      <c r="N4" s="210">
        <v>127.6</v>
      </c>
      <c r="O4" s="211">
        <v>876.93</v>
      </c>
      <c r="P4">
        <f>VLOOKUP(C2,piovt_各村均价!B:G,6,0)</f>
        <v>1426.06</v>
      </c>
    </row>
    <row r="5" ht="14.75" spans="1:16">
      <c r="A5" s="67"/>
    </row>
    <row r="6" ht="14.75" spans="1:16">
      <c r="A6" s="67"/>
    </row>
    <row r="7" ht="22.9" customHeight="1" spans="1:16">
      <c r="A7" s="67"/>
      <c r="B7" s="212" t="s">
        <v>262</v>
      </c>
      <c r="C7" s="213"/>
      <c r="D7" s="213"/>
      <c r="E7" s="214"/>
    </row>
    <row r="8" ht="17.25" spans="1:16">
      <c r="A8" s="67"/>
      <c r="B8" s="215" t="s">
        <v>263</v>
      </c>
      <c r="C8" s="200" t="s">
        <v>264</v>
      </c>
      <c r="D8" s="192" t="s">
        <v>265</v>
      </c>
      <c r="E8" s="192" t="s">
        <v>266</v>
      </c>
      <c r="F8" s="192" t="s">
        <v>267</v>
      </c>
      <c r="G8" s="192" t="s">
        <v>268</v>
      </c>
      <c r="H8" s="192" t="s">
        <v>269</v>
      </c>
      <c r="I8" s="216" t="s">
        <v>270</v>
      </c>
    </row>
    <row r="9" ht="18" customHeight="1" spans="1:16">
      <c r="A9" s="67"/>
      <c r="B9" s="217"/>
      <c r="C9" s="218"/>
      <c r="D9" s="36">
        <v>52.6616489907629</v>
      </c>
      <c r="E9" s="36">
        <f>(D9+18)/0.9</f>
        <v>78.5129433230699</v>
      </c>
      <c r="F9" s="36">
        <f>SUMIF('【3-2】大区&amp;运营中心填-房间模型价'!A:A,E2,'【3-2】大区&amp;运营中心填-房间模型价'!AM:AM)/O4</f>
        <v>78.0678047278574</v>
      </c>
      <c r="G9" s="180">
        <f>F9/D9</f>
        <v>1.48244132540458</v>
      </c>
      <c r="H9" s="219">
        <f>F9/E9</f>
        <v>0.994330379471563</v>
      </c>
      <c r="I9" s="220" t="str">
        <f>IF(H9&lt;1,"不通过","通过")</f>
        <v>不通过</v>
      </c>
    </row>
    <row r="10" ht="6" customHeight="1" spans="1:16">
      <c r="A10" s="67"/>
      <c r="B10" s="217"/>
      <c r="C10" s="218"/>
      <c r="D10" s="18"/>
      <c r="E10" s="18"/>
      <c r="F10" s="18"/>
      <c r="G10" s="18"/>
      <c r="H10" s="18"/>
      <c r="I10" s="221"/>
    </row>
    <row r="11" ht="16.5" spans="1:16">
      <c r="A11" s="67"/>
      <c r="B11" s="217"/>
      <c r="C11" s="218" t="s">
        <v>271</v>
      </c>
      <c r="D11" s="36" t="s">
        <v>272</v>
      </c>
      <c r="E11" s="36" t="s">
        <v>273</v>
      </c>
      <c r="F11" s="36" t="s">
        <v>274</v>
      </c>
      <c r="G11" s="18" t="s">
        <v>268</v>
      </c>
      <c r="H11" s="18" t="s">
        <v>269</v>
      </c>
      <c r="I11" s="220" t="s">
        <v>270</v>
      </c>
    </row>
    <row r="12" ht="21" customHeight="1" spans="1:16">
      <c r="A12" s="67"/>
      <c r="B12" s="222"/>
      <c r="C12" s="223"/>
      <c r="D12" s="205">
        <f>(VLOOKUP(C2,piovt_各村均价!B:H,7,0)+O4*D9)/(VLOOKUP(C2,piovt_各村均价!B:G,6,0)+O4)</f>
        <v>51.3691244206313</v>
      </c>
      <c r="E12" s="205">
        <f>(D12+18)/0.9</f>
        <v>77.0768049118126</v>
      </c>
      <c r="F12" s="205">
        <f>(VLOOKUP(C2,piovt_各村均价!B:E,4,0)*P4+F9*O4)/(O4+P4)</f>
        <v>80.3320900221017</v>
      </c>
      <c r="G12" s="224">
        <f>F12/D12</f>
        <v>1.56382050362217</v>
      </c>
      <c r="H12" s="224">
        <f>F12/E12</f>
        <v>1.04223430270642</v>
      </c>
      <c r="I12" s="225" t="str">
        <f>IF(H12&lt;1.05,"不通过","通过")</f>
        <v>不通过</v>
      </c>
    </row>
    <row r="13" ht="13.15" customHeight="1" spans="1:16">
      <c r="A13" s="67"/>
      <c r="B13" s="226"/>
    </row>
    <row r="14" ht="12" customHeight="1" spans="1:16">
      <c r="A14" s="67"/>
      <c r="B14" s="227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</row>
    <row r="15" ht="14.75" spans="1:16">
      <c r="A15" s="67"/>
      <c r="B15" s="228" t="s">
        <v>275</v>
      </c>
      <c r="C15" s="229" t="s">
        <v>276</v>
      </c>
      <c r="D15" s="192" t="s">
        <v>277</v>
      </c>
      <c r="E15" s="192" t="s">
        <v>278</v>
      </c>
      <c r="F15" s="192"/>
      <c r="G15" s="192"/>
      <c r="H15" s="192"/>
      <c r="I15" s="192"/>
      <c r="J15" s="192" t="s">
        <v>279</v>
      </c>
      <c r="K15" s="192" t="s">
        <v>280</v>
      </c>
      <c r="L15" s="230" t="s">
        <v>281</v>
      </c>
      <c r="M15" s="216" t="s">
        <v>270</v>
      </c>
    </row>
    <row r="16" spans="1:16">
      <c r="A16" s="67"/>
      <c r="B16" s="231"/>
      <c r="C16" s="232"/>
      <c r="D16" s="18"/>
      <c r="E16" s="18"/>
      <c r="F16" s="18"/>
      <c r="G16" s="18"/>
      <c r="H16" s="18"/>
      <c r="I16" s="18"/>
      <c r="J16" s="18"/>
      <c r="K16" s="18"/>
      <c r="L16" s="233"/>
      <c r="M16" s="220"/>
    </row>
    <row r="17" ht="19.15" customHeight="1" spans="1:15">
      <c r="A17" s="67"/>
      <c r="B17" s="231"/>
      <c r="C17" s="232"/>
      <c r="D17" s="18"/>
      <c r="E17" s="18"/>
      <c r="F17" s="18"/>
      <c r="G17" s="18"/>
      <c r="H17" s="18"/>
      <c r="I17" s="18"/>
      <c r="J17" s="18"/>
      <c r="K17" s="18"/>
      <c r="L17" s="97"/>
      <c r="M17" s="234" t="e">
        <f>L17/J17</f>
        <v>#DIV/0!</v>
      </c>
    </row>
    <row r="18" ht="16.5" spans="1:15">
      <c r="A18" s="67"/>
      <c r="B18" s="231"/>
      <c r="C18" s="232"/>
      <c r="D18" s="18"/>
      <c r="E18" s="18"/>
      <c r="F18" s="18"/>
      <c r="G18" s="18"/>
      <c r="H18" s="18"/>
      <c r="I18" s="18"/>
      <c r="J18" s="18"/>
      <c r="K18" s="18"/>
      <c r="L18" s="97"/>
      <c r="M18" s="234" t="e">
        <f>L18/J18</f>
        <v>#DIV/0!</v>
      </c>
    </row>
    <row r="19" ht="17.25" spans="1:15">
      <c r="A19" s="67"/>
      <c r="B19" s="235"/>
      <c r="C19" s="236"/>
      <c r="D19" s="204"/>
      <c r="E19" s="204"/>
      <c r="F19" s="204"/>
      <c r="G19" s="204"/>
      <c r="H19" s="204"/>
      <c r="I19" s="204"/>
      <c r="J19" s="204"/>
      <c r="K19" s="204"/>
      <c r="L19" s="237"/>
      <c r="M19" s="238" t="e">
        <f>L19/J19</f>
        <v>#DIV/0!</v>
      </c>
    </row>
    <row r="20" ht="15.5" spans="1:15">
      <c r="B20" s="239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</row>
    <row r="21" ht="17.25" spans="1:15">
      <c r="B21" s="215" t="s">
        <v>282</v>
      </c>
      <c r="C21" s="200" t="s">
        <v>283</v>
      </c>
      <c r="D21" s="240" t="s">
        <v>284</v>
      </c>
      <c r="E21" s="240" t="s">
        <v>285</v>
      </c>
      <c r="F21" s="241" t="s">
        <v>270</v>
      </c>
      <c r="G21" s="216"/>
    </row>
    <row r="22" spans="1:15">
      <c r="B22" s="217"/>
      <c r="C22" s="218"/>
      <c r="D22" s="242">
        <f>MIN('【3-2】大区&amp;运营中心填-房间模型价'!AN:AN)</f>
        <v>-0.0766579817362654</v>
      </c>
      <c r="E22" s="242">
        <f>MAX('【3-2】大区&amp;运营中心填-房间模型价'!AN:AN)</f>
        <v>-0.00497748295000155</v>
      </c>
      <c r="F22" s="12" t="str">
        <f>IF(OR(D22&lt;-10%,E22&gt;10%),"不通过","通过")</f>
        <v>通过</v>
      </c>
      <c r="G22" s="243"/>
      <c r="I22" s="67"/>
    </row>
    <row r="23" ht="14.75" spans="1:15">
      <c r="B23" s="217"/>
      <c r="C23" s="223"/>
      <c r="D23" s="244"/>
      <c r="E23" s="244"/>
      <c r="F23" s="245"/>
      <c r="G23" s="246"/>
      <c r="I23" s="67"/>
    </row>
    <row r="24" ht="15.5" spans="1:15">
      <c r="B24" s="217"/>
      <c r="C24" s="247"/>
      <c r="D24" s="17"/>
      <c r="E24" s="17"/>
      <c r="F24" s="17"/>
      <c r="G24" s="248"/>
      <c r="H24" s="17"/>
      <c r="I24" s="17"/>
      <c r="J24" s="17"/>
      <c r="K24" s="17"/>
      <c r="L24" s="17"/>
      <c r="M24" s="17"/>
      <c r="N24" s="17"/>
      <c r="O24" s="17"/>
    </row>
    <row r="25" ht="18" customHeight="1" spans="1:15">
      <c r="B25" s="217"/>
      <c r="C25" s="249" t="s">
        <v>286</v>
      </c>
      <c r="D25" s="240" t="s">
        <v>287</v>
      </c>
      <c r="E25" s="240" t="s">
        <v>288</v>
      </c>
      <c r="F25" s="241" t="s">
        <v>270</v>
      </c>
      <c r="G25" s="216"/>
      <c r="I25" s="67"/>
    </row>
    <row r="26" ht="34.15" customHeight="1" spans="1:15">
      <c r="B26" s="222"/>
      <c r="C26" s="250"/>
      <c r="D26" s="251">
        <f>AVERAGE('【3-2】大区&amp;运营中心填-房间模型价'!AL:AL)</f>
        <v>1686.12425722514</v>
      </c>
      <c r="E26" s="251">
        <f>AVERAGE('【3-2】大区&amp;运营中心填-房间模型价'!AM:AM)</f>
        <v>1630</v>
      </c>
      <c r="F26" s="244">
        <f>E26/D26</f>
        <v>0.966714044362599</v>
      </c>
      <c r="G26" s="238"/>
      <c r="I26" s="67"/>
    </row>
    <row r="27" ht="14.75"/>
    <row r="35" spans="8:8">
      <c r="H35" s="8"/>
    </row>
    <row r="36" spans="8:8">
      <c r="H36" s="8"/>
    </row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9"/>
  <sheetViews>
    <sheetView workbookViewId="0">
      <selection activeCell="A70" sqref="A70"/>
    </sheetView>
  </sheetViews>
  <sheetFormatPr defaultColWidth="8.5" defaultRowHeight="14"/>
  <cols>
    <col min="1" max="1" width="1.375" customWidth="1"/>
    <col min="2" max="2" width="12.5" customWidth="1"/>
    <col min="3" max="3" width="20.375" customWidth="1"/>
    <col min="4" max="4" width="16.375" customWidth="1"/>
    <col min="5" max="5" width="16.625" customWidth="1"/>
    <col min="6" max="6" width="10.625" customWidth="1"/>
    <col min="7" max="7" width="11.625" customWidth="1"/>
    <col min="8" max="8" width="10.375" customWidth="1"/>
    <col min="9" max="9" width="11.625" customWidth="1"/>
    <col min="10" max="10" width="10.5" style="8" hidden="1" customWidth="1"/>
    <col min="11" max="11" width="12.125" customWidth="1"/>
  </cols>
  <sheetData>
    <row r="1" ht="9.75" customHeight="1"/>
    <row r="2" ht="16.5" spans="2:11">
      <c r="B2" s="18" t="s">
        <v>289</v>
      </c>
      <c r="C2" s="12" t="s">
        <v>290</v>
      </c>
      <c r="D2" s="8"/>
      <c r="E2" s="8"/>
      <c r="F2" s="8"/>
      <c r="G2" s="8"/>
      <c r="H2" s="8"/>
      <c r="I2" s="8"/>
    </row>
    <row r="3" spans="2:11">
      <c r="B3" s="18" t="s">
        <v>291</v>
      </c>
      <c r="C3" s="169" t="s">
        <v>246</v>
      </c>
      <c r="D3" s="170" t="s">
        <v>292</v>
      </c>
      <c r="E3" s="171" t="s">
        <v>248</v>
      </c>
      <c r="F3" s="8"/>
      <c r="G3" s="8"/>
      <c r="H3" s="8"/>
      <c r="I3" s="8"/>
    </row>
    <row r="4" ht="25.15" customHeight="1" spans="2:11">
      <c r="B4" s="18"/>
      <c r="C4" s="12" t="s">
        <v>54</v>
      </c>
      <c r="D4" s="172" t="s">
        <v>54</v>
      </c>
      <c r="E4" s="12" t="s">
        <v>293</v>
      </c>
      <c r="F4" s="8"/>
      <c r="G4" s="8"/>
      <c r="H4" s="8"/>
      <c r="I4" s="8"/>
    </row>
    <row r="5" ht="22.9" customHeight="1" spans="2:11">
      <c r="B5" s="8"/>
      <c r="C5" s="8"/>
      <c r="D5" s="8"/>
      <c r="E5" s="8"/>
      <c r="F5" s="8"/>
      <c r="G5" s="8"/>
      <c r="H5" s="8"/>
      <c r="I5" s="8"/>
    </row>
    <row r="6" ht="21.75" customHeight="1" spans="2:11">
      <c r="B6" s="20" t="s">
        <v>249</v>
      </c>
      <c r="C6" s="20" t="s">
        <v>250</v>
      </c>
      <c r="D6" s="20" t="s">
        <v>251</v>
      </c>
      <c r="E6" s="20" t="s">
        <v>252</v>
      </c>
      <c r="F6" s="20" t="s">
        <v>253</v>
      </c>
      <c r="G6" s="20" t="s">
        <v>254</v>
      </c>
      <c r="H6" s="20" t="s">
        <v>257</v>
      </c>
      <c r="I6" s="20" t="s">
        <v>258</v>
      </c>
      <c r="J6" s="173" t="s">
        <v>287</v>
      </c>
    </row>
    <row r="7" ht="24" customHeight="1" spans="2:11">
      <c r="B7" s="18">
        <v>5</v>
      </c>
      <c r="C7" s="36">
        <v>34</v>
      </c>
      <c r="D7" s="36">
        <v>7.5</v>
      </c>
      <c r="E7" s="36">
        <f>AVERAGEIF('【3-2】大区&amp;运营中心填-房间模型价'!J:J,"开间",'【3-2】大区&amp;运营中心填-房间模型价'!AM:AM)</f>
        <v>1427.14285714286</v>
      </c>
      <c r="F7" s="36">
        <f>AVERAGEIF('【3-2】大区&amp;运营中心填-房间模型价'!J:J,"一居室",'【3-2】大区&amp;运营中心填-房间模型价'!AM:AM)</f>
        <v>2035.71428571429</v>
      </c>
      <c r="G7" s="36">
        <v>1681.05882352941</v>
      </c>
      <c r="H7" s="174">
        <v>135.73</v>
      </c>
      <c r="I7" s="174">
        <v>662</v>
      </c>
      <c r="J7" s="36">
        <f>SUMIF('【3-2】大区&amp;运营中心填-房间模型价'!A:A,C2,'【3-2】大区&amp;运营中心填-房间模型价'!AL:AL)/C7</f>
        <v>0</v>
      </c>
    </row>
    <row r="8" ht="25.9" customHeight="1" spans="2:11">
      <c r="B8" s="8"/>
      <c r="C8" s="8"/>
      <c r="D8" s="8"/>
      <c r="E8" s="8"/>
      <c r="F8" s="8"/>
      <c r="G8" s="8"/>
      <c r="H8" s="8"/>
      <c r="I8" s="8"/>
    </row>
    <row r="9" s="8" customFormat="1" ht="24" customHeight="1" spans="2:11">
      <c r="B9" s="18"/>
      <c r="C9" s="175" t="s">
        <v>294</v>
      </c>
      <c r="D9" s="175" t="s">
        <v>295</v>
      </c>
      <c r="E9" s="176" t="s">
        <v>296</v>
      </c>
      <c r="F9" s="177" t="s">
        <v>267</v>
      </c>
      <c r="G9" s="177" t="s">
        <v>268</v>
      </c>
      <c r="H9" s="177" t="s">
        <v>269</v>
      </c>
    </row>
    <row r="10" ht="28.9" customHeight="1" spans="2:11">
      <c r="B10" s="18" t="s">
        <v>297</v>
      </c>
      <c r="C10" s="178">
        <v>45</v>
      </c>
      <c r="D10" s="178">
        <v>55</v>
      </c>
      <c r="E10" s="179">
        <f>(C10+21)/0.96</f>
        <v>68.75</v>
      </c>
      <c r="F10" s="179">
        <f>SUMIF('【3-2】大区&amp;运营中心填-房间模型价'!A:A,C2,'【3-2】大区&amp;运营中心填-房间模型价'!AM:AM)/I7</f>
        <v>0</v>
      </c>
      <c r="G10" s="180">
        <f>F10/C10</f>
        <v>0</v>
      </c>
      <c r="H10" s="181">
        <f>F10/E10</f>
        <v>0</v>
      </c>
      <c r="K10" s="8"/>
    </row>
    <row r="11" ht="18" customHeight="1" spans="2:11">
      <c r="B11" s="182" t="s">
        <v>30</v>
      </c>
      <c r="C11" s="182" t="s">
        <v>298</v>
      </c>
      <c r="D11" s="182"/>
    </row>
    <row r="12" ht="19.15" customHeight="1" spans="2:11">
      <c r="B12" s="183" t="s">
        <v>277</v>
      </c>
      <c r="C12" s="184" t="s">
        <v>299</v>
      </c>
      <c r="D12" s="185"/>
      <c r="E12" s="185"/>
      <c r="F12" s="186"/>
      <c r="G12" s="183" t="s">
        <v>300</v>
      </c>
      <c r="H12" s="18" t="s">
        <v>301</v>
      </c>
      <c r="I12" s="8"/>
      <c r="J12"/>
    </row>
    <row r="13" ht="21" customHeight="1" spans="2:11">
      <c r="B13" s="18" t="s">
        <v>302</v>
      </c>
      <c r="C13" s="18" t="s">
        <v>303</v>
      </c>
      <c r="D13" s="18" t="s">
        <v>304</v>
      </c>
      <c r="E13" s="18" t="s">
        <v>305</v>
      </c>
      <c r="F13" s="18" t="s">
        <v>306</v>
      </c>
      <c r="G13" s="18">
        <v>1533</v>
      </c>
      <c r="H13" s="180">
        <f>E7/G13</f>
        <v>0.930947721554375</v>
      </c>
      <c r="I13" s="8"/>
      <c r="J13"/>
    </row>
    <row r="14" ht="16.5" spans="2:11">
      <c r="B14" s="18" t="s">
        <v>302</v>
      </c>
      <c r="C14" s="18" t="s">
        <v>307</v>
      </c>
      <c r="D14" s="18" t="s">
        <v>304</v>
      </c>
      <c r="E14" s="18" t="s">
        <v>305</v>
      </c>
      <c r="F14" s="18" t="s">
        <v>306</v>
      </c>
      <c r="G14" s="18">
        <v>1619</v>
      </c>
      <c r="H14" s="180">
        <f>E7/G14</f>
        <v>0.881496514603371</v>
      </c>
      <c r="I14" s="8"/>
      <c r="J14"/>
    </row>
    <row r="15" ht="19.9" customHeight="1" spans="2:11">
      <c r="B15" s="187" t="s">
        <v>302</v>
      </c>
      <c r="C15" s="187" t="s">
        <v>308</v>
      </c>
      <c r="D15" s="187" t="s">
        <v>304</v>
      </c>
      <c r="E15" s="187" t="s">
        <v>305</v>
      </c>
      <c r="F15" s="187" t="s">
        <v>306</v>
      </c>
      <c r="G15" s="187">
        <v>2202</v>
      </c>
      <c r="H15" s="180">
        <f>F7/G15</f>
        <v>0.924484235110938</v>
      </c>
      <c r="I15" s="8"/>
      <c r="J15"/>
    </row>
    <row r="21" ht="16.5" spans="3:5">
      <c r="C21" s="95" t="s">
        <v>309</v>
      </c>
      <c r="D21" s="187" t="s">
        <v>310</v>
      </c>
      <c r="E21" s="67"/>
    </row>
    <row r="22" ht="16.5" spans="3:5">
      <c r="C22" s="98"/>
      <c r="D22" s="187" t="s">
        <v>311</v>
      </c>
      <c r="E22" s="67"/>
    </row>
    <row r="23" ht="16.5" spans="3:5">
      <c r="C23" s="187"/>
      <c r="D23" s="187"/>
      <c r="E23" s="67"/>
    </row>
    <row r="24" ht="16.5" spans="3:5">
      <c r="C24" s="187"/>
      <c r="D24" s="187"/>
      <c r="E24" s="67"/>
    </row>
    <row r="25" ht="16.5" spans="3:5">
      <c r="C25" s="187"/>
      <c r="D25" s="187"/>
      <c r="E25" s="67"/>
    </row>
    <row r="26" ht="16.5" spans="3:5">
      <c r="C26" s="187"/>
      <c r="D26" s="187"/>
      <c r="E26" s="67"/>
    </row>
    <row r="27" ht="16.5" spans="3:5">
      <c r="C27" s="188"/>
      <c r="D27" s="188"/>
    </row>
    <row r="28" ht="16.5" spans="3:5">
      <c r="C28" s="188"/>
      <c r="D28" s="188"/>
    </row>
    <row r="29" ht="16.5" spans="3:5">
      <c r="C29" s="188"/>
      <c r="D29" s="188"/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70" sqref="A70"/>
    </sheetView>
  </sheetViews>
  <sheetFormatPr defaultColWidth="9" defaultRowHeight="14"/>
  <cols>
    <col min="1" max="1" width="21.125" customWidth="1"/>
    <col min="2" max="2" width="9.625" customWidth="1"/>
    <col min="3" max="3" width="9" style="159" customWidth="1"/>
    <col min="4" max="4" width="8.5" customWidth="1"/>
    <col min="5" max="5" width="9" customWidth="1"/>
    <col min="6" max="9" width="7.625" customWidth="1"/>
    <col min="10" max="11" width="4.5" customWidth="1"/>
    <col min="12" max="12" width="7.375" customWidth="1"/>
    <col min="13" max="13" width="6.125" customWidth="1"/>
    <col min="14" max="15" width="7.625" customWidth="1"/>
    <col min="16" max="17" width="4.5" customWidth="1"/>
    <col min="18" max="18" width="7.625" customWidth="1"/>
    <col min="19" max="21" width="4.5" customWidth="1"/>
  </cols>
  <sheetData>
    <row r="1" s="158" customFormat="1" spans="1:21">
      <c r="A1" s="158" t="s">
        <v>277</v>
      </c>
      <c r="B1" s="158" t="s">
        <v>312</v>
      </c>
      <c r="C1" s="160" t="s">
        <v>313</v>
      </c>
    </row>
    <row r="2" spans="1:21">
      <c r="A2" t="s">
        <v>314</v>
      </c>
      <c r="B2" t="s">
        <v>315</v>
      </c>
      <c r="C2" s="161">
        <v>46.3</v>
      </c>
    </row>
    <row r="3" spans="1:21">
      <c r="A3" t="s">
        <v>316</v>
      </c>
      <c r="B3" t="s">
        <v>317</v>
      </c>
      <c r="C3" s="161">
        <v>18.9</v>
      </c>
    </row>
    <row r="4" spans="1:21">
      <c r="A4" t="s">
        <v>318</v>
      </c>
      <c r="B4" t="s">
        <v>319</v>
      </c>
      <c r="C4" s="159">
        <v>2500</v>
      </c>
    </row>
    <row r="5" spans="1:21">
      <c r="A5" t="s">
        <v>320</v>
      </c>
      <c r="B5" t="s">
        <v>321</v>
      </c>
      <c r="C5" s="159">
        <v>10</v>
      </c>
    </row>
    <row r="6" spans="1:21">
      <c r="A6" t="s">
        <v>322</v>
      </c>
      <c r="B6" t="s">
        <v>323</v>
      </c>
      <c r="C6" s="162">
        <v>0.98</v>
      </c>
    </row>
    <row r="7" spans="1:21">
      <c r="A7" t="s">
        <v>324</v>
      </c>
      <c r="B7" t="s">
        <v>325</v>
      </c>
      <c r="C7" s="159">
        <f>(C2*C3+C4*C3/C5/12)/C6</f>
        <v>1294.71428571429</v>
      </c>
    </row>
    <row r="8" spans="1:21">
      <c r="A8" t="s">
        <v>326</v>
      </c>
      <c r="B8" t="s">
        <v>323</v>
      </c>
      <c r="C8" s="162">
        <v>1</v>
      </c>
    </row>
    <row r="9" spans="1:21">
      <c r="A9" t="s">
        <v>327</v>
      </c>
      <c r="B9" t="s">
        <v>325</v>
      </c>
      <c r="C9" s="163"/>
    </row>
    <row r="10" spans="1:21">
      <c r="A10" t="s">
        <v>328</v>
      </c>
      <c r="B10" t="s">
        <v>323</v>
      </c>
      <c r="C10" s="159">
        <f>1-C8</f>
        <v>0</v>
      </c>
    </row>
    <row r="11" s="158" customFormat="1" spans="1:21">
      <c r="A11" s="158" t="s">
        <v>31</v>
      </c>
      <c r="B11" t="s">
        <v>325</v>
      </c>
      <c r="C11" s="160">
        <f>C7*C8+C9*C10</f>
        <v>1294.71428571429</v>
      </c>
    </row>
    <row r="12" ht="29" spans="1:21">
      <c r="C12" s="159" t="s">
        <v>37</v>
      </c>
      <c r="D12" t="s">
        <v>254</v>
      </c>
      <c r="F12" s="164" t="s">
        <v>329</v>
      </c>
      <c r="G12" s="165" t="s">
        <v>330</v>
      </c>
      <c r="H12" s="165" t="s">
        <v>148</v>
      </c>
      <c r="I12" s="165" t="s">
        <v>331</v>
      </c>
      <c r="J12" s="165" t="s">
        <v>332</v>
      </c>
      <c r="K12" s="165" t="s">
        <v>167</v>
      </c>
      <c r="L12" s="165" t="s">
        <v>333</v>
      </c>
      <c r="M12" s="165" t="s">
        <v>334</v>
      </c>
      <c r="N12" s="165" t="s">
        <v>335</v>
      </c>
      <c r="O12" s="165" t="s">
        <v>57</v>
      </c>
      <c r="P12" s="165" t="s">
        <v>336</v>
      </c>
      <c r="Q12" s="165" t="s">
        <v>67</v>
      </c>
      <c r="R12" s="165" t="s">
        <v>68</v>
      </c>
      <c r="S12" s="165" t="s">
        <v>337</v>
      </c>
      <c r="T12" s="165" t="s">
        <v>119</v>
      </c>
      <c r="U12" s="165" t="s">
        <v>154</v>
      </c>
    </row>
    <row r="13" spans="1:21">
      <c r="A13" s="109" t="s">
        <v>338</v>
      </c>
      <c r="B13" t="s">
        <v>339</v>
      </c>
      <c r="C13" s="159">
        <v>1325</v>
      </c>
      <c r="D13" s="166">
        <f>C13/1</f>
        <v>1325</v>
      </c>
      <c r="E13" s="167"/>
      <c r="F13" s="126" t="s">
        <v>27</v>
      </c>
      <c r="G13" s="124" t="s">
        <v>152</v>
      </c>
      <c r="H13" s="124" t="s">
        <v>149</v>
      </c>
      <c r="I13" s="124" t="s">
        <v>340</v>
      </c>
      <c r="J13" s="124" t="s">
        <v>54</v>
      </c>
      <c r="K13" s="124" t="s">
        <v>54</v>
      </c>
      <c r="L13" s="124" t="s">
        <v>54</v>
      </c>
      <c r="M13" s="124" t="s">
        <v>341</v>
      </c>
      <c r="N13" s="124" t="s">
        <v>63</v>
      </c>
      <c r="O13" s="124" t="s">
        <v>63</v>
      </c>
      <c r="P13" s="125" t="s">
        <v>63</v>
      </c>
      <c r="Q13" s="124" t="s">
        <v>54</v>
      </c>
      <c r="R13" s="124" t="s">
        <v>342</v>
      </c>
      <c r="S13" s="124" t="s">
        <v>63</v>
      </c>
      <c r="T13" s="124" t="s">
        <v>63</v>
      </c>
      <c r="U13" s="124" t="s">
        <v>63</v>
      </c>
    </row>
    <row r="14" spans="1:21">
      <c r="A14" s="109" t="s">
        <v>343</v>
      </c>
      <c r="B14" t="s">
        <v>339</v>
      </c>
      <c r="C14" s="159">
        <v>1200</v>
      </c>
      <c r="D14" s="166">
        <f t="shared" ref="D14" si="0">C14/1</f>
        <v>1200</v>
      </c>
      <c r="F14" s="168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</row>
    <row r="15" spans="1:21">
      <c r="A15" s="109" t="s">
        <v>344</v>
      </c>
      <c r="B15" t="s">
        <v>339</v>
      </c>
      <c r="C15" s="163">
        <v>1850</v>
      </c>
      <c r="D15" s="166">
        <f>C15/1.5</f>
        <v>1233.33333333333</v>
      </c>
    </row>
    <row r="16" spans="1:21">
      <c r="A16" s="109" t="s">
        <v>345</v>
      </c>
      <c r="B16" t="s">
        <v>339</v>
      </c>
      <c r="C16" s="163">
        <v>1650</v>
      </c>
      <c r="D16" s="166">
        <f>C16/1.5</f>
        <v>1100</v>
      </c>
      <c r="E16" s="167"/>
    </row>
    <row r="17" spans="1:4">
      <c r="A17" s="109" t="s">
        <v>346</v>
      </c>
      <c r="B17" t="s">
        <v>339</v>
      </c>
      <c r="D17" s="166">
        <f t="shared" ref="D17" si="1">C17/1.5</f>
        <v>0</v>
      </c>
    </row>
    <row r="18" spans="1:4">
      <c r="A18" s="109" t="s">
        <v>347</v>
      </c>
      <c r="B18" t="s">
        <v>339</v>
      </c>
      <c r="D18" s="166">
        <f>C18/2</f>
        <v>0</v>
      </c>
    </row>
    <row r="19" spans="1:4">
      <c r="A19" s="109" t="s">
        <v>348</v>
      </c>
      <c r="B19" t="s">
        <v>339</v>
      </c>
      <c r="D19" s="166">
        <f>C19/1</f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5" defaultRowHeight="13"/>
  <cols>
    <col min="1" max="1" width="11.625" style="111" customWidth="1"/>
    <col min="2" max="2" width="19" style="111" customWidth="1"/>
    <col min="3" max="3" width="19" style="112" customWidth="1"/>
    <col min="4" max="4" width="7.5" style="111" customWidth="1"/>
    <col min="5" max="5" width="7.5" style="113" customWidth="1"/>
    <col min="6" max="6" width="9.5" style="111" customWidth="1"/>
    <col min="7" max="7" width="7.625" style="111" customWidth="1"/>
    <col min="8" max="8" width="9" style="111" customWidth="1"/>
    <col min="9" max="10" width="6.375" style="111" customWidth="1"/>
    <col min="11" max="11" width="7.375" style="111" customWidth="1"/>
    <col min="12" max="12" width="6.375" style="111" customWidth="1"/>
    <col min="13" max="14" width="7.625" style="111" customWidth="1"/>
    <col min="15" max="15" width="7" style="111" customWidth="1"/>
    <col min="16" max="16" width="6.375" style="111" customWidth="1"/>
    <col min="17" max="17" width="7.625" style="111" customWidth="1"/>
    <col min="18" max="18" width="8.5" style="111" customWidth="1"/>
    <col min="19" max="19" width="7" style="111" customWidth="1"/>
    <col min="20" max="20" width="6.5" style="111" customWidth="1"/>
    <col min="21" max="22" width="8.5" style="111"/>
    <col min="23" max="23" width="13.125" style="111" customWidth="1"/>
    <col min="24" max="24" width="19.125" style="111" customWidth="1"/>
    <col min="25" max="25" width="12.125" style="111" customWidth="1"/>
    <col min="26" max="26" width="15.625" style="111" customWidth="1"/>
    <col min="27" max="16384" width="8.5" style="111"/>
  </cols>
  <sheetData>
    <row r="1" ht="16.25" spans="2:21">
      <c r="F1" s="114" t="s">
        <v>349</v>
      </c>
      <c r="G1" s="114"/>
      <c r="H1" s="114"/>
      <c r="I1" s="114"/>
      <c r="J1" s="114"/>
      <c r="K1" s="114"/>
      <c r="L1" s="114"/>
      <c r="M1" s="114"/>
      <c r="N1" s="114" t="s">
        <v>350</v>
      </c>
      <c r="O1" s="114"/>
      <c r="P1" s="114"/>
      <c r="Q1" s="114"/>
      <c r="R1" s="114"/>
      <c r="S1" s="114"/>
      <c r="T1" s="114"/>
    </row>
    <row r="2" ht="26" spans="2:21">
      <c r="B2" s="115"/>
      <c r="C2" s="116"/>
      <c r="D2" s="117"/>
      <c r="E2" s="118" t="e">
        <f>MEDIAN(E8:E54)</f>
        <v>#REF!</v>
      </c>
      <c r="F2" s="119" t="s">
        <v>330</v>
      </c>
      <c r="G2" s="119" t="s">
        <v>148</v>
      </c>
      <c r="H2" s="119" t="s">
        <v>331</v>
      </c>
      <c r="I2" s="119" t="s">
        <v>332</v>
      </c>
      <c r="J2" s="119" t="s">
        <v>167</v>
      </c>
      <c r="K2" s="119" t="s">
        <v>351</v>
      </c>
      <c r="L2" s="119" t="s">
        <v>334</v>
      </c>
      <c r="M2" s="119" t="s">
        <v>335</v>
      </c>
      <c r="N2" s="120" t="s">
        <v>57</v>
      </c>
      <c r="O2" s="120" t="s">
        <v>336</v>
      </c>
      <c r="P2" s="120" t="s">
        <v>67</v>
      </c>
      <c r="Q2" s="120" t="s">
        <v>68</v>
      </c>
      <c r="R2" s="120" t="s">
        <v>337</v>
      </c>
      <c r="S2" s="120" t="s">
        <v>119</v>
      </c>
      <c r="T2" s="120" t="s">
        <v>154</v>
      </c>
    </row>
    <row r="3" spans="2:21">
      <c r="B3" s="121" t="s">
        <v>352</v>
      </c>
      <c r="C3" s="122"/>
      <c r="D3" s="121"/>
      <c r="E3" s="123"/>
      <c r="F3" s="124" t="s">
        <v>152</v>
      </c>
      <c r="G3" s="124" t="s">
        <v>149</v>
      </c>
      <c r="H3" s="124" t="s">
        <v>340</v>
      </c>
      <c r="I3" s="124" t="s">
        <v>54</v>
      </c>
      <c r="J3" s="124" t="s">
        <v>54</v>
      </c>
      <c r="K3" s="124" t="s">
        <v>54</v>
      </c>
      <c r="L3" s="124" t="s">
        <v>341</v>
      </c>
      <c r="M3" s="124" t="s">
        <v>63</v>
      </c>
      <c r="N3" s="124" t="s">
        <v>63</v>
      </c>
      <c r="O3" s="125" t="s">
        <v>63</v>
      </c>
      <c r="P3" s="124" t="s">
        <v>54</v>
      </c>
      <c r="Q3" s="124" t="s">
        <v>342</v>
      </c>
      <c r="R3" s="124" t="s">
        <v>63</v>
      </c>
      <c r="S3" s="124" t="s">
        <v>63</v>
      </c>
      <c r="T3" s="124" t="s">
        <v>63</v>
      </c>
    </row>
    <row r="4" spans="2:21">
      <c r="B4" s="126" t="s">
        <v>353</v>
      </c>
      <c r="C4" s="127"/>
      <c r="D4" s="126"/>
      <c r="E4" s="128"/>
      <c r="F4" s="124" t="s">
        <v>151</v>
      </c>
      <c r="G4" s="124" t="s">
        <v>149</v>
      </c>
      <c r="H4" s="124" t="s">
        <v>340</v>
      </c>
      <c r="I4" s="124" t="s">
        <v>54</v>
      </c>
      <c r="J4" s="124" t="s">
        <v>54</v>
      </c>
      <c r="K4" s="124" t="s">
        <v>54</v>
      </c>
      <c r="L4" s="124" t="s">
        <v>341</v>
      </c>
      <c r="M4" s="124" t="s">
        <v>354</v>
      </c>
      <c r="N4" s="124" t="s">
        <v>355</v>
      </c>
      <c r="O4" s="124" t="s">
        <v>63</v>
      </c>
      <c r="P4" s="124" t="s">
        <v>164</v>
      </c>
      <c r="Q4" s="124" t="s">
        <v>342</v>
      </c>
      <c r="R4" s="124" t="s">
        <v>134</v>
      </c>
      <c r="S4" s="125" t="s">
        <v>155</v>
      </c>
      <c r="T4" s="124" t="s">
        <v>354</v>
      </c>
    </row>
    <row r="5" s="109" customFormat="1" spans="2:21">
      <c r="B5" s="126" t="s">
        <v>356</v>
      </c>
      <c r="C5" s="127"/>
      <c r="D5" s="126"/>
      <c r="E5" s="128" t="s">
        <v>357</v>
      </c>
      <c r="F5" s="124" t="s">
        <v>152</v>
      </c>
      <c r="G5" s="124" t="s">
        <v>151</v>
      </c>
      <c r="H5" s="124" t="s">
        <v>358</v>
      </c>
      <c r="I5" s="124" t="s">
        <v>165</v>
      </c>
      <c r="J5" s="124" t="s">
        <v>165</v>
      </c>
      <c r="K5" s="124" t="s">
        <v>51</v>
      </c>
      <c r="L5" s="124" t="s">
        <v>359</v>
      </c>
      <c r="M5" s="124" t="s">
        <v>63</v>
      </c>
      <c r="N5" s="124" t="s">
        <v>63</v>
      </c>
      <c r="O5" s="125" t="s">
        <v>160</v>
      </c>
      <c r="P5" s="124" t="s">
        <v>54</v>
      </c>
      <c r="Q5" s="124" t="s">
        <v>360</v>
      </c>
      <c r="R5" s="124" t="s">
        <v>63</v>
      </c>
      <c r="S5" s="124" t="s">
        <v>63</v>
      </c>
      <c r="T5" s="124" t="s">
        <v>63</v>
      </c>
    </row>
    <row r="6" s="109" customFormat="1" spans="2:21">
      <c r="B6" s="129"/>
      <c r="C6" s="130"/>
      <c r="D6" s="129"/>
      <c r="E6" s="131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="109" customFormat="1" spans="2:21">
      <c r="B7" s="129" t="s">
        <v>361</v>
      </c>
      <c r="C7" s="130" t="s">
        <v>362</v>
      </c>
      <c r="D7" s="133">
        <v>1419</v>
      </c>
      <c r="E7" s="131"/>
      <c r="F7" s="124" t="s">
        <v>152</v>
      </c>
      <c r="G7" s="124" t="s">
        <v>149</v>
      </c>
      <c r="H7" s="124" t="s">
        <v>340</v>
      </c>
      <c r="I7" s="124" t="s">
        <v>54</v>
      </c>
      <c r="J7" s="124" t="s">
        <v>54</v>
      </c>
      <c r="K7" s="124" t="s">
        <v>54</v>
      </c>
      <c r="L7" s="124" t="s">
        <v>341</v>
      </c>
      <c r="M7" s="124" t="s">
        <v>63</v>
      </c>
      <c r="N7" s="124" t="s">
        <v>355</v>
      </c>
      <c r="O7" s="125" t="s">
        <v>63</v>
      </c>
      <c r="P7" s="124" t="s">
        <v>54</v>
      </c>
      <c r="Q7" s="124" t="s">
        <v>342</v>
      </c>
      <c r="R7" s="124" t="s">
        <v>63</v>
      </c>
      <c r="S7" s="125" t="s">
        <v>363</v>
      </c>
      <c r="T7" s="124" t="s">
        <v>63</v>
      </c>
    </row>
    <row r="8" s="110" customFormat="1" spans="2:21">
      <c r="B8" s="134"/>
      <c r="C8" s="130" t="s">
        <v>364</v>
      </c>
      <c r="D8" s="133" t="e">
        <f>项目基准价!C13*PRODUCT(赋权表!F8:T8)</f>
        <v>#REF!</v>
      </c>
      <c r="E8" s="131" t="e">
        <f>D7/D8-1</f>
        <v>#REF!</v>
      </c>
      <c r="F8" s="135" t="e">
        <f>【1】定价因子!#REF!</f>
        <v>#REF!</v>
      </c>
      <c r="G8" s="135">
        <f>【1】定价因子!F60</f>
        <v>1</v>
      </c>
      <c r="H8" s="135">
        <f>【1】定价因子!F6</f>
        <v>0.96</v>
      </c>
      <c r="I8" s="135">
        <f>【1】定价因子!F68</f>
        <v>1</v>
      </c>
      <c r="J8" s="135">
        <f>【1】定价因子!F72</f>
        <v>1</v>
      </c>
      <c r="K8" s="135">
        <f>【1】定价因子!F8</f>
        <v>1</v>
      </c>
      <c r="L8" s="135" t="e">
        <f>【1】定价因子!#REF!</f>
        <v>#REF!</v>
      </c>
      <c r="M8" s="135" t="e">
        <f>【1】定价因子!#REF!</f>
        <v>#REF!</v>
      </c>
      <c r="N8" s="135">
        <f>【1】定价因子!F10</f>
        <v>1.06</v>
      </c>
      <c r="O8" s="135" t="e">
        <f>【1】定价因子!#REF!</f>
        <v>#REF!</v>
      </c>
      <c r="P8" s="135" t="e">
        <f>【1】定价因子!#REF!</f>
        <v>#REF!</v>
      </c>
      <c r="Q8" s="135">
        <f>【1】定价因子!F20</f>
        <v>1</v>
      </c>
      <c r="R8" s="135">
        <f>【1】定价因子!F38</f>
        <v>1</v>
      </c>
      <c r="S8" s="135">
        <f>【1】定价因子!F44</f>
        <v>1</v>
      </c>
      <c r="T8" s="135">
        <f>【1】定价因子!F66</f>
        <v>1</v>
      </c>
    </row>
    <row r="9" s="109" customFormat="1" spans="2:21">
      <c r="B9" s="129" t="s">
        <v>365</v>
      </c>
      <c r="C9" s="130" t="s">
        <v>362</v>
      </c>
      <c r="D9" s="133">
        <v>1469</v>
      </c>
      <c r="E9" s="131"/>
      <c r="F9" s="132" t="s">
        <v>153</v>
      </c>
      <c r="G9" s="124" t="s">
        <v>149</v>
      </c>
      <c r="H9" s="124" t="s">
        <v>358</v>
      </c>
      <c r="I9" s="124" t="s">
        <v>54</v>
      </c>
      <c r="J9" s="124" t="s">
        <v>54</v>
      </c>
      <c r="K9" s="124" t="s">
        <v>54</v>
      </c>
      <c r="L9" s="124" t="s">
        <v>341</v>
      </c>
      <c r="M9" s="124" t="s">
        <v>63</v>
      </c>
      <c r="N9" s="124" t="s">
        <v>355</v>
      </c>
      <c r="O9" s="125" t="s">
        <v>63</v>
      </c>
      <c r="P9" s="124" t="s">
        <v>54</v>
      </c>
      <c r="Q9" s="124" t="s">
        <v>366</v>
      </c>
      <c r="R9" s="124" t="s">
        <v>134</v>
      </c>
      <c r="S9" s="125" t="s">
        <v>367</v>
      </c>
      <c r="T9" s="125" t="s">
        <v>354</v>
      </c>
    </row>
    <row r="10" s="110" customFormat="1" spans="2:21">
      <c r="B10" s="134"/>
      <c r="C10" s="130" t="s">
        <v>364</v>
      </c>
      <c r="D10" s="133" t="e">
        <f>项目基准价!C13*PRODUCT(赋权表!F10:T10)</f>
        <v>#REF!</v>
      </c>
      <c r="E10" s="131" t="e">
        <f>D9/D10-1</f>
        <v>#REF!</v>
      </c>
      <c r="F10" s="135" t="e">
        <f>【1】定价因子!#REF!</f>
        <v>#REF!</v>
      </c>
      <c r="G10" s="135">
        <f>【1】定价因子!F60</f>
        <v>1</v>
      </c>
      <c r="H10" s="135" t="e">
        <f>【1】定价因子!#REF!</f>
        <v>#REF!</v>
      </c>
      <c r="I10" s="135">
        <f>I8</f>
        <v>1</v>
      </c>
      <c r="J10" s="135">
        <f t="shared" ref="J10:P10" si="0">J8</f>
        <v>1</v>
      </c>
      <c r="K10" s="135">
        <f t="shared" si="0"/>
        <v>1</v>
      </c>
      <c r="L10" s="135" t="e">
        <f t="shared" si="0"/>
        <v>#REF!</v>
      </c>
      <c r="M10" s="135" t="e">
        <f t="shared" si="0"/>
        <v>#REF!</v>
      </c>
      <c r="N10" s="135">
        <f t="shared" si="0"/>
        <v>1.06</v>
      </c>
      <c r="O10" s="135" t="e">
        <f t="shared" si="0"/>
        <v>#REF!</v>
      </c>
      <c r="P10" s="135" t="e">
        <f t="shared" si="0"/>
        <v>#REF!</v>
      </c>
      <c r="Q10" s="135">
        <f>【1】定价因子!F19</f>
        <v>1.01</v>
      </c>
      <c r="R10" s="135">
        <f>【1】定价因子!F39</f>
        <v>1.04</v>
      </c>
      <c r="S10" s="135">
        <f>【1】定价因子!F42</f>
        <v>1.06</v>
      </c>
      <c r="T10" s="135">
        <f>【1】定价因子!F64</f>
        <v>1.045</v>
      </c>
    </row>
    <row r="11" s="110" customFormat="1" ht="14" spans="2:21">
      <c r="B11" s="134" t="s">
        <v>368</v>
      </c>
      <c r="C11" s="130" t="s">
        <v>362</v>
      </c>
      <c r="D11" s="133">
        <v>1470</v>
      </c>
      <c r="E11" s="131"/>
      <c r="F11" s="124" t="s">
        <v>152</v>
      </c>
      <c r="G11" s="124" t="s">
        <v>149</v>
      </c>
      <c r="H11" s="136" t="s">
        <v>369</v>
      </c>
      <c r="I11" s="124" t="s">
        <v>54</v>
      </c>
      <c r="J11" s="124" t="s">
        <v>54</v>
      </c>
      <c r="K11" s="136" t="s">
        <v>51</v>
      </c>
      <c r="L11" s="124" t="s">
        <v>359</v>
      </c>
      <c r="M11" s="124" t="s">
        <v>63</v>
      </c>
      <c r="N11" s="125" t="s">
        <v>63</v>
      </c>
      <c r="O11" s="125" t="s">
        <v>63</v>
      </c>
      <c r="P11" s="124" t="s">
        <v>164</v>
      </c>
      <c r="Q11" s="137" t="s">
        <v>370</v>
      </c>
      <c r="R11" s="124" t="s">
        <v>63</v>
      </c>
      <c r="S11" s="138" t="s">
        <v>367</v>
      </c>
      <c r="T11" s="139" t="s">
        <v>63</v>
      </c>
    </row>
    <row r="12" s="110" customFormat="1" ht="14" spans="2:21">
      <c r="B12" s="134"/>
      <c r="C12" s="130" t="s">
        <v>364</v>
      </c>
      <c r="D12" s="133" t="e">
        <f>项目基准价!$C$13*PRODUCT(赋权表!F12:T12)</f>
        <v>#REF!</v>
      </c>
      <c r="E12" s="131" t="e">
        <f>D11/D12-1</f>
        <v>#REF!</v>
      </c>
      <c r="F12" s="140" t="e">
        <f>F8</f>
        <v>#REF!</v>
      </c>
      <c r="G12" s="140">
        <f>G8</f>
        <v>1</v>
      </c>
      <c r="H12" s="141">
        <f>【1】定价因子!F2</f>
        <v>1.04</v>
      </c>
      <c r="I12" s="140">
        <f>I8</f>
        <v>1</v>
      </c>
      <c r="J12" s="140">
        <f>J8</f>
        <v>1</v>
      </c>
      <c r="K12" s="141">
        <f>【1】定价因子!F7</f>
        <v>1.05</v>
      </c>
      <c r="L12" s="132" t="e">
        <f>【1】定价因子!#REF!</f>
        <v>#REF!</v>
      </c>
      <c r="M12" s="140" t="e">
        <f>M8</f>
        <v>#REF!</v>
      </c>
      <c r="N12" s="140">
        <v>1</v>
      </c>
      <c r="O12" s="142" t="e">
        <f>O8</f>
        <v>#REF!</v>
      </c>
      <c r="P12" s="132" t="e">
        <f>【1】定价因子!#REF!</f>
        <v>#REF!</v>
      </c>
      <c r="Q12" s="135">
        <f>【1】定价因子!F32</f>
        <v>1.03</v>
      </c>
      <c r="R12" s="140">
        <f>R8</f>
        <v>1</v>
      </c>
      <c r="S12" s="141">
        <f>【1】定价因子!F42</f>
        <v>1.06</v>
      </c>
      <c r="T12" s="143">
        <f>T8</f>
        <v>1</v>
      </c>
    </row>
    <row r="13" s="109" customFormat="1" spans="2:21">
      <c r="B13" s="129" t="s">
        <v>371</v>
      </c>
      <c r="C13" s="130" t="s">
        <v>362</v>
      </c>
      <c r="D13" s="133">
        <v>1509</v>
      </c>
      <c r="E13" s="131"/>
      <c r="F13" s="124" t="s">
        <v>152</v>
      </c>
      <c r="G13" s="124" t="s">
        <v>149</v>
      </c>
      <c r="H13" s="124" t="s">
        <v>340</v>
      </c>
      <c r="I13" s="124" t="s">
        <v>54</v>
      </c>
      <c r="J13" s="124" t="s">
        <v>54</v>
      </c>
      <c r="K13" s="124" t="s">
        <v>54</v>
      </c>
      <c r="L13" s="124" t="s">
        <v>359</v>
      </c>
      <c r="M13" s="124" t="s">
        <v>63</v>
      </c>
      <c r="N13" s="132" t="s">
        <v>58</v>
      </c>
      <c r="O13" s="125" t="s">
        <v>63</v>
      </c>
      <c r="P13" s="124" t="s">
        <v>54</v>
      </c>
      <c r="Q13" s="124" t="s">
        <v>342</v>
      </c>
      <c r="R13" s="124" t="s">
        <v>134</v>
      </c>
      <c r="S13" s="125" t="s">
        <v>367</v>
      </c>
      <c r="T13" s="124" t="s">
        <v>63</v>
      </c>
      <c r="U13" s="109">
        <f>70/1300</f>
        <v>0.0538461538461538</v>
      </c>
    </row>
    <row r="14" s="109" customFormat="1" spans="2:21">
      <c r="B14" s="129"/>
      <c r="C14" s="130" t="s">
        <v>364</v>
      </c>
      <c r="D14" s="133" t="e">
        <f>项目基准价!$C$13*PRODUCT(赋权表!F14:T14)</f>
        <v>#REF!</v>
      </c>
      <c r="E14" s="131" t="e">
        <f>D13/D14-1</f>
        <v>#REF!</v>
      </c>
      <c r="F14" s="140" t="e">
        <f t="shared" ref="F14:K14" si="1">F8</f>
        <v>#REF!</v>
      </c>
      <c r="G14" s="140">
        <f t="shared" si="1"/>
        <v>1</v>
      </c>
      <c r="H14" s="140">
        <f t="shared" si="1"/>
        <v>0.96</v>
      </c>
      <c r="I14" s="140">
        <f t="shared" si="1"/>
        <v>1</v>
      </c>
      <c r="J14" s="140">
        <f t="shared" si="1"/>
        <v>1</v>
      </c>
      <c r="K14" s="140">
        <f t="shared" si="1"/>
        <v>1</v>
      </c>
      <c r="L14" s="132" t="e">
        <f>L12</f>
        <v>#REF!</v>
      </c>
      <c r="M14" s="140" t="e">
        <f>M8</f>
        <v>#REF!</v>
      </c>
      <c r="N14" s="132">
        <f>【1】定价因子!F9</f>
        <v>1.1</v>
      </c>
      <c r="O14" s="140" t="e">
        <f>O8</f>
        <v>#REF!</v>
      </c>
      <c r="P14" s="140" t="e">
        <f>P8</f>
        <v>#REF!</v>
      </c>
      <c r="Q14" s="140">
        <f>Q8</f>
        <v>1</v>
      </c>
      <c r="R14" s="140">
        <f>R10</f>
        <v>1.04</v>
      </c>
      <c r="S14" s="140">
        <f>S10</f>
        <v>1.06</v>
      </c>
      <c r="T14" s="140">
        <f>T8</f>
        <v>1</v>
      </c>
    </row>
    <row r="15" s="109" customFormat="1" spans="2:21">
      <c r="B15" s="129" t="s">
        <v>372</v>
      </c>
      <c r="C15" s="130" t="s">
        <v>362</v>
      </c>
      <c r="D15" s="144">
        <v>1519</v>
      </c>
      <c r="E15" s="131"/>
      <c r="F15" s="124" t="s">
        <v>152</v>
      </c>
      <c r="G15" s="124" t="s">
        <v>149</v>
      </c>
      <c r="H15" s="124" t="s">
        <v>358</v>
      </c>
      <c r="I15" s="124" t="s">
        <v>54</v>
      </c>
      <c r="J15" s="124" t="s">
        <v>54</v>
      </c>
      <c r="K15" s="124" t="s">
        <v>54</v>
      </c>
      <c r="L15" s="124" t="s">
        <v>341</v>
      </c>
      <c r="M15" s="124" t="s">
        <v>63</v>
      </c>
      <c r="N15" s="124" t="s">
        <v>355</v>
      </c>
      <c r="O15" s="124" t="s">
        <v>63</v>
      </c>
      <c r="P15" s="124" t="s">
        <v>54</v>
      </c>
      <c r="Q15" s="145" t="s">
        <v>373</v>
      </c>
      <c r="R15" s="124" t="s">
        <v>63</v>
      </c>
      <c r="S15" s="142" t="s">
        <v>374</v>
      </c>
      <c r="T15" s="124" t="s">
        <v>63</v>
      </c>
    </row>
    <row r="16" s="109" customFormat="1" spans="2:21">
      <c r="B16" s="129"/>
      <c r="C16" s="130" t="s">
        <v>364</v>
      </c>
      <c r="D16" s="133" t="e">
        <f>项目基准价!$C$15*PRODUCT(赋权表!F16:T16)</f>
        <v>#REF!</v>
      </c>
      <c r="E16" s="146" t="e">
        <f>D15/D16-1</f>
        <v>#REF!</v>
      </c>
      <c r="F16" s="140" t="e">
        <f>F14</f>
        <v>#REF!</v>
      </c>
      <c r="G16" s="140">
        <f>G14</f>
        <v>1</v>
      </c>
      <c r="H16" s="140" t="e">
        <f t="shared" ref="H16:P16" si="2">H10</f>
        <v>#REF!</v>
      </c>
      <c r="I16" s="140">
        <f t="shared" si="2"/>
        <v>1</v>
      </c>
      <c r="J16" s="140">
        <f t="shared" si="2"/>
        <v>1</v>
      </c>
      <c r="K16" s="140">
        <f t="shared" si="2"/>
        <v>1</v>
      </c>
      <c r="L16" s="140" t="e">
        <f t="shared" si="2"/>
        <v>#REF!</v>
      </c>
      <c r="M16" s="140" t="e">
        <f t="shared" si="2"/>
        <v>#REF!</v>
      </c>
      <c r="N16" s="140">
        <f t="shared" si="2"/>
        <v>1.06</v>
      </c>
      <c r="O16" s="140" t="e">
        <f t="shared" si="2"/>
        <v>#REF!</v>
      </c>
      <c r="P16" s="140" t="e">
        <f t="shared" si="2"/>
        <v>#REF!</v>
      </c>
      <c r="Q16" s="140">
        <f>【1】定价因子!F27</f>
        <v>0.87</v>
      </c>
      <c r="R16" s="140">
        <f>R8</f>
        <v>1</v>
      </c>
      <c r="S16" s="142">
        <f>【1】定价因子!F45</f>
        <v>0.96</v>
      </c>
      <c r="T16" s="140">
        <f>T8</f>
        <v>1</v>
      </c>
    </row>
    <row r="17" s="109" customFormat="1" spans="1:20">
      <c r="B17" s="129" t="s">
        <v>375</v>
      </c>
      <c r="C17" s="130" t="s">
        <v>362</v>
      </c>
      <c r="D17" s="133">
        <v>1099</v>
      </c>
      <c r="E17" s="131"/>
      <c r="F17" s="124" t="s">
        <v>152</v>
      </c>
      <c r="G17" s="124" t="s">
        <v>149</v>
      </c>
      <c r="H17" s="124" t="s">
        <v>358</v>
      </c>
      <c r="I17" s="124" t="s">
        <v>54</v>
      </c>
      <c r="J17" s="124" t="s">
        <v>54</v>
      </c>
      <c r="K17" s="124" t="s">
        <v>54</v>
      </c>
      <c r="L17" s="124" t="s">
        <v>341</v>
      </c>
      <c r="M17" s="124" t="s">
        <v>63</v>
      </c>
      <c r="N17" s="140" t="s">
        <v>65</v>
      </c>
      <c r="O17" s="124" t="s">
        <v>63</v>
      </c>
      <c r="P17" s="124" t="s">
        <v>54</v>
      </c>
      <c r="Q17" s="145" t="s">
        <v>373</v>
      </c>
      <c r="R17" s="124" t="s">
        <v>63</v>
      </c>
      <c r="S17" s="142" t="s">
        <v>374</v>
      </c>
      <c r="T17" s="124" t="s">
        <v>63</v>
      </c>
    </row>
    <row r="18" s="109" customFormat="1" spans="1:20">
      <c r="B18" s="129"/>
      <c r="C18" s="130" t="s">
        <v>364</v>
      </c>
      <c r="D18" s="133" t="e">
        <f>项目基准价!$C$13*PRODUCT(赋权表!F18:T18)</f>
        <v>#REF!</v>
      </c>
      <c r="E18" s="146" t="e">
        <f>D17/D18-1</f>
        <v>#REF!</v>
      </c>
      <c r="F18" s="140" t="e">
        <f>F16</f>
        <v>#REF!</v>
      </c>
      <c r="G18" s="140">
        <f t="shared" ref="G18:M18" si="3">G16</f>
        <v>1</v>
      </c>
      <c r="H18" s="140" t="e">
        <f t="shared" si="3"/>
        <v>#REF!</v>
      </c>
      <c r="I18" s="140">
        <f t="shared" si="3"/>
        <v>1</v>
      </c>
      <c r="J18" s="140">
        <f t="shared" si="3"/>
        <v>1</v>
      </c>
      <c r="K18" s="140">
        <f t="shared" si="3"/>
        <v>1</v>
      </c>
      <c r="L18" s="140" t="e">
        <f t="shared" si="3"/>
        <v>#REF!</v>
      </c>
      <c r="M18" s="140" t="e">
        <f t="shared" si="3"/>
        <v>#REF!</v>
      </c>
      <c r="N18" s="140">
        <f>【1】定价因子!F12</f>
        <v>0.95</v>
      </c>
      <c r="O18" s="140" t="e">
        <f>O16</f>
        <v>#REF!</v>
      </c>
      <c r="P18" s="140" t="e">
        <f t="shared" ref="P18:T18" si="4">P16</f>
        <v>#REF!</v>
      </c>
      <c r="Q18" s="140">
        <f t="shared" si="4"/>
        <v>0.87</v>
      </c>
      <c r="R18" s="140">
        <f t="shared" si="4"/>
        <v>1</v>
      </c>
      <c r="S18" s="140">
        <f t="shared" si="4"/>
        <v>0.96</v>
      </c>
      <c r="T18" s="140">
        <f t="shared" si="4"/>
        <v>1</v>
      </c>
    </row>
    <row r="19" s="109" customFormat="1" spans="1:20">
      <c r="B19" s="129" t="s">
        <v>376</v>
      </c>
      <c r="C19" s="130" t="s">
        <v>362</v>
      </c>
      <c r="D19" s="133">
        <v>2199</v>
      </c>
      <c r="E19" s="131"/>
      <c r="F19" s="124" t="s">
        <v>152</v>
      </c>
      <c r="G19" s="124" t="s">
        <v>149</v>
      </c>
      <c r="H19" s="140" t="s">
        <v>377</v>
      </c>
      <c r="I19" s="124" t="s">
        <v>54</v>
      </c>
      <c r="J19" s="124" t="s">
        <v>54</v>
      </c>
      <c r="K19" s="142" t="s">
        <v>51</v>
      </c>
      <c r="L19" s="124" t="s">
        <v>359</v>
      </c>
      <c r="M19" s="124" t="s">
        <v>63</v>
      </c>
      <c r="N19" s="132" t="s">
        <v>58</v>
      </c>
      <c r="O19" s="125" t="s">
        <v>63</v>
      </c>
      <c r="P19" s="124" t="s">
        <v>54</v>
      </c>
      <c r="Q19" s="145" t="s">
        <v>378</v>
      </c>
      <c r="R19" s="124" t="s">
        <v>63</v>
      </c>
      <c r="S19" s="147" t="s">
        <v>367</v>
      </c>
      <c r="T19" s="125" t="s">
        <v>157</v>
      </c>
    </row>
    <row r="20" s="109" customFormat="1" spans="1:20">
      <c r="B20" s="129"/>
      <c r="C20" s="130" t="s">
        <v>364</v>
      </c>
      <c r="D20" s="133" t="e">
        <f>项目基准价!$C$15*PRODUCT(赋权表!F20:T20)</f>
        <v>#REF!</v>
      </c>
      <c r="E20" s="131" t="e">
        <f>D19/D20-1</f>
        <v>#REF!</v>
      </c>
      <c r="F20" s="140" t="e">
        <f>F18</f>
        <v>#REF!</v>
      </c>
      <c r="G20" s="140">
        <f>G18</f>
        <v>1</v>
      </c>
      <c r="H20" s="140" t="e">
        <f>【1】定价因子!#REF!</f>
        <v>#REF!</v>
      </c>
      <c r="I20" s="140">
        <f>I12</f>
        <v>1</v>
      </c>
      <c r="J20" s="140">
        <f>J12</f>
        <v>1</v>
      </c>
      <c r="K20" s="140">
        <f>K12</f>
        <v>1.05</v>
      </c>
      <c r="L20" s="140" t="e">
        <f>L12</f>
        <v>#REF!</v>
      </c>
      <c r="M20" s="140" t="e">
        <f>M12</f>
        <v>#REF!</v>
      </c>
      <c r="N20" s="140">
        <f>N14</f>
        <v>1.1</v>
      </c>
      <c r="O20" s="140" t="e">
        <f t="shared" ref="O20:P20" si="5">O14</f>
        <v>#REF!</v>
      </c>
      <c r="P20" s="140" t="e">
        <f t="shared" si="5"/>
        <v>#REF!</v>
      </c>
      <c r="Q20" s="140">
        <f>Q12</f>
        <v>1.03</v>
      </c>
      <c r="R20" s="140">
        <f>R12</f>
        <v>1</v>
      </c>
      <c r="S20" s="140">
        <f>S14</f>
        <v>1.06</v>
      </c>
      <c r="T20" s="140">
        <f>【1】定价因子!F65</f>
        <v>1.02</v>
      </c>
    </row>
    <row r="21" s="109" customFormat="1" ht="14" spans="1:20">
      <c r="B21" s="148" t="s">
        <v>379</v>
      </c>
      <c r="C21" s="130" t="s">
        <v>362</v>
      </c>
      <c r="D21" s="133">
        <v>839</v>
      </c>
      <c r="E21" s="131"/>
      <c r="F21" s="124" t="s">
        <v>152</v>
      </c>
      <c r="G21" s="124" t="s">
        <v>149</v>
      </c>
      <c r="H21" s="140" t="s">
        <v>377</v>
      </c>
      <c r="I21" s="124" t="s">
        <v>54</v>
      </c>
      <c r="J21" s="124" t="s">
        <v>54</v>
      </c>
      <c r="K21" s="142" t="s">
        <v>51</v>
      </c>
      <c r="L21" s="124" t="s">
        <v>359</v>
      </c>
      <c r="M21" s="124" t="s">
        <v>63</v>
      </c>
      <c r="N21" s="149" t="s">
        <v>380</v>
      </c>
      <c r="O21" s="125" t="s">
        <v>63</v>
      </c>
      <c r="P21" s="124" t="s">
        <v>54</v>
      </c>
      <c r="Q21" s="145" t="s">
        <v>378</v>
      </c>
      <c r="R21" s="149" t="s">
        <v>381</v>
      </c>
      <c r="S21" s="147" t="s">
        <v>367</v>
      </c>
      <c r="T21" s="125" t="s">
        <v>157</v>
      </c>
    </row>
    <row r="22" s="109" customFormat="1" spans="1:20">
      <c r="B22" s="129"/>
      <c r="C22" s="130" t="s">
        <v>364</v>
      </c>
      <c r="D22" s="144" t="e">
        <f>项目基准价!$C$14*PRODUCT(赋权表!F22:T22)</f>
        <v>#REF!</v>
      </c>
      <c r="E22" s="146" t="e">
        <f>D21/D22-1</f>
        <v>#REF!</v>
      </c>
      <c r="F22" s="140" t="e">
        <f>F20</f>
        <v>#REF!</v>
      </c>
      <c r="G22" s="140">
        <f t="shared" ref="G22:M22" si="6">G20</f>
        <v>1</v>
      </c>
      <c r="H22" s="140" t="e">
        <f t="shared" si="6"/>
        <v>#REF!</v>
      </c>
      <c r="I22" s="140">
        <f t="shared" si="6"/>
        <v>1</v>
      </c>
      <c r="J22" s="140">
        <f t="shared" si="6"/>
        <v>1</v>
      </c>
      <c r="K22" s="140">
        <f t="shared" si="6"/>
        <v>1.05</v>
      </c>
      <c r="L22" s="140" t="e">
        <f t="shared" si="6"/>
        <v>#REF!</v>
      </c>
      <c r="M22" s="140" t="e">
        <f t="shared" si="6"/>
        <v>#REF!</v>
      </c>
      <c r="N22" s="150">
        <v>0.86</v>
      </c>
      <c r="O22" s="140" t="e">
        <f>O20</f>
        <v>#REF!</v>
      </c>
      <c r="P22" s="140" t="e">
        <f>P20</f>
        <v>#REF!</v>
      </c>
      <c r="Q22" s="140">
        <f>Q20</f>
        <v>1.03</v>
      </c>
      <c r="R22" s="150">
        <v>0.9</v>
      </c>
      <c r="S22" s="140">
        <f>S20</f>
        <v>1.06</v>
      </c>
      <c r="T22" s="140">
        <f>T20</f>
        <v>1.02</v>
      </c>
    </row>
    <row r="23" s="109" customFormat="1" spans="1:20">
      <c r="B23" s="129" t="s">
        <v>382</v>
      </c>
      <c r="C23" s="130" t="s">
        <v>362</v>
      </c>
      <c r="D23" s="133">
        <v>1379</v>
      </c>
      <c r="E23" s="131"/>
      <c r="F23" s="124" t="s">
        <v>152</v>
      </c>
      <c r="G23" s="124" t="s">
        <v>149</v>
      </c>
      <c r="H23" s="136" t="s">
        <v>369</v>
      </c>
      <c r="I23" s="124" t="s">
        <v>54</v>
      </c>
      <c r="J23" s="124" t="s">
        <v>54</v>
      </c>
      <c r="K23" s="136" t="s">
        <v>51</v>
      </c>
      <c r="L23" s="124" t="s">
        <v>359</v>
      </c>
      <c r="M23" s="124" t="s">
        <v>63</v>
      </c>
      <c r="N23" s="124" t="s">
        <v>63</v>
      </c>
      <c r="O23" s="125" t="s">
        <v>63</v>
      </c>
      <c r="P23" s="124" t="s">
        <v>164</v>
      </c>
      <c r="Q23" s="145" t="s">
        <v>383</v>
      </c>
      <c r="R23" s="124" t="s">
        <v>63</v>
      </c>
      <c r="S23" s="147" t="s">
        <v>367</v>
      </c>
      <c r="T23" s="124" t="s">
        <v>63</v>
      </c>
    </row>
    <row r="24" s="109" customFormat="1" spans="1:20">
      <c r="B24" s="129"/>
      <c r="C24" s="130" t="s">
        <v>364</v>
      </c>
      <c r="D24" s="133" t="e">
        <f>项目基准价!$C$14*PRODUCT(赋权表!F24:T24)</f>
        <v>#REF!</v>
      </c>
      <c r="E24" s="131" t="e">
        <f>D23/D24-1</f>
        <v>#REF!</v>
      </c>
      <c r="F24" s="140" t="e">
        <f>F12</f>
        <v>#REF!</v>
      </c>
      <c r="G24" s="140">
        <f>G12</f>
        <v>1</v>
      </c>
      <c r="H24" s="140">
        <f t="shared" ref="H24:N24" si="7">H12</f>
        <v>1.04</v>
      </c>
      <c r="I24" s="140">
        <f t="shared" si="7"/>
        <v>1</v>
      </c>
      <c r="J24" s="140">
        <f t="shared" si="7"/>
        <v>1</v>
      </c>
      <c r="K24" s="140">
        <f t="shared" si="7"/>
        <v>1.05</v>
      </c>
      <c r="L24" s="140" t="e">
        <f t="shared" si="7"/>
        <v>#REF!</v>
      </c>
      <c r="M24" s="140" t="e">
        <f t="shared" si="7"/>
        <v>#REF!</v>
      </c>
      <c r="N24" s="140">
        <f t="shared" si="7"/>
        <v>1</v>
      </c>
      <c r="O24" s="142" t="e">
        <f>O22</f>
        <v>#REF!</v>
      </c>
      <c r="P24" s="132" t="e">
        <f>P12</f>
        <v>#REF!</v>
      </c>
      <c r="Q24" s="140">
        <f>【1】定价因子!F31</f>
        <v>1.02</v>
      </c>
      <c r="R24" s="140">
        <f>R12</f>
        <v>1</v>
      </c>
      <c r="S24" s="140">
        <f t="shared" ref="S24:T24" si="8">S12</f>
        <v>1.06</v>
      </c>
      <c r="T24" s="140">
        <f t="shared" si="8"/>
        <v>1</v>
      </c>
    </row>
    <row r="25" s="109" customFormat="1" spans="1:20">
      <c r="A25" s="109" t="s">
        <v>384</v>
      </c>
      <c r="B25" s="129" t="s">
        <v>385</v>
      </c>
      <c r="C25" s="130" t="s">
        <v>362</v>
      </c>
      <c r="D25" s="133">
        <v>1439</v>
      </c>
      <c r="E25" s="131"/>
      <c r="F25" s="124" t="s">
        <v>152</v>
      </c>
      <c r="G25" s="124" t="s">
        <v>149</v>
      </c>
      <c r="H25" s="124" t="s">
        <v>340</v>
      </c>
      <c r="I25" s="124" t="s">
        <v>54</v>
      </c>
      <c r="J25" s="124" t="s">
        <v>54</v>
      </c>
      <c r="K25" s="124" t="s">
        <v>54</v>
      </c>
      <c r="L25" s="124" t="s">
        <v>341</v>
      </c>
      <c r="M25" s="124" t="s">
        <v>63</v>
      </c>
      <c r="N25" s="124" t="s">
        <v>355</v>
      </c>
      <c r="O25" s="124" t="s">
        <v>63</v>
      </c>
      <c r="P25" s="151" t="s">
        <v>386</v>
      </c>
      <c r="Q25" s="140" t="s">
        <v>366</v>
      </c>
      <c r="R25" s="124" t="s">
        <v>63</v>
      </c>
      <c r="S25" s="147" t="s">
        <v>367</v>
      </c>
      <c r="T25" s="124" t="s">
        <v>63</v>
      </c>
    </row>
    <row r="26" s="109" customFormat="1" spans="1:20">
      <c r="B26" s="129"/>
      <c r="C26" s="130" t="s">
        <v>364</v>
      </c>
      <c r="D26" s="133" t="e">
        <f>项目基准价!$C$14*PRODUCT(赋权表!F26:T26)</f>
        <v>#REF!</v>
      </c>
      <c r="E26" s="131" t="e">
        <f>D25/D26-1</f>
        <v>#REF!</v>
      </c>
      <c r="F26" s="140" t="e">
        <f>F14</f>
        <v>#REF!</v>
      </c>
      <c r="G26" s="140">
        <f t="shared" ref="G26:M26" si="9">G14</f>
        <v>1</v>
      </c>
      <c r="H26" s="140">
        <f t="shared" si="9"/>
        <v>0.96</v>
      </c>
      <c r="I26" s="140">
        <f t="shared" si="9"/>
        <v>1</v>
      </c>
      <c r="J26" s="140">
        <f t="shared" si="9"/>
        <v>1</v>
      </c>
      <c r="K26" s="140">
        <f t="shared" si="9"/>
        <v>1</v>
      </c>
      <c r="L26" s="140" t="e">
        <f>L18</f>
        <v>#REF!</v>
      </c>
      <c r="M26" s="140" t="e">
        <f t="shared" si="9"/>
        <v>#REF!</v>
      </c>
      <c r="N26" s="140">
        <f>N16</f>
        <v>1.06</v>
      </c>
      <c r="O26" s="140" t="e">
        <f>O16</f>
        <v>#REF!</v>
      </c>
      <c r="P26" s="132">
        <f>【1】定价因子!F14</f>
        <v>1.07</v>
      </c>
      <c r="Q26" s="140">
        <f>【1】定价因子!F19</f>
        <v>1.01</v>
      </c>
      <c r="R26" s="140">
        <f>R24</f>
        <v>1</v>
      </c>
      <c r="S26" s="140">
        <f>S24</f>
        <v>1.06</v>
      </c>
      <c r="T26" s="140">
        <f t="shared" ref="T26" si="10">T24</f>
        <v>1</v>
      </c>
    </row>
    <row r="27" s="109" customFormat="1" spans="1:20">
      <c r="B27" s="129" t="s">
        <v>387</v>
      </c>
      <c r="C27" s="130" t="s">
        <v>362</v>
      </c>
      <c r="D27" s="133">
        <v>1799</v>
      </c>
      <c r="E27" s="131"/>
      <c r="F27" s="124" t="s">
        <v>152</v>
      </c>
      <c r="G27" s="124" t="s">
        <v>149</v>
      </c>
      <c r="H27" s="124" t="s">
        <v>340</v>
      </c>
      <c r="I27" s="124" t="s">
        <v>54</v>
      </c>
      <c r="J27" s="124" t="s">
        <v>54</v>
      </c>
      <c r="K27" s="124" t="s">
        <v>54</v>
      </c>
      <c r="L27" s="124" t="s">
        <v>341</v>
      </c>
      <c r="M27" s="124" t="s">
        <v>354</v>
      </c>
      <c r="N27" s="124" t="s">
        <v>63</v>
      </c>
      <c r="O27" s="125" t="s">
        <v>63</v>
      </c>
      <c r="P27" s="124" t="s">
        <v>54</v>
      </c>
      <c r="Q27" s="124" t="s">
        <v>388</v>
      </c>
      <c r="R27" s="124" t="s">
        <v>63</v>
      </c>
      <c r="S27" s="124" t="s">
        <v>63</v>
      </c>
      <c r="T27" s="124" t="s">
        <v>63</v>
      </c>
    </row>
    <row r="28" s="109" customFormat="1" spans="1:20">
      <c r="B28" s="129"/>
      <c r="C28" s="130" t="s">
        <v>364</v>
      </c>
      <c r="D28" s="133" t="e">
        <f>项目基准价!$C$15*PRODUCT(赋权表!F28:T28)</f>
        <v>#REF!</v>
      </c>
      <c r="E28" s="131" t="e">
        <f>D27/D28-1</f>
        <v>#REF!</v>
      </c>
      <c r="F28" s="140" t="e">
        <f>F26</f>
        <v>#REF!</v>
      </c>
      <c r="G28" s="140">
        <f t="shared" ref="G28:L28" si="11">G26</f>
        <v>1</v>
      </c>
      <c r="H28" s="140">
        <f t="shared" si="11"/>
        <v>0.96</v>
      </c>
      <c r="I28" s="140">
        <f t="shared" si="11"/>
        <v>1</v>
      </c>
      <c r="J28" s="140">
        <f t="shared" si="11"/>
        <v>1</v>
      </c>
      <c r="K28" s="140">
        <f t="shared" si="11"/>
        <v>1</v>
      </c>
      <c r="L28" s="140" t="e">
        <f t="shared" si="11"/>
        <v>#REF!</v>
      </c>
      <c r="M28" s="140" t="e">
        <f>【1】定价因子!#REF!</f>
        <v>#REF!</v>
      </c>
      <c r="N28" s="140">
        <f>N24</f>
        <v>1</v>
      </c>
      <c r="O28" s="140" t="e">
        <f t="shared" ref="O28" si="12">O24</f>
        <v>#REF!</v>
      </c>
      <c r="P28" s="140" t="e">
        <f>P22</f>
        <v>#REF!</v>
      </c>
      <c r="Q28" s="140">
        <f>【1】定价因子!F18</f>
        <v>1.02</v>
      </c>
      <c r="R28" s="140">
        <f>R26</f>
        <v>1</v>
      </c>
      <c r="S28" s="140">
        <f>【1】定价因子!F43</f>
        <v>1.03</v>
      </c>
      <c r="T28" s="140">
        <f>T26</f>
        <v>1</v>
      </c>
    </row>
    <row r="29" s="109" customFormat="1" spans="1:20">
      <c r="B29" s="129" t="s">
        <v>389</v>
      </c>
      <c r="C29" s="130" t="s">
        <v>362</v>
      </c>
      <c r="D29" s="133">
        <v>1999</v>
      </c>
      <c r="E29" s="131"/>
      <c r="F29" s="124" t="s">
        <v>152</v>
      </c>
      <c r="G29" s="124" t="s">
        <v>149</v>
      </c>
      <c r="H29" s="124" t="s">
        <v>340</v>
      </c>
      <c r="I29" s="124" t="s">
        <v>54</v>
      </c>
      <c r="J29" s="124" t="s">
        <v>54</v>
      </c>
      <c r="K29" s="124" t="s">
        <v>54</v>
      </c>
      <c r="L29" s="124" t="s">
        <v>341</v>
      </c>
      <c r="M29" s="124" t="s">
        <v>354</v>
      </c>
      <c r="N29" s="124" t="s">
        <v>63</v>
      </c>
      <c r="O29" s="125" t="s">
        <v>63</v>
      </c>
      <c r="P29" s="125" t="s">
        <v>166</v>
      </c>
      <c r="Q29" s="124" t="s">
        <v>388</v>
      </c>
      <c r="R29" s="124" t="s">
        <v>63</v>
      </c>
      <c r="S29" s="124" t="s">
        <v>63</v>
      </c>
      <c r="T29" s="125" t="s">
        <v>155</v>
      </c>
    </row>
    <row r="30" s="109" customFormat="1" spans="1:20">
      <c r="B30" s="129"/>
      <c r="C30" s="130" t="s">
        <v>364</v>
      </c>
      <c r="D30" s="133" t="e">
        <f>项目基准价!$C$15*PRODUCT(赋权表!F30:T30)</f>
        <v>#REF!</v>
      </c>
      <c r="E30" s="131" t="e">
        <f>D29/D30-1</f>
        <v>#REF!</v>
      </c>
      <c r="F30" s="140" t="e">
        <f>F28</f>
        <v>#REF!</v>
      </c>
      <c r="G30" s="140">
        <f t="shared" ref="G30:O30" si="13">G28</f>
        <v>1</v>
      </c>
      <c r="H30" s="140">
        <f t="shared" si="13"/>
        <v>0.96</v>
      </c>
      <c r="I30" s="140">
        <f t="shared" si="13"/>
        <v>1</v>
      </c>
      <c r="J30" s="140">
        <f t="shared" si="13"/>
        <v>1</v>
      </c>
      <c r="K30" s="140">
        <f t="shared" si="13"/>
        <v>1</v>
      </c>
      <c r="L30" s="140" t="e">
        <f t="shared" si="13"/>
        <v>#REF!</v>
      </c>
      <c r="M30" s="140" t="e">
        <f t="shared" si="13"/>
        <v>#REF!</v>
      </c>
      <c r="N30" s="140">
        <f t="shared" si="13"/>
        <v>1</v>
      </c>
      <c r="O30" s="140" t="e">
        <f t="shared" si="13"/>
        <v>#REF!</v>
      </c>
      <c r="P30" s="140">
        <f>【1】定价因子!F15</f>
        <v>1</v>
      </c>
      <c r="Q30" s="140">
        <f>Q28</f>
        <v>1.02</v>
      </c>
      <c r="R30" s="140">
        <f t="shared" ref="R30:S30" si="14">R28</f>
        <v>1</v>
      </c>
      <c r="S30" s="140">
        <f t="shared" si="14"/>
        <v>1.03</v>
      </c>
      <c r="T30" s="140">
        <f>【1】定价因子!F64</f>
        <v>1.045</v>
      </c>
    </row>
    <row r="31" s="109" customFormat="1" spans="1:20">
      <c r="B31" s="129" t="s">
        <v>390</v>
      </c>
      <c r="C31" s="130" t="s">
        <v>362</v>
      </c>
      <c r="D31" s="144">
        <v>1569</v>
      </c>
      <c r="E31" s="131"/>
      <c r="F31" s="124" t="s">
        <v>152</v>
      </c>
      <c r="G31" s="124" t="s">
        <v>149</v>
      </c>
      <c r="H31" s="124" t="s">
        <v>358</v>
      </c>
      <c r="I31" s="124" t="s">
        <v>54</v>
      </c>
      <c r="J31" s="124" t="s">
        <v>54</v>
      </c>
      <c r="K31" s="124" t="s">
        <v>54</v>
      </c>
      <c r="L31" s="124" t="s">
        <v>341</v>
      </c>
      <c r="M31" s="124" t="s">
        <v>63</v>
      </c>
      <c r="N31" s="124" t="s">
        <v>63</v>
      </c>
      <c r="O31" s="125" t="s">
        <v>63</v>
      </c>
      <c r="P31" s="125" t="s">
        <v>166</v>
      </c>
      <c r="Q31" s="140" t="s">
        <v>366</v>
      </c>
      <c r="R31" s="147" t="s">
        <v>112</v>
      </c>
      <c r="S31" s="125" t="s">
        <v>363</v>
      </c>
      <c r="T31" s="124" t="s">
        <v>63</v>
      </c>
    </row>
    <row r="32" s="109" customFormat="1" spans="1:20">
      <c r="A32" s="109" t="s">
        <v>391</v>
      </c>
      <c r="B32" s="129"/>
      <c r="C32" s="130" t="s">
        <v>364</v>
      </c>
      <c r="D32" s="133" t="e">
        <f>项目基准价!$C$16*PRODUCT(赋权表!F32:T32)</f>
        <v>#REF!</v>
      </c>
      <c r="E32" s="146" t="e">
        <f>D31/D32-1</f>
        <v>#REF!</v>
      </c>
      <c r="F32" s="140" t="e">
        <f>F18</f>
        <v>#REF!</v>
      </c>
      <c r="G32" s="140">
        <f t="shared" ref="G32:M32" si="15">G18</f>
        <v>1</v>
      </c>
      <c r="H32" s="140" t="e">
        <f t="shared" si="15"/>
        <v>#REF!</v>
      </c>
      <c r="I32" s="140">
        <f t="shared" si="15"/>
        <v>1</v>
      </c>
      <c r="J32" s="140">
        <f t="shared" si="15"/>
        <v>1</v>
      </c>
      <c r="K32" s="140">
        <f t="shared" si="15"/>
        <v>1</v>
      </c>
      <c r="L32" s="140" t="e">
        <f t="shared" si="15"/>
        <v>#REF!</v>
      </c>
      <c r="M32" s="140" t="e">
        <f t="shared" si="15"/>
        <v>#REF!</v>
      </c>
      <c r="N32" s="140">
        <f>N30</f>
        <v>1</v>
      </c>
      <c r="O32" s="140" t="e">
        <f>O30</f>
        <v>#REF!</v>
      </c>
      <c r="P32" s="140">
        <f>P30</f>
        <v>1</v>
      </c>
      <c r="Q32" s="140">
        <f>Q30</f>
        <v>1.02</v>
      </c>
      <c r="R32" s="140"/>
      <c r="S32" s="140">
        <f>S8</f>
        <v>1</v>
      </c>
      <c r="T32" s="140">
        <f>T28</f>
        <v>1</v>
      </c>
    </row>
    <row r="33" s="109" customFormat="1" spans="1:20">
      <c r="B33" s="148" t="s">
        <v>392</v>
      </c>
      <c r="C33" s="130" t="s">
        <v>362</v>
      </c>
      <c r="D33" s="133">
        <v>2299</v>
      </c>
      <c r="E33" s="152"/>
      <c r="F33" s="124" t="s">
        <v>152</v>
      </c>
      <c r="G33" s="124" t="s">
        <v>149</v>
      </c>
      <c r="H33" s="136" t="s">
        <v>369</v>
      </c>
      <c r="I33" s="124" t="s">
        <v>54</v>
      </c>
      <c r="J33" s="124" t="s">
        <v>54</v>
      </c>
      <c r="K33" s="136" t="s">
        <v>51</v>
      </c>
      <c r="L33" s="124" t="s">
        <v>359</v>
      </c>
      <c r="M33" s="124" t="s">
        <v>63</v>
      </c>
      <c r="N33" s="124" t="s">
        <v>355</v>
      </c>
      <c r="O33" s="125" t="s">
        <v>63</v>
      </c>
      <c r="P33" s="124" t="s">
        <v>164</v>
      </c>
      <c r="Q33" s="140" t="s">
        <v>370</v>
      </c>
      <c r="R33" s="124" t="s">
        <v>63</v>
      </c>
      <c r="S33" s="147" t="s">
        <v>367</v>
      </c>
      <c r="T33" s="125" t="s">
        <v>157</v>
      </c>
    </row>
    <row r="34" s="109" customFormat="1" spans="1:20">
      <c r="B34" s="129"/>
      <c r="C34" s="130" t="s">
        <v>364</v>
      </c>
      <c r="D34" s="133" t="e">
        <f>项目基准价!$C$15*PRODUCT(赋权表!F34:T34)</f>
        <v>#REF!</v>
      </c>
      <c r="E34" s="131" t="e">
        <f>D33/D34-1</f>
        <v>#REF!</v>
      </c>
      <c r="F34" s="140" t="e">
        <f>F24</f>
        <v>#REF!</v>
      </c>
      <c r="G34" s="140">
        <f t="shared" ref="G34:M34" si="16">G24</f>
        <v>1</v>
      </c>
      <c r="H34" s="140">
        <f t="shared" si="16"/>
        <v>1.04</v>
      </c>
      <c r="I34" s="140">
        <f t="shared" si="16"/>
        <v>1</v>
      </c>
      <c r="J34" s="140">
        <f t="shared" si="16"/>
        <v>1</v>
      </c>
      <c r="K34" s="140">
        <f t="shared" si="16"/>
        <v>1.05</v>
      </c>
      <c r="L34" s="140" t="e">
        <f t="shared" si="16"/>
        <v>#REF!</v>
      </c>
      <c r="M34" s="140" t="e">
        <f t="shared" si="16"/>
        <v>#REF!</v>
      </c>
      <c r="N34" s="140">
        <f>N26</f>
        <v>1.06</v>
      </c>
      <c r="O34" s="140" t="e">
        <f>O26</f>
        <v>#REF!</v>
      </c>
      <c r="P34" s="140" t="e">
        <f>P24</f>
        <v>#REF!</v>
      </c>
      <c r="Q34" s="140">
        <f>【1】定价因子!F32</f>
        <v>1.03</v>
      </c>
      <c r="R34" s="140">
        <f>R30</f>
        <v>1</v>
      </c>
      <c r="S34" s="140">
        <f>S10</f>
        <v>1.06</v>
      </c>
      <c r="T34" s="140">
        <f>T20</f>
        <v>1.02</v>
      </c>
    </row>
    <row r="35" s="109" customFormat="1" spans="1:20">
      <c r="A35" s="109" t="s">
        <v>384</v>
      </c>
      <c r="B35" s="129" t="s">
        <v>393</v>
      </c>
      <c r="C35" s="130" t="s">
        <v>362</v>
      </c>
      <c r="D35" s="133">
        <v>1249</v>
      </c>
      <c r="E35" s="131"/>
      <c r="F35" s="124" t="s">
        <v>152</v>
      </c>
      <c r="G35" s="124" t="s">
        <v>149</v>
      </c>
      <c r="H35" s="124" t="s">
        <v>340</v>
      </c>
      <c r="I35" s="124" t="s">
        <v>54</v>
      </c>
      <c r="J35" s="124" t="s">
        <v>54</v>
      </c>
      <c r="K35" s="124" t="s">
        <v>54</v>
      </c>
      <c r="L35" s="124" t="s">
        <v>341</v>
      </c>
      <c r="M35" s="124" t="s">
        <v>354</v>
      </c>
      <c r="N35" s="124" t="s">
        <v>63</v>
      </c>
      <c r="O35" s="125" t="s">
        <v>63</v>
      </c>
      <c r="P35" s="124" t="s">
        <v>54</v>
      </c>
      <c r="Q35" s="140" t="s">
        <v>394</v>
      </c>
      <c r="R35" s="124" t="s">
        <v>63</v>
      </c>
      <c r="S35" s="147" t="s">
        <v>367</v>
      </c>
      <c r="T35" s="124" t="s">
        <v>63</v>
      </c>
    </row>
    <row r="36" s="109" customFormat="1" spans="1:20">
      <c r="B36" s="129"/>
      <c r="C36" s="130" t="s">
        <v>364</v>
      </c>
      <c r="D36" s="133" t="e">
        <f>项目基准价!$C$14*PRODUCT(赋权表!F36:T36)</f>
        <v>#REF!</v>
      </c>
      <c r="E36" s="131" t="e">
        <f>D35/D36-1</f>
        <v>#REF!</v>
      </c>
      <c r="F36" s="140" t="e">
        <f>F30</f>
        <v>#REF!</v>
      </c>
      <c r="G36" s="140">
        <f t="shared" ref="G36:N36" si="17">G30</f>
        <v>1</v>
      </c>
      <c r="H36" s="140">
        <f t="shared" si="17"/>
        <v>0.96</v>
      </c>
      <c r="I36" s="140">
        <f>I34</f>
        <v>1</v>
      </c>
      <c r="J36" s="140">
        <f t="shared" si="17"/>
        <v>1</v>
      </c>
      <c r="K36" s="140">
        <f t="shared" si="17"/>
        <v>1</v>
      </c>
      <c r="L36" s="140" t="e">
        <f>L32</f>
        <v>#REF!</v>
      </c>
      <c r="M36" s="140" t="e">
        <f t="shared" si="17"/>
        <v>#REF!</v>
      </c>
      <c r="N36" s="140">
        <f t="shared" si="17"/>
        <v>1</v>
      </c>
      <c r="O36" s="140" t="e">
        <f>O34</f>
        <v>#REF!</v>
      </c>
      <c r="P36" s="140" t="e">
        <f>P28</f>
        <v>#REF!</v>
      </c>
      <c r="Q36" s="140">
        <f>【1】定价因子!F22</f>
        <v>0.98</v>
      </c>
      <c r="R36" s="140">
        <f>R34</f>
        <v>1</v>
      </c>
      <c r="S36" s="140">
        <f>S34</f>
        <v>1.06</v>
      </c>
      <c r="T36" s="140">
        <f>T32</f>
        <v>1</v>
      </c>
    </row>
    <row r="37" s="109" customFormat="1" spans="1:20">
      <c r="A37" s="109" t="s">
        <v>384</v>
      </c>
      <c r="B37" s="129" t="s">
        <v>395</v>
      </c>
      <c r="C37" s="130" t="s">
        <v>362</v>
      </c>
      <c r="D37" s="133">
        <v>1299</v>
      </c>
      <c r="E37" s="131"/>
      <c r="F37" s="124" t="s">
        <v>152</v>
      </c>
      <c r="G37" s="124" t="s">
        <v>149</v>
      </c>
      <c r="H37" s="124" t="s">
        <v>340</v>
      </c>
      <c r="I37" s="124" t="s">
        <v>54</v>
      </c>
      <c r="J37" s="124" t="s">
        <v>54</v>
      </c>
      <c r="K37" s="124" t="s">
        <v>54</v>
      </c>
      <c r="L37" s="124" t="s">
        <v>341</v>
      </c>
      <c r="M37" s="124" t="s">
        <v>63</v>
      </c>
      <c r="N37" s="124" t="s">
        <v>63</v>
      </c>
      <c r="O37" s="125" t="s">
        <v>63</v>
      </c>
      <c r="P37" s="124" t="s">
        <v>54</v>
      </c>
      <c r="Q37" s="140" t="s">
        <v>360</v>
      </c>
      <c r="R37" s="124" t="s">
        <v>63</v>
      </c>
      <c r="S37" s="124" t="s">
        <v>63</v>
      </c>
      <c r="T37" s="124" t="s">
        <v>63</v>
      </c>
    </row>
    <row r="38" s="109" customFormat="1" spans="1:20">
      <c r="B38" s="129"/>
      <c r="C38" s="130" t="s">
        <v>364</v>
      </c>
      <c r="D38" s="133" t="e">
        <f>项目基准价!$C$14*PRODUCT(赋权表!F38:T38)</f>
        <v>#REF!</v>
      </c>
      <c r="E38" s="146" t="e">
        <f>D37/D38-1</f>
        <v>#REF!</v>
      </c>
      <c r="F38" s="140" t="e">
        <f>F8</f>
        <v>#REF!</v>
      </c>
      <c r="G38" s="140">
        <f t="shared" ref="G38:M38" si="18">G8</f>
        <v>1</v>
      </c>
      <c r="H38" s="140">
        <f t="shared" si="18"/>
        <v>0.96</v>
      </c>
      <c r="I38" s="140">
        <f>I36</f>
        <v>1</v>
      </c>
      <c r="J38" s="140">
        <f t="shared" si="18"/>
        <v>1</v>
      </c>
      <c r="K38" s="140">
        <f t="shared" si="18"/>
        <v>1</v>
      </c>
      <c r="L38" s="140" t="e">
        <f t="shared" si="18"/>
        <v>#REF!</v>
      </c>
      <c r="M38" s="140" t="e">
        <f t="shared" si="18"/>
        <v>#REF!</v>
      </c>
      <c r="N38" s="153">
        <f>N36</f>
        <v>1</v>
      </c>
      <c r="O38" s="153" t="e">
        <f t="shared" ref="O38:P38" si="19">O36</f>
        <v>#REF!</v>
      </c>
      <c r="P38" s="153" t="e">
        <f t="shared" si="19"/>
        <v>#REF!</v>
      </c>
      <c r="Q38" s="109">
        <f>【1】定价因子!F21</f>
        <v>0.99</v>
      </c>
      <c r="R38" s="153">
        <f>R36</f>
        <v>1</v>
      </c>
      <c r="S38" s="153">
        <f>S28</f>
        <v>1.03</v>
      </c>
      <c r="T38" s="153">
        <f>T28</f>
        <v>1</v>
      </c>
    </row>
    <row r="39" s="109" customFormat="1" spans="1:20">
      <c r="B39" s="129" t="s">
        <v>396</v>
      </c>
      <c r="C39" s="130" t="s">
        <v>362</v>
      </c>
      <c r="D39" s="133">
        <v>1239</v>
      </c>
      <c r="E39" s="131"/>
      <c r="F39" s="124" t="s">
        <v>152</v>
      </c>
      <c r="G39" s="124" t="s">
        <v>149</v>
      </c>
      <c r="H39" s="124" t="s">
        <v>358</v>
      </c>
      <c r="I39" s="124" t="s">
        <v>54</v>
      </c>
      <c r="J39" s="124" t="s">
        <v>54</v>
      </c>
      <c r="K39" s="124" t="s">
        <v>54</v>
      </c>
      <c r="L39" s="124" t="s">
        <v>341</v>
      </c>
      <c r="M39" s="124" t="s">
        <v>63</v>
      </c>
      <c r="N39" s="124" t="s">
        <v>63</v>
      </c>
      <c r="O39" s="125" t="s">
        <v>63</v>
      </c>
      <c r="P39" s="124" t="s">
        <v>54</v>
      </c>
      <c r="Q39" s="140" t="s">
        <v>360</v>
      </c>
      <c r="R39" s="124" t="s">
        <v>134</v>
      </c>
      <c r="S39" s="125" t="s">
        <v>363</v>
      </c>
      <c r="T39" s="124" t="s">
        <v>63</v>
      </c>
    </row>
    <row r="40" s="109" customFormat="1" spans="1:20">
      <c r="B40" s="129"/>
      <c r="C40" s="130" t="s">
        <v>364</v>
      </c>
      <c r="D40" s="133" t="e">
        <f>项目基准价!$C$13*PRODUCT(赋权表!F40:T40)</f>
        <v>#REF!</v>
      </c>
      <c r="E40" s="131" t="e">
        <f>D39/D40-1</f>
        <v>#REF!</v>
      </c>
      <c r="F40" s="140" t="e">
        <f>F32</f>
        <v>#REF!</v>
      </c>
      <c r="G40" s="140">
        <f t="shared" ref="G40:M40" si="20">G32</f>
        <v>1</v>
      </c>
      <c r="H40" s="140" t="e">
        <f t="shared" si="20"/>
        <v>#REF!</v>
      </c>
      <c r="I40" s="140">
        <f>I38</f>
        <v>1</v>
      </c>
      <c r="J40" s="140">
        <f t="shared" si="20"/>
        <v>1</v>
      </c>
      <c r="K40" s="140">
        <f t="shared" si="20"/>
        <v>1</v>
      </c>
      <c r="L40" s="140" t="e">
        <f t="shared" si="20"/>
        <v>#REF!</v>
      </c>
      <c r="M40" s="140" t="e">
        <f t="shared" si="20"/>
        <v>#REF!</v>
      </c>
      <c r="N40" s="140">
        <f>N38</f>
        <v>1</v>
      </c>
      <c r="O40" s="140" t="e">
        <f>O38</f>
        <v>#REF!</v>
      </c>
      <c r="P40" s="140" t="e">
        <f>P38</f>
        <v>#REF!</v>
      </c>
      <c r="Q40" s="140">
        <f>Q38</f>
        <v>0.99</v>
      </c>
      <c r="R40" s="140">
        <f>R14</f>
        <v>1.04</v>
      </c>
      <c r="S40" s="140">
        <f>S32</f>
        <v>1</v>
      </c>
      <c r="T40" s="140">
        <f>T38</f>
        <v>1</v>
      </c>
    </row>
    <row r="41" s="109" customFormat="1" spans="1:20">
      <c r="A41" s="109" t="s">
        <v>391</v>
      </c>
      <c r="B41" s="129" t="s">
        <v>397</v>
      </c>
      <c r="C41" s="130" t="s">
        <v>362</v>
      </c>
      <c r="D41" s="133">
        <v>1699</v>
      </c>
      <c r="E41" s="131"/>
      <c r="F41" s="124" t="s">
        <v>152</v>
      </c>
      <c r="G41" s="124" t="s">
        <v>149</v>
      </c>
      <c r="H41" s="124" t="s">
        <v>340</v>
      </c>
      <c r="I41" s="124" t="s">
        <v>54</v>
      </c>
      <c r="J41" s="124" t="s">
        <v>54</v>
      </c>
      <c r="K41" s="124" t="s">
        <v>54</v>
      </c>
      <c r="L41" s="124" t="s">
        <v>341</v>
      </c>
      <c r="M41" s="124" t="s">
        <v>63</v>
      </c>
      <c r="N41" s="124" t="s">
        <v>63</v>
      </c>
      <c r="O41" s="125" t="s">
        <v>63</v>
      </c>
      <c r="P41" s="124" t="s">
        <v>54</v>
      </c>
      <c r="Q41" s="140" t="s">
        <v>366</v>
      </c>
      <c r="R41" s="147" t="s">
        <v>112</v>
      </c>
      <c r="S41" s="125" t="s">
        <v>63</v>
      </c>
      <c r="T41" s="124" t="s">
        <v>63</v>
      </c>
    </row>
    <row r="42" s="109" customFormat="1" spans="1:20">
      <c r="B42" s="129"/>
      <c r="C42" s="130" t="s">
        <v>364</v>
      </c>
      <c r="D42" s="133" t="e">
        <f>项目基准价!$C$16*PRODUCT(赋权表!F42:T42)</f>
        <v>#REF!</v>
      </c>
      <c r="E42" s="131" t="e">
        <f>D41/D42-1</f>
        <v>#REF!</v>
      </c>
      <c r="F42" s="140" t="e">
        <f>F38</f>
        <v>#REF!</v>
      </c>
      <c r="G42" s="140">
        <f t="shared" ref="G42:N42" si="21">G38</f>
        <v>1</v>
      </c>
      <c r="H42" s="140">
        <f t="shared" si="21"/>
        <v>0.96</v>
      </c>
      <c r="I42" s="140">
        <f t="shared" si="21"/>
        <v>1</v>
      </c>
      <c r="J42" s="140">
        <f t="shared" si="21"/>
        <v>1</v>
      </c>
      <c r="K42" s="140">
        <f t="shared" si="21"/>
        <v>1</v>
      </c>
      <c r="L42" s="140" t="e">
        <f t="shared" si="21"/>
        <v>#REF!</v>
      </c>
      <c r="M42" s="140" t="e">
        <f t="shared" si="21"/>
        <v>#REF!</v>
      </c>
      <c r="N42" s="153">
        <f t="shared" si="21"/>
        <v>1</v>
      </c>
      <c r="O42" s="140" t="e">
        <f>O40</f>
        <v>#REF!</v>
      </c>
      <c r="P42" s="140" t="e">
        <f>P40</f>
        <v>#REF!</v>
      </c>
      <c r="Q42" s="140">
        <f>Q32</f>
        <v>1.02</v>
      </c>
      <c r="R42" s="140"/>
      <c r="S42" s="140">
        <f>S38</f>
        <v>1.03</v>
      </c>
      <c r="T42" s="140">
        <f>T40</f>
        <v>1</v>
      </c>
    </row>
    <row r="43" s="109" customFormat="1" spans="1:20">
      <c r="B43" s="129" t="s">
        <v>398</v>
      </c>
      <c r="C43" s="130" t="s">
        <v>362</v>
      </c>
      <c r="D43" s="144">
        <v>1239</v>
      </c>
      <c r="E43" s="131"/>
      <c r="F43" s="124" t="s">
        <v>152</v>
      </c>
      <c r="G43" s="124" t="s">
        <v>149</v>
      </c>
      <c r="H43" s="124" t="s">
        <v>358</v>
      </c>
      <c r="I43" s="125" t="s">
        <v>164</v>
      </c>
      <c r="J43" s="124" t="s">
        <v>54</v>
      </c>
      <c r="K43" s="124" t="s">
        <v>54</v>
      </c>
      <c r="L43" s="124" t="s">
        <v>341</v>
      </c>
      <c r="M43" s="124" t="s">
        <v>63</v>
      </c>
      <c r="N43" s="124" t="s">
        <v>355</v>
      </c>
      <c r="O43" s="125" t="s">
        <v>63</v>
      </c>
      <c r="P43" s="124" t="s">
        <v>54</v>
      </c>
      <c r="Q43" s="140" t="s">
        <v>360</v>
      </c>
      <c r="R43" s="124" t="s">
        <v>134</v>
      </c>
      <c r="S43" s="125" t="s">
        <v>363</v>
      </c>
      <c r="T43" s="124" t="s">
        <v>63</v>
      </c>
    </row>
    <row r="44" s="109" customFormat="1" spans="1:20">
      <c r="B44" s="129"/>
      <c r="C44" s="130" t="s">
        <v>364</v>
      </c>
      <c r="D44" s="133" t="e">
        <f>项目基准价!$C$13*PRODUCT(赋权表!F44:T44)</f>
        <v>#REF!</v>
      </c>
      <c r="E44" s="146" t="e">
        <f>D43/D44-1</f>
        <v>#REF!</v>
      </c>
      <c r="F44" s="140" t="e">
        <f>F42</f>
        <v>#REF!</v>
      </c>
      <c r="G44" s="140">
        <f>G42</f>
        <v>1</v>
      </c>
      <c r="H44" s="140" t="e">
        <f>H40</f>
        <v>#REF!</v>
      </c>
      <c r="I44" s="140">
        <f>【1】定价因子!F69</f>
        <v>0.975</v>
      </c>
      <c r="J44" s="140">
        <f t="shared" ref="J44:N44" si="22">J34</f>
        <v>1</v>
      </c>
      <c r="K44" s="140">
        <f>K38</f>
        <v>1</v>
      </c>
      <c r="L44" s="140" t="e">
        <f>L36</f>
        <v>#REF!</v>
      </c>
      <c r="M44" s="140" t="e">
        <f t="shared" si="22"/>
        <v>#REF!</v>
      </c>
      <c r="N44" s="140">
        <f t="shared" si="22"/>
        <v>1.06</v>
      </c>
      <c r="O44" s="140" t="e">
        <f>O40</f>
        <v>#REF!</v>
      </c>
      <c r="P44" s="140" t="e">
        <f t="shared" ref="P44:T44" si="23">P40</f>
        <v>#REF!</v>
      </c>
      <c r="Q44" s="140">
        <f t="shared" si="23"/>
        <v>0.99</v>
      </c>
      <c r="R44" s="140">
        <f t="shared" si="23"/>
        <v>1.04</v>
      </c>
      <c r="S44" s="140">
        <f>S32</f>
        <v>1</v>
      </c>
      <c r="T44" s="140">
        <f t="shared" si="23"/>
        <v>1</v>
      </c>
    </row>
    <row r="45" s="109" customFormat="1" spans="1:20">
      <c r="B45" s="129" t="s">
        <v>399</v>
      </c>
      <c r="C45" s="130" t="s">
        <v>362</v>
      </c>
      <c r="D45" s="144">
        <v>1239</v>
      </c>
      <c r="E45" s="131"/>
      <c r="F45" s="132" t="s">
        <v>153</v>
      </c>
      <c r="G45" s="124" t="s">
        <v>149</v>
      </c>
      <c r="H45" s="124" t="s">
        <v>358</v>
      </c>
      <c r="I45" s="124" t="s">
        <v>54</v>
      </c>
      <c r="J45" s="124" t="s">
        <v>54</v>
      </c>
      <c r="K45" s="124" t="s">
        <v>54</v>
      </c>
      <c r="L45" s="124" t="s">
        <v>341</v>
      </c>
      <c r="M45" s="124" t="s">
        <v>63</v>
      </c>
      <c r="N45" s="124" t="s">
        <v>355</v>
      </c>
      <c r="O45" s="125" t="s">
        <v>63</v>
      </c>
      <c r="P45" s="124" t="s">
        <v>54</v>
      </c>
      <c r="Q45" s="140" t="s">
        <v>366</v>
      </c>
      <c r="R45" s="124" t="s">
        <v>134</v>
      </c>
      <c r="S45" s="124" t="s">
        <v>63</v>
      </c>
      <c r="T45" s="124" t="s">
        <v>63</v>
      </c>
    </row>
    <row r="46" s="109" customFormat="1" spans="1:20">
      <c r="B46" s="129"/>
      <c r="C46" s="130" t="s">
        <v>364</v>
      </c>
      <c r="D46" s="133" t="e">
        <f>项目基准价!$C$13*PRODUCT(赋权表!F46:T46)</f>
        <v>#REF!</v>
      </c>
      <c r="E46" s="146" t="e">
        <f>D45/D46-1</f>
        <v>#REF!</v>
      </c>
      <c r="F46" s="140" t="e">
        <f>F10</f>
        <v>#REF!</v>
      </c>
      <c r="G46" s="140">
        <f t="shared" ref="G46:M46" si="24">G10</f>
        <v>1</v>
      </c>
      <c r="H46" s="140" t="e">
        <f t="shared" si="24"/>
        <v>#REF!</v>
      </c>
      <c r="I46" s="140">
        <f t="shared" si="24"/>
        <v>1</v>
      </c>
      <c r="J46" s="140">
        <f t="shared" si="24"/>
        <v>1</v>
      </c>
      <c r="K46" s="140">
        <f t="shared" si="24"/>
        <v>1</v>
      </c>
      <c r="L46" s="140" t="e">
        <f t="shared" si="24"/>
        <v>#REF!</v>
      </c>
      <c r="M46" s="140" t="e">
        <f t="shared" si="24"/>
        <v>#REF!</v>
      </c>
      <c r="N46" s="140">
        <f>N34</f>
        <v>1.06</v>
      </c>
      <c r="O46" s="140" t="e">
        <f>O44</f>
        <v>#REF!</v>
      </c>
      <c r="P46" s="140" t="e">
        <f>P44</f>
        <v>#REF!</v>
      </c>
      <c r="Q46" s="140">
        <f>Q42</f>
        <v>1.02</v>
      </c>
      <c r="R46" s="140">
        <f>R44</f>
        <v>1.04</v>
      </c>
      <c r="S46" s="140">
        <f>S42</f>
        <v>1.03</v>
      </c>
      <c r="T46" s="140">
        <f>T44</f>
        <v>1</v>
      </c>
    </row>
    <row r="47" s="109" customFormat="1" spans="1:20">
      <c r="B47" s="129" t="s">
        <v>400</v>
      </c>
      <c r="C47" s="130" t="s">
        <v>362</v>
      </c>
      <c r="D47" s="144">
        <v>1629</v>
      </c>
      <c r="E47" s="131"/>
      <c r="F47" s="124" t="s">
        <v>152</v>
      </c>
      <c r="G47" s="124" t="s">
        <v>149</v>
      </c>
      <c r="H47" s="124" t="s">
        <v>340</v>
      </c>
      <c r="I47" s="124" t="s">
        <v>54</v>
      </c>
      <c r="J47" s="124" t="s">
        <v>54</v>
      </c>
      <c r="K47" s="136" t="s">
        <v>51</v>
      </c>
      <c r="L47" s="124" t="s">
        <v>341</v>
      </c>
      <c r="M47" s="124" t="s">
        <v>63</v>
      </c>
      <c r="N47" s="124" t="s">
        <v>63</v>
      </c>
      <c r="O47" s="125" t="s">
        <v>63</v>
      </c>
      <c r="P47" s="124" t="s">
        <v>54</v>
      </c>
      <c r="Q47" s="140" t="s">
        <v>401</v>
      </c>
      <c r="R47" s="124" t="s">
        <v>63</v>
      </c>
      <c r="S47" s="124" t="s">
        <v>63</v>
      </c>
      <c r="T47" s="125" t="s">
        <v>157</v>
      </c>
    </row>
    <row r="48" s="109" customFormat="1" spans="1:20">
      <c r="B48" s="129"/>
      <c r="C48" s="130" t="s">
        <v>364</v>
      </c>
      <c r="D48" s="133" t="e">
        <f>项目基准价!$C$13*PRODUCT(赋权表!F48:T48)</f>
        <v>#REF!</v>
      </c>
      <c r="E48" s="146" t="e">
        <f>D47/D48-1</f>
        <v>#REF!</v>
      </c>
      <c r="F48" s="140" t="e">
        <f>F34</f>
        <v>#REF!</v>
      </c>
      <c r="G48" s="140">
        <f>G34</f>
        <v>1</v>
      </c>
      <c r="H48" s="140">
        <f>H42</f>
        <v>0.96</v>
      </c>
      <c r="I48" s="140">
        <f>I34</f>
        <v>1</v>
      </c>
      <c r="J48" s="140">
        <f t="shared" ref="J48:M48" si="25">J34</f>
        <v>1</v>
      </c>
      <c r="K48" s="140">
        <f t="shared" si="25"/>
        <v>1.05</v>
      </c>
      <c r="L48" s="140" t="e">
        <f>L46</f>
        <v>#REF!</v>
      </c>
      <c r="M48" s="140" t="e">
        <f t="shared" si="25"/>
        <v>#REF!</v>
      </c>
      <c r="N48" s="140">
        <f>N40</f>
        <v>1</v>
      </c>
      <c r="O48" s="140" t="e">
        <f t="shared" ref="O48:P48" si="26">O40</f>
        <v>#REF!</v>
      </c>
      <c r="P48" s="140" t="e">
        <f t="shared" si="26"/>
        <v>#REF!</v>
      </c>
      <c r="Q48" s="140">
        <f>【1】定价因子!F32</f>
        <v>1.03</v>
      </c>
      <c r="R48" s="140">
        <f>R38</f>
        <v>1</v>
      </c>
      <c r="S48" s="140">
        <f t="shared" ref="S48" si="27">S38</f>
        <v>1.03</v>
      </c>
      <c r="T48" s="140">
        <f>T20</f>
        <v>1.02</v>
      </c>
    </row>
    <row r="49" s="109" customFormat="1" spans="1:20">
      <c r="A49" s="109" t="s">
        <v>402</v>
      </c>
      <c r="B49" s="129" t="s">
        <v>403</v>
      </c>
      <c r="C49" s="130" t="s">
        <v>362</v>
      </c>
      <c r="D49" s="133">
        <v>1449</v>
      </c>
      <c r="E49" s="131"/>
      <c r="F49" s="124" t="s">
        <v>152</v>
      </c>
      <c r="G49" s="124" t="s">
        <v>149</v>
      </c>
      <c r="H49" s="124" t="s">
        <v>340</v>
      </c>
      <c r="I49" s="124" t="s">
        <v>54</v>
      </c>
      <c r="J49" s="124" t="s">
        <v>54</v>
      </c>
      <c r="K49" s="136" t="s">
        <v>51</v>
      </c>
      <c r="L49" s="124" t="s">
        <v>341</v>
      </c>
      <c r="M49" s="124" t="s">
        <v>63</v>
      </c>
      <c r="N49" s="124" t="s">
        <v>63</v>
      </c>
      <c r="O49" s="125" t="s">
        <v>63</v>
      </c>
      <c r="P49" s="124" t="s">
        <v>54</v>
      </c>
      <c r="Q49" s="140" t="s">
        <v>366</v>
      </c>
      <c r="R49" s="124" t="s">
        <v>134</v>
      </c>
      <c r="S49" s="125" t="s">
        <v>363</v>
      </c>
      <c r="T49" s="124" t="s">
        <v>63</v>
      </c>
    </row>
    <row r="50" s="109" customFormat="1" spans="1:20">
      <c r="B50" s="129"/>
      <c r="C50" s="130" t="s">
        <v>364</v>
      </c>
      <c r="D50" s="133" t="e">
        <f>项目基准价!$C$13*PRODUCT(赋权表!F50:T50)</f>
        <v>#REF!</v>
      </c>
      <c r="E50" s="146" t="e">
        <f>D49/D50-1</f>
        <v>#REF!</v>
      </c>
      <c r="F50" s="140" t="e">
        <f>F26</f>
        <v>#REF!</v>
      </c>
      <c r="G50" s="140">
        <f t="shared" ref="G50:M50" si="28">G26</f>
        <v>1</v>
      </c>
      <c r="H50" s="140">
        <f t="shared" si="28"/>
        <v>0.96</v>
      </c>
      <c r="I50" s="140">
        <f t="shared" si="28"/>
        <v>1</v>
      </c>
      <c r="J50" s="140">
        <f t="shared" si="28"/>
        <v>1</v>
      </c>
      <c r="K50" s="140">
        <f t="shared" si="28"/>
        <v>1</v>
      </c>
      <c r="L50" s="140" t="e">
        <f t="shared" si="28"/>
        <v>#REF!</v>
      </c>
      <c r="M50" s="140" t="e">
        <f t="shared" si="28"/>
        <v>#REF!</v>
      </c>
      <c r="N50" s="140">
        <f>N48</f>
        <v>1</v>
      </c>
      <c r="O50" s="140" t="e">
        <f>O48</f>
        <v>#REF!</v>
      </c>
      <c r="P50" s="140" t="e">
        <f>P48</f>
        <v>#REF!</v>
      </c>
      <c r="Q50" s="140">
        <f>Q46</f>
        <v>1.02</v>
      </c>
      <c r="R50" s="140">
        <f>R46</f>
        <v>1.04</v>
      </c>
      <c r="S50" s="140">
        <f>S44</f>
        <v>1</v>
      </c>
      <c r="T50" s="140">
        <f>T46</f>
        <v>1</v>
      </c>
    </row>
    <row r="51" s="109" customFormat="1" spans="1:20">
      <c r="B51" s="129" t="s">
        <v>404</v>
      </c>
      <c r="C51" s="130" t="s">
        <v>362</v>
      </c>
      <c r="D51" s="133">
        <v>1449</v>
      </c>
      <c r="E51" s="131"/>
      <c r="F51" s="124" t="s">
        <v>152</v>
      </c>
      <c r="G51" s="124" t="s">
        <v>149</v>
      </c>
      <c r="H51" s="124" t="s">
        <v>340</v>
      </c>
      <c r="I51" s="124" t="s">
        <v>54</v>
      </c>
      <c r="J51" s="124" t="s">
        <v>54</v>
      </c>
      <c r="K51" s="124" t="s">
        <v>54</v>
      </c>
      <c r="L51" s="124" t="s">
        <v>359</v>
      </c>
      <c r="M51" s="124" t="s">
        <v>63</v>
      </c>
      <c r="N51" s="124" t="s">
        <v>63</v>
      </c>
      <c r="O51" s="125" t="s">
        <v>63</v>
      </c>
      <c r="P51" s="124" t="s">
        <v>54</v>
      </c>
      <c r="Q51" s="140" t="s">
        <v>342</v>
      </c>
      <c r="R51" s="124" t="s">
        <v>63</v>
      </c>
      <c r="S51" s="124" t="s">
        <v>63</v>
      </c>
      <c r="T51" s="124" t="s">
        <v>63</v>
      </c>
    </row>
    <row r="52" s="109" customFormat="1" spans="1:20">
      <c r="B52" s="129"/>
      <c r="C52" s="130" t="s">
        <v>364</v>
      </c>
      <c r="D52" s="133" t="e">
        <f>项目基准价!$C$13*PRODUCT(赋权表!F52:T52)</f>
        <v>#REF!</v>
      </c>
      <c r="E52" s="146" t="e">
        <f>D51/D52-1</f>
        <v>#REF!</v>
      </c>
      <c r="F52" s="140" t="e">
        <f>F14</f>
        <v>#REF!</v>
      </c>
      <c r="G52" s="140">
        <f t="shared" ref="G52:M52" si="29">G14</f>
        <v>1</v>
      </c>
      <c r="H52" s="140">
        <f t="shared" si="29"/>
        <v>0.96</v>
      </c>
      <c r="I52" s="140">
        <f t="shared" si="29"/>
        <v>1</v>
      </c>
      <c r="J52" s="140">
        <f t="shared" si="29"/>
        <v>1</v>
      </c>
      <c r="K52" s="140">
        <f t="shared" si="29"/>
        <v>1</v>
      </c>
      <c r="L52" s="140" t="e">
        <f t="shared" si="29"/>
        <v>#REF!</v>
      </c>
      <c r="M52" s="140" t="e">
        <f t="shared" si="29"/>
        <v>#REF!</v>
      </c>
      <c r="N52" s="140">
        <f>N50</f>
        <v>1</v>
      </c>
      <c r="O52" s="140" t="e">
        <f t="shared" ref="O52:P52" si="30">O50</f>
        <v>#REF!</v>
      </c>
      <c r="P52" s="140" t="e">
        <f t="shared" si="30"/>
        <v>#REF!</v>
      </c>
      <c r="Q52" s="140">
        <f>Q8</f>
        <v>1</v>
      </c>
      <c r="R52" s="140">
        <f>R48</f>
        <v>1</v>
      </c>
      <c r="S52" s="140">
        <f t="shared" ref="S52" si="31">S48</f>
        <v>1.03</v>
      </c>
      <c r="T52" s="140">
        <f>T46</f>
        <v>1</v>
      </c>
    </row>
    <row r="53" s="109" customFormat="1" spans="1:20">
      <c r="B53" s="129" t="s">
        <v>405</v>
      </c>
      <c r="C53" s="130"/>
      <c r="D53" s="129"/>
      <c r="E53" s="131"/>
      <c r="F53" s="132">
        <f>SUM(F55:F71)</f>
        <v>152</v>
      </c>
      <c r="G53" s="132">
        <f t="shared" ref="G53:T53" si="32">SUM(G55:G71)</f>
        <v>65</v>
      </c>
      <c r="H53" s="132">
        <f t="shared" si="32"/>
        <v>32</v>
      </c>
      <c r="I53" s="132">
        <f t="shared" si="32"/>
        <v>125</v>
      </c>
      <c r="J53" s="132">
        <f t="shared" si="32"/>
        <v>139</v>
      </c>
      <c r="K53" s="132">
        <f t="shared" si="32"/>
        <v>51</v>
      </c>
      <c r="L53" s="132">
        <f t="shared" si="32"/>
        <v>38</v>
      </c>
      <c r="M53" s="132">
        <f t="shared" si="32"/>
        <v>26</v>
      </c>
      <c r="N53" s="132">
        <f t="shared" si="32"/>
        <v>154</v>
      </c>
      <c r="O53" s="132">
        <f t="shared" si="32"/>
        <v>123</v>
      </c>
      <c r="P53" s="132">
        <f t="shared" si="32"/>
        <v>144</v>
      </c>
      <c r="Q53" s="132">
        <f t="shared" si="32"/>
        <v>74</v>
      </c>
      <c r="R53" s="132">
        <f t="shared" si="32"/>
        <v>86</v>
      </c>
      <c r="S53" s="132">
        <f t="shared" si="32"/>
        <v>161</v>
      </c>
      <c r="T53" s="132">
        <f t="shared" si="32"/>
        <v>100</v>
      </c>
    </row>
    <row r="54" s="109" customFormat="1" spans="1:20">
      <c r="A54" s="154">
        <f>6%/150</f>
        <v>0.0004</v>
      </c>
      <c r="B54" s="129" t="s">
        <v>406</v>
      </c>
      <c r="C54" s="130"/>
      <c r="D54" s="129"/>
      <c r="E54" s="131"/>
      <c r="F54" s="155">
        <v>0.06</v>
      </c>
      <c r="G54" s="155">
        <v>0.025</v>
      </c>
      <c r="H54" s="155">
        <v>0.015</v>
      </c>
      <c r="I54" s="155">
        <v>0.05</v>
      </c>
      <c r="J54" s="155">
        <v>0.055</v>
      </c>
      <c r="K54" s="155">
        <v>0.02</v>
      </c>
      <c r="L54" s="155">
        <v>0.015</v>
      </c>
      <c r="M54" s="155">
        <v>0.01</v>
      </c>
      <c r="N54" s="155">
        <v>0.06</v>
      </c>
      <c r="O54" s="155">
        <v>0.05</v>
      </c>
      <c r="P54" s="155">
        <v>0.06</v>
      </c>
      <c r="Q54" s="155">
        <v>0.015</v>
      </c>
      <c r="R54" s="155">
        <v>0.035</v>
      </c>
      <c r="S54" s="155">
        <v>0.065</v>
      </c>
      <c r="T54" s="155">
        <v>0.04</v>
      </c>
    </row>
    <row r="55" spans="1:20">
      <c r="A55" s="111" t="s">
        <v>407</v>
      </c>
      <c r="E55" s="156"/>
      <c r="F55" s="157">
        <v>20</v>
      </c>
      <c r="G55" s="111">
        <v>2</v>
      </c>
      <c r="H55" s="111">
        <v>12</v>
      </c>
      <c r="I55" s="111">
        <v>20</v>
      </c>
      <c r="J55" s="111">
        <v>10</v>
      </c>
      <c r="K55" s="111">
        <v>8</v>
      </c>
      <c r="L55" s="111">
        <v>12</v>
      </c>
      <c r="M55" s="111">
        <v>0</v>
      </c>
      <c r="N55" s="111">
        <v>26</v>
      </c>
      <c r="O55" s="111">
        <v>18</v>
      </c>
      <c r="P55" s="111">
        <v>26</v>
      </c>
      <c r="Q55" s="111">
        <v>10</v>
      </c>
      <c r="R55" s="111">
        <v>4</v>
      </c>
      <c r="S55" s="111">
        <v>26</v>
      </c>
      <c r="T55" s="111">
        <v>16</v>
      </c>
    </row>
    <row r="56" spans="1:20">
      <c r="A56" s="111" t="s">
        <v>408</v>
      </c>
      <c r="E56" s="156"/>
      <c r="F56" s="157">
        <v>13</v>
      </c>
      <c r="G56" s="111">
        <v>7</v>
      </c>
      <c r="H56" s="111">
        <v>1</v>
      </c>
      <c r="I56" s="111">
        <v>10</v>
      </c>
      <c r="J56" s="111">
        <v>14</v>
      </c>
      <c r="K56" s="111">
        <v>2</v>
      </c>
      <c r="L56" s="111">
        <v>3</v>
      </c>
      <c r="M56" s="111">
        <v>0</v>
      </c>
      <c r="N56" s="111">
        <v>9</v>
      </c>
      <c r="O56" s="111">
        <v>8</v>
      </c>
      <c r="P56" s="111">
        <v>11</v>
      </c>
      <c r="Q56" s="111">
        <v>4</v>
      </c>
      <c r="R56" s="111">
        <v>6</v>
      </c>
      <c r="S56" s="111">
        <v>11</v>
      </c>
      <c r="T56" s="111">
        <v>6</v>
      </c>
    </row>
    <row r="57" spans="1:20">
      <c r="A57" s="111" t="s">
        <v>409</v>
      </c>
      <c r="E57" s="156"/>
      <c r="F57" s="157">
        <v>20</v>
      </c>
      <c r="G57" s="111">
        <v>4</v>
      </c>
      <c r="H57" s="111">
        <v>8</v>
      </c>
      <c r="I57" s="111">
        <v>12</v>
      </c>
      <c r="J57" s="111">
        <v>18</v>
      </c>
      <c r="K57" s="111">
        <v>6</v>
      </c>
      <c r="L57" s="111">
        <v>0</v>
      </c>
      <c r="M57" s="111">
        <v>2</v>
      </c>
      <c r="N57" s="111">
        <v>26</v>
      </c>
      <c r="O57" s="111">
        <v>12</v>
      </c>
      <c r="P57" s="111">
        <v>24</v>
      </c>
      <c r="Q57" s="111">
        <v>20</v>
      </c>
      <c r="R57" s="111">
        <v>16</v>
      </c>
      <c r="S57" s="111">
        <v>28</v>
      </c>
      <c r="T57" s="111">
        <v>14</v>
      </c>
    </row>
    <row r="58" spans="1:20">
      <c r="A58" s="111" t="s">
        <v>410</v>
      </c>
      <c r="E58" s="156"/>
      <c r="F58" s="157">
        <v>14</v>
      </c>
      <c r="G58" s="111">
        <v>13</v>
      </c>
      <c r="H58" s="111">
        <v>4</v>
      </c>
      <c r="I58" s="111">
        <v>5</v>
      </c>
      <c r="J58" s="111">
        <v>5</v>
      </c>
      <c r="K58" s="111">
        <v>8</v>
      </c>
      <c r="L58" s="111">
        <v>1</v>
      </c>
      <c r="M58" s="111">
        <v>2</v>
      </c>
      <c r="N58" s="111">
        <v>4</v>
      </c>
      <c r="O58" s="111">
        <v>10</v>
      </c>
      <c r="P58" s="111">
        <v>12</v>
      </c>
      <c r="Q58" s="111">
        <v>0</v>
      </c>
      <c r="R58" s="111">
        <v>7</v>
      </c>
      <c r="S58" s="111">
        <v>11</v>
      </c>
      <c r="T58" s="111">
        <v>9</v>
      </c>
    </row>
    <row r="59" spans="1:20">
      <c r="A59" s="111" t="s">
        <v>411</v>
      </c>
      <c r="E59" s="156"/>
      <c r="F59" s="157">
        <v>13</v>
      </c>
      <c r="G59" s="111">
        <v>5</v>
      </c>
      <c r="H59" s="111">
        <v>3</v>
      </c>
      <c r="I59" s="111">
        <v>12</v>
      </c>
      <c r="J59" s="111">
        <v>14</v>
      </c>
      <c r="K59" s="111">
        <v>2</v>
      </c>
      <c r="L59" s="111">
        <v>0</v>
      </c>
      <c r="M59" s="111">
        <v>1</v>
      </c>
      <c r="N59" s="111">
        <v>7</v>
      </c>
      <c r="O59" s="111">
        <v>6</v>
      </c>
      <c r="P59" s="111">
        <v>9</v>
      </c>
      <c r="Q59" s="111">
        <v>4</v>
      </c>
      <c r="R59" s="111">
        <v>10</v>
      </c>
      <c r="S59" s="111">
        <v>10</v>
      </c>
      <c r="T59" s="111">
        <v>9</v>
      </c>
    </row>
    <row r="60" spans="1:20">
      <c r="A60" s="111" t="s">
        <v>412</v>
      </c>
      <c r="E60" s="156"/>
      <c r="F60" s="157">
        <v>24</v>
      </c>
      <c r="G60" s="111">
        <v>8</v>
      </c>
      <c r="H60" s="111">
        <v>0</v>
      </c>
      <c r="I60" s="111">
        <v>20</v>
      </c>
      <c r="J60" s="111">
        <v>26</v>
      </c>
      <c r="K60" s="111">
        <v>4</v>
      </c>
      <c r="L60" s="111">
        <v>8</v>
      </c>
      <c r="M60" s="111">
        <v>10</v>
      </c>
      <c r="N60" s="111">
        <v>18</v>
      </c>
      <c r="O60" s="111">
        <v>20</v>
      </c>
      <c r="P60" s="111">
        <v>16</v>
      </c>
      <c r="Q60" s="111">
        <v>8</v>
      </c>
      <c r="R60" s="111">
        <v>8</v>
      </c>
      <c r="S60" s="111">
        <v>24</v>
      </c>
      <c r="T60" s="111">
        <v>16</v>
      </c>
    </row>
    <row r="61" spans="1:20">
      <c r="A61" s="111" t="s">
        <v>413</v>
      </c>
      <c r="E61" s="156"/>
      <c r="F61" s="157">
        <v>22</v>
      </c>
      <c r="G61" s="111">
        <v>10</v>
      </c>
      <c r="H61" s="111">
        <v>2</v>
      </c>
      <c r="I61" s="111">
        <v>10</v>
      </c>
      <c r="J61" s="111">
        <v>10</v>
      </c>
      <c r="K61" s="111">
        <v>6</v>
      </c>
      <c r="L61" s="111">
        <v>4</v>
      </c>
      <c r="M61" s="111">
        <v>0</v>
      </c>
      <c r="N61" s="111">
        <v>26</v>
      </c>
      <c r="O61" s="111">
        <v>28</v>
      </c>
      <c r="P61" s="111">
        <v>22</v>
      </c>
      <c r="Q61" s="111">
        <v>14</v>
      </c>
      <c r="R61" s="111">
        <v>18</v>
      </c>
      <c r="S61" s="111">
        <v>22</v>
      </c>
      <c r="T61" s="111">
        <v>16</v>
      </c>
    </row>
    <row r="62" spans="1:20">
      <c r="A62" s="111" t="s">
        <v>414</v>
      </c>
      <c r="E62" s="156"/>
      <c r="F62" s="157">
        <v>8</v>
      </c>
      <c r="G62" s="111">
        <v>2</v>
      </c>
      <c r="H62" s="111">
        <v>0</v>
      </c>
      <c r="I62" s="111">
        <v>10</v>
      </c>
      <c r="J62" s="111">
        <v>14</v>
      </c>
      <c r="K62" s="111">
        <v>1</v>
      </c>
      <c r="L62" s="111">
        <v>4</v>
      </c>
      <c r="M62" s="111">
        <v>9</v>
      </c>
      <c r="N62" s="111">
        <v>6</v>
      </c>
      <c r="O62" s="111">
        <v>11</v>
      </c>
      <c r="P62" s="111">
        <v>6</v>
      </c>
      <c r="Q62" s="111">
        <v>4</v>
      </c>
      <c r="R62" s="111">
        <v>5</v>
      </c>
      <c r="S62" s="111">
        <v>13</v>
      </c>
      <c r="T62" s="111">
        <v>12</v>
      </c>
    </row>
    <row r="63" spans="1:20">
      <c r="A63" s="111" t="s">
        <v>415</v>
      </c>
      <c r="E63" s="156"/>
      <c r="F63" s="157">
        <v>18</v>
      </c>
      <c r="G63" s="111">
        <v>14</v>
      </c>
      <c r="H63" s="111">
        <v>2</v>
      </c>
      <c r="I63" s="111">
        <v>26</v>
      </c>
      <c r="J63" s="111">
        <v>28</v>
      </c>
      <c r="K63" s="111">
        <v>14</v>
      </c>
      <c r="L63" s="111">
        <v>6</v>
      </c>
      <c r="M63" s="111">
        <v>2</v>
      </c>
      <c r="N63" s="111">
        <v>32</v>
      </c>
      <c r="O63" s="111">
        <v>10</v>
      </c>
      <c r="P63" s="111">
        <v>18</v>
      </c>
      <c r="Q63" s="111">
        <v>10</v>
      </c>
      <c r="R63" s="111">
        <v>12</v>
      </c>
      <c r="S63" s="111">
        <v>16</v>
      </c>
      <c r="T63" s="111">
        <v>2</v>
      </c>
    </row>
    <row r="64" spans="1:20">
      <c r="E64" s="156"/>
      <c r="F64" s="157"/>
    </row>
    <row r="65" spans="5:6">
      <c r="E65" s="156"/>
      <c r="F65" s="157"/>
    </row>
    <row r="66" spans="5:6">
      <c r="E66" s="156"/>
      <c r="F66" s="157"/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workbookViewId="0">
      <selection activeCell="A70" sqref="A70"/>
    </sheetView>
  </sheetViews>
  <sheetFormatPr defaultColWidth="8.5" defaultRowHeight="14"/>
  <cols>
    <col min="1" max="1" width="14.375" style="17" customWidth="1"/>
  </cols>
  <sheetData>
    <row r="1" spans="1:1">
      <c r="A1" s="105" t="s">
        <v>330</v>
      </c>
    </row>
    <row r="2" spans="1:1">
      <c r="A2" s="105" t="s">
        <v>148</v>
      </c>
    </row>
    <row r="3" spans="1:1">
      <c r="A3" s="105" t="s">
        <v>331</v>
      </c>
    </row>
    <row r="4" spans="1:1">
      <c r="A4" s="105" t="s">
        <v>162</v>
      </c>
    </row>
    <row r="5" spans="1:1">
      <c r="A5" s="105" t="s">
        <v>167</v>
      </c>
    </row>
    <row r="6" spans="1:1">
      <c r="A6" s="105" t="s">
        <v>416</v>
      </c>
    </row>
    <row r="7" spans="1:1">
      <c r="A7" s="105" t="s">
        <v>334</v>
      </c>
    </row>
    <row r="8" spans="1:1">
      <c r="A8" s="106" t="s">
        <v>335</v>
      </c>
    </row>
    <row r="9" spans="1:1">
      <c r="A9" s="107" t="s">
        <v>57</v>
      </c>
    </row>
    <row r="10" spans="1:1">
      <c r="A10" s="107" t="s">
        <v>336</v>
      </c>
    </row>
    <row r="11" spans="1:1">
      <c r="A11" s="107" t="s">
        <v>67</v>
      </c>
    </row>
    <row r="12" spans="1:1">
      <c r="A12" s="108" t="s">
        <v>68</v>
      </c>
    </row>
    <row r="13" spans="1:1">
      <c r="A13" s="108" t="s">
        <v>104</v>
      </c>
    </row>
    <row r="14" spans="1:1">
      <c r="A14" s="107" t="s">
        <v>337</v>
      </c>
    </row>
    <row r="15" spans="1:1">
      <c r="A15" s="107" t="s">
        <v>119</v>
      </c>
    </row>
    <row r="16" spans="1:1">
      <c r="A16" s="108" t="s">
        <v>154</v>
      </c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20" sqref="D20"/>
    </sheetView>
  </sheetViews>
  <sheetFormatPr defaultColWidth="8.5" defaultRowHeight="14" outlineLevelCol="7"/>
  <cols>
    <col min="1" max="1" width="7.625" customWidth="1"/>
    <col min="2" max="2" width="16" customWidth="1"/>
    <col min="3" max="3" width="14.625" customWidth="1"/>
    <col min="4" max="4" width="11.75" style="67" customWidth="1" outlineLevel="1"/>
    <col min="5" max="5" width="9.625" hidden="1" customWidth="1" outlineLevel="1"/>
    <col min="6" max="6" width="12.625" customWidth="1" outlineLevel="1"/>
    <col min="7" max="7" width="9.625" hidden="1" customWidth="1" outlineLevel="1"/>
    <col min="8" max="8" width="14.625" style="100" customWidth="1" collapsed="1"/>
  </cols>
  <sheetData>
    <row r="1" ht="16.15" customHeight="1" spans="1:8">
      <c r="A1" s="101" t="s">
        <v>417</v>
      </c>
      <c r="B1" s="101" t="s">
        <v>36</v>
      </c>
      <c r="C1" s="102" t="s">
        <v>418</v>
      </c>
      <c r="D1" s="101" t="s">
        <v>33</v>
      </c>
      <c r="E1" s="103" t="s">
        <v>419</v>
      </c>
      <c r="F1" s="101" t="s">
        <v>50</v>
      </c>
      <c r="G1" s="103" t="s">
        <v>420</v>
      </c>
      <c r="H1" s="104" t="s">
        <v>421</v>
      </c>
    </row>
    <row r="2" s="8" customFormat="1" ht="16.9" customHeight="1" spans="1:8">
      <c r="A2" s="8" t="str">
        <f>'【2】运营中心填-基本信息&amp;审核标准'!$E$2</f>
        <v>兴围中6-20栋</v>
      </c>
      <c r="B2" s="8" t="str">
        <f>'【3-2】大区&amp;运营中心填-房间模型价'!K2</f>
        <v>一居室</v>
      </c>
      <c r="C2" s="8">
        <f>VLOOKUP(B2,【1】定价因子!L:M,2,0)</f>
        <v>2426.1</v>
      </c>
      <c r="D2" s="67" t="s">
        <v>47</v>
      </c>
      <c r="E2" s="8">
        <f>VLOOKUP(D2,【1】定价因子!$D:$F,3,0)</f>
        <v>0.96</v>
      </c>
      <c r="F2" s="8" t="str">
        <f>IF('【2】运营中心填-基本信息&amp;审核标准'!$C$4="否","无",IF('【2】运营中心填-基本信息&amp;审核标准'!$C$4="是","有"))</f>
        <v>无</v>
      </c>
      <c r="G2" s="8">
        <f>VLOOKUP(F2,【1】定价因子!D:F,3,0)</f>
        <v>1</v>
      </c>
      <c r="H2" s="11">
        <f>C2*PRODUCT(G2,,E2)</f>
        <v>2329.056</v>
      </c>
    </row>
    <row r="3" s="67" customFormat="1" spans="1:8">
      <c r="A3" s="8" t="str">
        <f>'【2】运营中心填-基本信息&amp;审核标准'!$E$2</f>
        <v>兴围中6-20栋</v>
      </c>
      <c r="B3" s="8" t="str">
        <f>'【3-2】大区&amp;运营中心填-房间模型价'!K3</f>
        <v>开间</v>
      </c>
      <c r="C3" s="8">
        <f>VLOOKUP(B3,【1】定价因子!L:M,2,0)</f>
        <v>1634.8</v>
      </c>
      <c r="D3" s="67" t="s">
        <v>47</v>
      </c>
      <c r="E3" s="8">
        <f>VLOOKUP(D3,【1】定价因子!$D:$F,3,0)</f>
        <v>0.96</v>
      </c>
      <c r="F3" s="8" t="str">
        <f>IF('【2】运营中心填-基本信息&amp;审核标准'!$C$4="否","无",IF('【2】运营中心填-基本信息&amp;审核标准'!$C$4="是","有"))</f>
        <v>无</v>
      </c>
      <c r="G3" s="8">
        <f>VLOOKUP(F3,【1】定价因子!D:F,3,0)</f>
        <v>1</v>
      </c>
      <c r="H3" s="11">
        <f t="shared" ref="H3:H10" si="0">C3*PRODUCT(G3,,E3)</f>
        <v>1569.408</v>
      </c>
    </row>
    <row r="4" spans="1:8">
      <c r="A4" s="8" t="str">
        <f>'【2】运营中心填-基本信息&amp;审核标准'!$E$2</f>
        <v>兴围中6-20栋</v>
      </c>
      <c r="B4" s="8" t="str">
        <f>'【3-2】大区&amp;运营中心填-房间模型价'!K4</f>
        <v/>
      </c>
      <c r="C4" s="8" t="e">
        <f>VLOOKUP(B4,【1】定价因子!L:M,2,0)</f>
        <v>#N/A</v>
      </c>
      <c r="D4" s="67" t="s">
        <v>34</v>
      </c>
      <c r="E4" s="8">
        <f>VLOOKUP(D4,【1】定价因子!$D:$F,3,0)</f>
        <v>1.04</v>
      </c>
      <c r="F4" s="8" t="str">
        <f>IF('【2】运营中心填-基本信息&amp;审核标准'!$C$4="否","无",IF('【2】运营中心填-基本信息&amp;审核标准'!$C$4="是","有"))</f>
        <v>无</v>
      </c>
      <c r="G4" s="8">
        <f>VLOOKUP(F4,【1】定价因子!D:F,3,0)</f>
        <v>1</v>
      </c>
      <c r="H4" s="11" t="e">
        <f t="shared" si="0"/>
        <v>#N/A</v>
      </c>
    </row>
    <row r="5" spans="1:8">
      <c r="A5" s="8" t="str">
        <f>'【2】运营中心填-基本信息&amp;审核标准'!$E$2</f>
        <v>兴围中6-20栋</v>
      </c>
      <c r="B5" s="8" t="str">
        <f>'【3-2】大区&amp;运营中心填-房间模型价'!K5</f>
        <v/>
      </c>
      <c r="C5" s="8" t="e">
        <f>VLOOKUP(B5,【1】定价因子!L:M,2,0)</f>
        <v>#N/A</v>
      </c>
      <c r="D5" s="67" t="s">
        <v>34</v>
      </c>
      <c r="E5" s="8">
        <f>VLOOKUP(D5,【1】定价因子!$D:$F,3,0)</f>
        <v>1.04</v>
      </c>
      <c r="F5" s="8" t="str">
        <f>IF('【2】运营中心填-基本信息&amp;审核标准'!$C$4="否","无",IF('【2】运营中心填-基本信息&amp;审核标准'!$C$4="是","有"))</f>
        <v>无</v>
      </c>
      <c r="G5" s="8">
        <f>VLOOKUP(F5,【1】定价因子!D:F,3,0)</f>
        <v>1</v>
      </c>
      <c r="H5" s="11" t="e">
        <f t="shared" si="0"/>
        <v>#N/A</v>
      </c>
    </row>
    <row r="6" spans="1:8">
      <c r="A6" s="8" t="str">
        <f>'【2】运营中心填-基本信息&amp;审核标准'!$E$2</f>
        <v>兴围中6-20栋</v>
      </c>
      <c r="B6" s="8" t="str">
        <f>'【3-2】大区&amp;运营中心填-房间模型价'!K6</f>
        <v/>
      </c>
      <c r="C6" s="8" t="e">
        <f>VLOOKUP(B6,【1】定价因子!L:M,2,0)</f>
        <v>#N/A</v>
      </c>
      <c r="D6" s="67" t="s">
        <v>34</v>
      </c>
      <c r="E6" s="8">
        <f>VLOOKUP(D6,【1】定价因子!$D:$F,3,0)</f>
        <v>1.04</v>
      </c>
      <c r="F6" s="8" t="str">
        <f>IF('【2】运营中心填-基本信息&amp;审核标准'!$C$4="否","无",IF('【2】运营中心填-基本信息&amp;审核标准'!$C$4="是","有"))</f>
        <v>无</v>
      </c>
      <c r="G6" s="8">
        <f>VLOOKUP(F6,【1】定价因子!D:F,3,0)</f>
        <v>1</v>
      </c>
      <c r="H6" s="11" t="e">
        <f t="shared" si="0"/>
        <v>#N/A</v>
      </c>
    </row>
    <row r="7" spans="1:8">
      <c r="A7" s="8" t="str">
        <f>'【2】运营中心填-基本信息&amp;审核标准'!$E$2</f>
        <v>兴围中6-20栋</v>
      </c>
      <c r="B7" s="8" t="str">
        <f>'【3-2】大区&amp;运营中心填-房间模型价'!K7</f>
        <v/>
      </c>
      <c r="C7" s="8" t="e">
        <f>VLOOKUP(B7,【1】定价因子!L:M,2,0)</f>
        <v>#N/A</v>
      </c>
      <c r="D7" s="67" t="s">
        <v>34</v>
      </c>
      <c r="E7" s="8">
        <f>VLOOKUP(D7,【1】定价因子!$D:$F,3,0)</f>
        <v>1.04</v>
      </c>
      <c r="F7" s="8" t="str">
        <f>IF('【2】运营中心填-基本信息&amp;审核标准'!$C$4="否","无",IF('【2】运营中心填-基本信息&amp;审核标准'!$C$4="是","有"))</f>
        <v>无</v>
      </c>
      <c r="G7" s="8">
        <f>VLOOKUP(F7,【1】定价因子!D:F,3,0)</f>
        <v>1</v>
      </c>
      <c r="H7" s="11" t="e">
        <f t="shared" si="0"/>
        <v>#N/A</v>
      </c>
    </row>
    <row r="8" spans="1:8">
      <c r="A8" s="8" t="str">
        <f>'【2】运营中心填-基本信息&amp;审核标准'!$E$2</f>
        <v>兴围中6-20栋</v>
      </c>
      <c r="B8" s="8" t="str">
        <f>'【3-2】大区&amp;运营中心填-房间模型价'!K8</f>
        <v/>
      </c>
      <c r="C8" s="8" t="e">
        <f>VLOOKUP(B8,【1】定价因子!L:M,2,0)</f>
        <v>#N/A</v>
      </c>
      <c r="D8" s="67" t="s">
        <v>34</v>
      </c>
      <c r="E8" s="8">
        <f>VLOOKUP(D8,【1】定价因子!$D:$F,3,0)</f>
        <v>1.04</v>
      </c>
      <c r="F8" s="8" t="str">
        <f>IF('【2】运营中心填-基本信息&amp;审核标准'!$C$4="否","无",IF('【2】运营中心填-基本信息&amp;审核标准'!$C$4="是","有"))</f>
        <v>无</v>
      </c>
      <c r="G8" s="8">
        <f>VLOOKUP(F8,【1】定价因子!D:F,3,0)</f>
        <v>1</v>
      </c>
      <c r="H8" s="11" t="e">
        <f t="shared" si="0"/>
        <v>#N/A</v>
      </c>
    </row>
    <row r="9" spans="1:8">
      <c r="A9" s="8" t="str">
        <f>'【2】运营中心填-基本信息&amp;审核标准'!$E$2</f>
        <v>兴围中6-20栋</v>
      </c>
      <c r="B9" s="8" t="str">
        <f>'【3-2】大区&amp;运营中心填-房间模型价'!K9</f>
        <v/>
      </c>
      <c r="C9" s="8" t="e">
        <f>VLOOKUP(B9,【1】定价因子!L:M,2,0)</f>
        <v>#N/A</v>
      </c>
      <c r="D9" s="67" t="s">
        <v>34</v>
      </c>
      <c r="E9" s="8">
        <f>VLOOKUP(D9,【1】定价因子!$D:$F,3,0)</f>
        <v>1.04</v>
      </c>
      <c r="F9" s="8" t="str">
        <f>IF('【2】运营中心填-基本信息&amp;审核标准'!$C$4="否","无",IF('【2】运营中心填-基本信息&amp;审核标准'!$C$4="是","有"))</f>
        <v>无</v>
      </c>
      <c r="G9" s="8">
        <f>VLOOKUP(F9,【1】定价因子!D:F,3,0)</f>
        <v>1</v>
      </c>
      <c r="H9" s="11" t="e">
        <f t="shared" si="0"/>
        <v>#N/A</v>
      </c>
    </row>
    <row r="10" spans="1:8">
      <c r="A10" s="8" t="str">
        <f>'【2】运营中心填-基本信息&amp;审核标准'!$E$2</f>
        <v>兴围中6-20栋</v>
      </c>
      <c r="B10" s="8" t="str">
        <f>'【3-2】大区&amp;运营中心填-房间模型价'!K10</f>
        <v/>
      </c>
      <c r="C10" s="8" t="e">
        <f>VLOOKUP(B10,【1】定价因子!L:M,2,0)</f>
        <v>#N/A</v>
      </c>
      <c r="D10" s="67" t="s">
        <v>34</v>
      </c>
      <c r="E10" s="8">
        <f>VLOOKUP(D10,【1】定价因子!$D:$F,3,0)</f>
        <v>1.04</v>
      </c>
      <c r="F10" s="8" t="str">
        <f>IF('【2】运营中心填-基本信息&amp;审核标准'!$C$4="否","无",IF('【2】运营中心填-基本信息&amp;审核标准'!$C$4="是","有"))</f>
        <v>无</v>
      </c>
      <c r="G10" s="8">
        <f>VLOOKUP(F10,【1】定价因子!D:F,3,0)</f>
        <v>1</v>
      </c>
      <c r="H10" s="11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"/>
  <sheetViews>
    <sheetView workbookViewId="0">
      <selection activeCell="A10" sqref="$A10:$XFD10"/>
    </sheetView>
  </sheetViews>
  <sheetFormatPr defaultColWidth="8.625" defaultRowHeight="14"/>
  <cols>
    <col min="1" max="3" width="9.5" style="8" customWidth="1"/>
    <col min="4" max="4" width="35.5" style="8" customWidth="1"/>
    <col min="5" max="5" width="11.5" style="8" customWidth="1"/>
    <col min="6" max="6" width="24.75" style="8" customWidth="1"/>
    <col min="7" max="7" width="12.75" style="8" customWidth="1"/>
    <col min="8" max="8" width="13.125" style="8" customWidth="1"/>
    <col min="9" max="9" width="10.125" customWidth="1"/>
    <col min="10" max="11" width="7.375" customWidth="1"/>
    <col min="12" max="12" width="12.5" customWidth="1"/>
    <col min="13" max="13" width="12.125" customWidth="1"/>
    <col min="14" max="14" width="17.125" customWidth="1"/>
    <col min="15" max="15" width="15.625" customWidth="1"/>
  </cols>
  <sheetData>
    <row r="1" ht="16.5" spans="1:35">
      <c r="D1" s="85" t="s">
        <v>422</v>
      </c>
      <c r="E1" s="85"/>
      <c r="F1" s="85"/>
      <c r="G1" s="85"/>
      <c r="H1" s="17"/>
    </row>
    <row r="2" ht="16.5" spans="1:35">
      <c r="A2" s="86" t="s">
        <v>423</v>
      </c>
      <c r="B2" s="86" t="s">
        <v>336</v>
      </c>
      <c r="C2" s="86" t="s">
        <v>248</v>
      </c>
      <c r="D2" s="87" t="s">
        <v>424</v>
      </c>
      <c r="E2" s="87" t="s">
        <v>425</v>
      </c>
      <c r="F2" s="88" t="s">
        <v>426</v>
      </c>
      <c r="G2" s="87" t="s">
        <v>427</v>
      </c>
      <c r="H2" s="86" t="s">
        <v>428</v>
      </c>
      <c r="I2" s="87" t="s">
        <v>429</v>
      </c>
      <c r="J2" s="89"/>
      <c r="K2" s="89"/>
      <c r="L2" s="90" t="s">
        <v>430</v>
      </c>
      <c r="M2" s="90"/>
      <c r="N2" s="90"/>
      <c r="O2" s="90"/>
    </row>
    <row r="3" ht="16.5" spans="1:35">
      <c r="A3" s="71">
        <f>'【3-2】大区&amp;运营中心填-房间模型价'!H2</f>
        <v>101</v>
      </c>
      <c r="B3" s="71" t="str">
        <f>'【3-2】大区&amp;运营中心填-房间模型价'!I2</f>
        <v>A</v>
      </c>
      <c r="C3" s="91" t="s">
        <v>43</v>
      </c>
      <c r="D3" s="12">
        <v>2</v>
      </c>
      <c r="E3" s="12">
        <v>0</v>
      </c>
      <c r="F3" s="12"/>
      <c r="G3" s="12">
        <v>-2</v>
      </c>
      <c r="H3" s="12" t="str">
        <f>IF(C3="开间",IF(D3+E3*2-G3&lt;=0,"1",IF(D3+E3*2-G3&lt;=1,"2",IF(D3+E3*2-G3&lt;=2,"3",IF(D3+E3*2-G3&lt;=3,"4","5")))),IF(D3+E3*2-G3&lt;1.1,"1",IF(D3+E3*2-G3&lt;=2,"2",IF(D3+E3*2-G3&lt;=3,"3",IF(D3+E3*2-G3&lt;=4,"4","5")))))</f>
        <v>4</v>
      </c>
      <c r="I3" s="92"/>
      <c r="J3" s="93"/>
      <c r="K3" s="93"/>
      <c r="L3" s="90" t="s">
        <v>431</v>
      </c>
      <c r="M3" s="90"/>
      <c r="N3" s="90"/>
      <c r="O3" s="90" t="s">
        <v>432</v>
      </c>
    </row>
    <row r="4" ht="16.5" spans="1:35">
      <c r="A4" s="71">
        <f>'【3-2】大区&amp;运营中心填-房间模型价'!H3</f>
        <v>102</v>
      </c>
      <c r="B4" s="71" t="str">
        <f>'【3-2】大区&amp;运营中心填-房间模型价'!I3</f>
        <v>B</v>
      </c>
      <c r="C4" s="91" t="str">
        <f>VLOOKUP(A4,'【3-2】大区&amp;运营中心填-房间模型价'!H:J,3,0)</f>
        <v>开间</v>
      </c>
      <c r="D4" s="12">
        <v>0.5</v>
      </c>
      <c r="E4" s="12">
        <v>0</v>
      </c>
      <c r="F4" s="12"/>
      <c r="G4" s="12">
        <v>0.5</v>
      </c>
      <c r="H4" s="12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92"/>
      <c r="J4" s="93"/>
      <c r="K4" s="93"/>
      <c r="L4" s="18" t="s">
        <v>433</v>
      </c>
      <c r="M4" s="18"/>
      <c r="N4" s="18"/>
      <c r="O4" s="18">
        <v>-1</v>
      </c>
    </row>
    <row r="5" ht="16.5" spans="1:35">
      <c r="A5" s="71">
        <f>'【3-2】大区&amp;运营中心填-房间模型价'!H4</f>
        <v>103</v>
      </c>
      <c r="B5" s="71" t="str">
        <f>'【3-2】大区&amp;运营中心填-房间模型价'!I4</f>
        <v>C</v>
      </c>
      <c r="C5" s="91" t="str">
        <f>VLOOKUP(A5,'【3-2】大区&amp;运营中心填-房间模型价'!H:J,3,0)</f>
        <v>开间</v>
      </c>
      <c r="D5" s="12">
        <v>0.5</v>
      </c>
      <c r="E5" s="12">
        <v>0</v>
      </c>
      <c r="F5" s="12"/>
      <c r="G5" s="12">
        <v>0.5</v>
      </c>
      <c r="H5" s="12" t="str">
        <f t="shared" si="0"/>
        <v>1</v>
      </c>
      <c r="I5" s="94"/>
      <c r="L5" s="95" t="s">
        <v>434</v>
      </c>
      <c r="M5" s="18" t="s">
        <v>435</v>
      </c>
      <c r="N5" s="18"/>
      <c r="O5" s="18">
        <v>0</v>
      </c>
    </row>
    <row r="6" ht="16.5" spans="1:35">
      <c r="A6" s="71">
        <f>'【3-2】大区&amp;运营中心填-房间模型价'!H5</f>
        <v>104</v>
      </c>
      <c r="B6" s="71" t="str">
        <f>'【3-2】大区&amp;运营中心填-房间模型价'!I5</f>
        <v>C</v>
      </c>
      <c r="C6" s="91" t="str">
        <f>VLOOKUP(A6,'【3-2】大区&amp;运营中心填-房间模型价'!H:J,3,0)</f>
        <v>开间</v>
      </c>
      <c r="D6" s="12">
        <v>0.5</v>
      </c>
      <c r="E6" s="12">
        <v>0</v>
      </c>
      <c r="F6" s="12"/>
      <c r="G6" s="12">
        <v>0.5</v>
      </c>
      <c r="H6" s="12" t="str">
        <f t="shared" si="0"/>
        <v>1</v>
      </c>
      <c r="I6" s="94"/>
      <c r="L6" s="96"/>
      <c r="M6" s="97" t="s">
        <v>436</v>
      </c>
      <c r="N6" s="24"/>
      <c r="O6" s="18">
        <v>0</v>
      </c>
    </row>
    <row r="7" ht="16.5" spans="1:35">
      <c r="A7" s="71">
        <f>'【3-2】大区&amp;运营中心填-房间模型价'!H6</f>
        <v>105</v>
      </c>
      <c r="B7" s="71" t="str">
        <f>'【3-2】大区&amp;运营中心填-房间模型价'!I6</f>
        <v>B</v>
      </c>
      <c r="C7" s="91" t="str">
        <f>VLOOKUP(A7,'【3-2】大区&amp;运营中心填-房间模型价'!H:J,3,0)</f>
        <v>开间</v>
      </c>
      <c r="D7" s="12">
        <v>0.5</v>
      </c>
      <c r="E7" s="12">
        <v>0</v>
      </c>
      <c r="F7" s="12"/>
      <c r="G7" s="12">
        <v>0.5</v>
      </c>
      <c r="H7" s="12" t="str">
        <f t="shared" si="0"/>
        <v>1</v>
      </c>
      <c r="I7" s="94"/>
      <c r="L7" s="96"/>
      <c r="M7" s="97" t="s">
        <v>437</v>
      </c>
      <c r="N7" s="24"/>
      <c r="O7" s="18" t="s">
        <v>438</v>
      </c>
    </row>
    <row r="8" ht="16.5" spans="1:35">
      <c r="A8" s="71">
        <f>'【3-2】大区&amp;运营中心填-房间模型价'!H7</f>
        <v>106</v>
      </c>
      <c r="B8" s="71" t="str">
        <f>'【3-2】大区&amp;运营中心填-房间模型价'!I7</f>
        <v>A</v>
      </c>
      <c r="C8" s="91" t="s">
        <v>43</v>
      </c>
      <c r="D8" s="12">
        <v>1.5</v>
      </c>
      <c r="E8" s="12">
        <v>0</v>
      </c>
      <c r="F8" s="12"/>
      <c r="G8" s="12">
        <v>1.5</v>
      </c>
      <c r="H8" s="12" t="str">
        <f t="shared" si="0"/>
        <v>1</v>
      </c>
      <c r="I8" s="94"/>
      <c r="L8" s="98"/>
      <c r="M8" s="97" t="s">
        <v>439</v>
      </c>
      <c r="N8" s="24"/>
      <c r="O8" s="18" t="s">
        <v>438</v>
      </c>
    </row>
    <row r="9" ht="16.5" spans="1:35">
      <c r="A9" s="71">
        <f>'【3-2】大区&amp;运营中心填-房间模型价'!H8</f>
        <v>201</v>
      </c>
      <c r="B9" s="71" t="str">
        <f>'【3-2】大区&amp;运营中心填-房间模型价'!I8</f>
        <v>D</v>
      </c>
      <c r="C9" s="91" t="s">
        <v>43</v>
      </c>
      <c r="D9" s="12">
        <v>2.5</v>
      </c>
      <c r="E9" s="12">
        <v>0</v>
      </c>
      <c r="F9" s="12"/>
      <c r="G9" s="12">
        <v>-1</v>
      </c>
      <c r="H9" s="12" t="str">
        <f t="shared" si="0"/>
        <v>4</v>
      </c>
      <c r="I9" s="94"/>
      <c r="L9" s="18"/>
      <c r="M9" s="18"/>
      <c r="N9" s="18"/>
      <c r="O9" s="18"/>
    </row>
    <row r="10" spans="1:35">
      <c r="A10" s="71">
        <f>'【3-2】大区&amp;运营中心填-房间模型价'!H9</f>
        <v>202</v>
      </c>
      <c r="B10" s="71" t="str">
        <f>'【3-2】大区&amp;运营中心填-房间模型价'!I9</f>
        <v>E</v>
      </c>
      <c r="C10" s="91" t="str">
        <f>VLOOKUP(A10,'【3-2】大区&amp;运营中心填-房间模型价'!H:J,3,0)</f>
        <v>开间</v>
      </c>
      <c r="D10" s="12">
        <v>2</v>
      </c>
      <c r="E10" s="12">
        <v>0</v>
      </c>
      <c r="F10" s="12"/>
      <c r="G10" s="12">
        <v>0</v>
      </c>
      <c r="H10" s="12" t="str">
        <f t="shared" si="0"/>
        <v>3</v>
      </c>
      <c r="I10" s="94"/>
    </row>
    <row r="11" spans="1:35">
      <c r="A11" s="71">
        <f>'【3-2】大区&amp;运营中心填-房间模型价'!H10</f>
        <v>203</v>
      </c>
      <c r="B11" s="71" t="str">
        <f>'【3-2】大区&amp;运营中心填-房间模型价'!I10</f>
        <v>F</v>
      </c>
      <c r="C11" s="91" t="str">
        <f>VLOOKUP(A11,'【3-2】大区&amp;运营中心填-房间模型价'!H:J,3,0)</f>
        <v>开间</v>
      </c>
      <c r="D11" s="12">
        <v>1</v>
      </c>
      <c r="E11" s="12">
        <v>0</v>
      </c>
      <c r="F11" s="12"/>
      <c r="G11" s="12">
        <v>1</v>
      </c>
      <c r="H11" s="12" t="str">
        <f t="shared" si="0"/>
        <v>1</v>
      </c>
      <c r="I11" s="94"/>
    </row>
    <row r="12" spans="1:35">
      <c r="A12" s="71">
        <f>'【3-2】大区&amp;运营中心填-房间模型价'!H11</f>
        <v>204</v>
      </c>
      <c r="B12" s="71" t="str">
        <f>'【3-2】大区&amp;运营中心填-房间模型价'!I11</f>
        <v>F</v>
      </c>
      <c r="C12" s="91" t="str">
        <f>VLOOKUP(A12,'【3-2】大区&amp;运营中心填-房间模型价'!H:J,3,0)</f>
        <v>开间</v>
      </c>
      <c r="D12" s="12">
        <v>1</v>
      </c>
      <c r="E12" s="12">
        <v>0</v>
      </c>
      <c r="F12" s="12"/>
      <c r="G12" s="12">
        <v>1</v>
      </c>
      <c r="H12" s="12" t="str">
        <f t="shared" si="0"/>
        <v>1</v>
      </c>
      <c r="I12" s="94"/>
    </row>
    <row r="13" spans="1:35">
      <c r="A13" s="71">
        <f>'【3-2】大区&amp;运营中心填-房间模型价'!H12</f>
        <v>205</v>
      </c>
      <c r="B13" s="71" t="str">
        <f>'【3-2】大区&amp;运营中心填-房间模型价'!I12</f>
        <v>E</v>
      </c>
      <c r="C13" s="91" t="str">
        <f>VLOOKUP(A13,'【3-2】大区&amp;运营中心填-房间模型价'!H:J,3,0)</f>
        <v>开间</v>
      </c>
      <c r="D13" s="12">
        <v>2</v>
      </c>
      <c r="E13" s="12">
        <v>0</v>
      </c>
      <c r="F13" s="12"/>
      <c r="G13" s="12">
        <v>2</v>
      </c>
      <c r="H13" s="12" t="str">
        <f t="shared" si="0"/>
        <v>1</v>
      </c>
      <c r="I13" s="94"/>
    </row>
    <row r="14" spans="1:35">
      <c r="A14" s="71">
        <f>'【3-2】大区&amp;运营中心填-房间模型价'!H13</f>
        <v>206</v>
      </c>
      <c r="B14" s="71" t="str">
        <f>'【3-2】大区&amp;运营中心填-房间模型价'!I13</f>
        <v>D</v>
      </c>
      <c r="C14" s="91" t="s">
        <v>43</v>
      </c>
      <c r="D14" s="12">
        <v>2.5</v>
      </c>
      <c r="E14" s="12">
        <v>0</v>
      </c>
      <c r="F14" s="12"/>
      <c r="G14" s="12">
        <v>-1</v>
      </c>
      <c r="H14" s="12" t="str">
        <f t="shared" si="0"/>
        <v>4</v>
      </c>
      <c r="I14" s="94"/>
    </row>
    <row r="15" spans="1:35">
      <c r="A15" s="71">
        <f>'【3-2】大区&amp;运营中心填-房间模型价'!H14</f>
        <v>301</v>
      </c>
      <c r="B15" s="71" t="str">
        <f>'【3-2】大区&amp;运营中心填-房间模型价'!I14</f>
        <v>D</v>
      </c>
      <c r="C15" s="91" t="str">
        <f>VLOOKUP(A15,'【3-2】大区&amp;运营中心填-房间模型价'!H:J,3,0)</f>
        <v>一居室</v>
      </c>
      <c r="D15" s="12">
        <v>2.5</v>
      </c>
      <c r="E15" s="12">
        <v>0</v>
      </c>
      <c r="F15" s="12"/>
      <c r="G15" s="12">
        <v>-1</v>
      </c>
      <c r="H15" s="12" t="str">
        <f t="shared" si="0"/>
        <v>4</v>
      </c>
      <c r="I15" s="94"/>
    </row>
    <row r="16" ht="22.5" spans="1:35">
      <c r="A16" s="71">
        <f>'【3-2】大区&amp;运营中心填-房间模型价'!H15</f>
        <v>302</v>
      </c>
      <c r="B16" s="71" t="str">
        <f>'【3-2】大区&amp;运营中心填-房间模型价'!I15</f>
        <v>E</v>
      </c>
      <c r="C16" s="91" t="str">
        <f>VLOOKUP(A16,'【3-2】大区&amp;运营中心填-房间模型价'!H:J,3,0)</f>
        <v>开间</v>
      </c>
      <c r="D16" s="12">
        <v>2</v>
      </c>
      <c r="E16" s="12">
        <v>0</v>
      </c>
      <c r="F16" s="12"/>
      <c r="G16" s="12">
        <v>0</v>
      </c>
      <c r="H16" s="12" t="str">
        <f t="shared" si="0"/>
        <v>3</v>
      </c>
      <c r="I16" s="94"/>
      <c r="L16" s="99" t="s">
        <v>440</v>
      </c>
      <c r="M16" s="99"/>
      <c r="N16" s="99"/>
      <c r="O16" s="99"/>
      <c r="P16" s="99"/>
      <c r="R16" s="99" t="s">
        <v>441</v>
      </c>
      <c r="S16" s="99"/>
      <c r="T16" s="99"/>
      <c r="U16" s="99"/>
      <c r="V16" s="99"/>
      <c r="W16" s="99"/>
      <c r="X16" s="99"/>
      <c r="Y16" s="99"/>
      <c r="Z16" s="99"/>
      <c r="AB16" s="99" t="s">
        <v>442</v>
      </c>
      <c r="AC16" s="99"/>
      <c r="AD16" s="99"/>
      <c r="AE16" s="99"/>
      <c r="AF16" s="99"/>
      <c r="AG16" s="99"/>
      <c r="AH16" s="99"/>
      <c r="AI16" s="99"/>
    </row>
    <row r="17" spans="1:9">
      <c r="A17" s="71">
        <f>'【3-2】大区&amp;运营中心填-房间模型价'!H16</f>
        <v>303</v>
      </c>
      <c r="B17" s="71" t="str">
        <f>'【3-2】大区&amp;运营中心填-房间模型价'!I16</f>
        <v>F</v>
      </c>
      <c r="C17" s="91" t="str">
        <f>VLOOKUP(A17,'【3-2】大区&amp;运营中心填-房间模型价'!H:J,3,0)</f>
        <v>开间</v>
      </c>
      <c r="D17" s="12">
        <v>1</v>
      </c>
      <c r="E17" s="12">
        <v>0</v>
      </c>
      <c r="F17" s="12"/>
      <c r="G17" s="12">
        <v>1</v>
      </c>
      <c r="H17" s="12" t="str">
        <f t="shared" si="0"/>
        <v>1</v>
      </c>
      <c r="I17" s="94"/>
    </row>
    <row r="18" spans="1:9">
      <c r="A18" s="71">
        <f>'【3-2】大区&amp;运营中心填-房间模型价'!H17</f>
        <v>304</v>
      </c>
      <c r="B18" s="71" t="str">
        <f>'【3-2】大区&amp;运营中心填-房间模型价'!I17</f>
        <v>F</v>
      </c>
      <c r="C18" s="91" t="str">
        <f>VLOOKUP(A18,'【3-2】大区&amp;运营中心填-房间模型价'!H:J,3,0)</f>
        <v>开间</v>
      </c>
      <c r="D18" s="12">
        <v>1</v>
      </c>
      <c r="E18" s="12">
        <v>0</v>
      </c>
      <c r="F18" s="12"/>
      <c r="G18" s="12">
        <v>1</v>
      </c>
      <c r="H18" s="12" t="str">
        <f t="shared" si="0"/>
        <v>1</v>
      </c>
      <c r="I18" s="94"/>
    </row>
    <row r="19" spans="1:9">
      <c r="A19" s="71">
        <f>'【3-2】大区&amp;运营中心填-房间模型价'!H18</f>
        <v>305</v>
      </c>
      <c r="B19" s="71" t="str">
        <f>'【3-2】大区&amp;运营中心填-房间模型价'!I18</f>
        <v>E</v>
      </c>
      <c r="C19" s="91" t="str">
        <f>VLOOKUP(A19,'【3-2】大区&amp;运营中心填-房间模型价'!H:J,3,0)</f>
        <v>开间</v>
      </c>
      <c r="D19" s="12">
        <v>2</v>
      </c>
      <c r="E19" s="12">
        <v>0</v>
      </c>
      <c r="F19" s="12"/>
      <c r="G19" s="12">
        <v>2</v>
      </c>
      <c r="H19" s="12" t="str">
        <f t="shared" si="0"/>
        <v>1</v>
      </c>
      <c r="I19" s="94"/>
    </row>
    <row r="20" spans="1:9">
      <c r="A20" s="71">
        <f>'【3-2】大区&amp;运营中心填-房间模型价'!H19</f>
        <v>306</v>
      </c>
      <c r="B20" s="71" t="str">
        <f>'【3-2】大区&amp;运营中心填-房间模型价'!I19</f>
        <v>D</v>
      </c>
      <c r="C20" s="91" t="str">
        <f>VLOOKUP(A20,'【3-2】大区&amp;运营中心填-房间模型价'!H:J,3,0)</f>
        <v>一居室</v>
      </c>
      <c r="D20" s="12">
        <v>2.5</v>
      </c>
      <c r="E20" s="12">
        <v>0</v>
      </c>
      <c r="F20" s="12"/>
      <c r="G20" s="12">
        <v>-1</v>
      </c>
      <c r="H20" s="12" t="str">
        <f t="shared" si="0"/>
        <v>4</v>
      </c>
      <c r="I20" s="94"/>
    </row>
    <row r="21" spans="1:9">
      <c r="A21" s="71">
        <f>'【3-2】大区&amp;运营中心填-房间模型价'!H20</f>
        <v>401</v>
      </c>
      <c r="B21" s="71" t="str">
        <f>'【3-2】大区&amp;运营中心填-房间模型价'!I20</f>
        <v>D</v>
      </c>
      <c r="C21" s="91" t="str">
        <f>VLOOKUP(A21,'【3-2】大区&amp;运营中心填-房间模型价'!H:J,3,0)</f>
        <v>一居室</v>
      </c>
      <c r="D21" s="12">
        <v>2.5</v>
      </c>
      <c r="E21" s="12">
        <v>0</v>
      </c>
      <c r="F21" s="12"/>
      <c r="G21" s="12">
        <v>-1</v>
      </c>
      <c r="H21" s="12" t="str">
        <f t="shared" si="0"/>
        <v>4</v>
      </c>
      <c r="I21" s="94"/>
    </row>
    <row r="22" spans="1:9">
      <c r="A22" s="71">
        <f>'【3-2】大区&amp;运营中心填-房间模型价'!H21</f>
        <v>402</v>
      </c>
      <c r="B22" s="71" t="str">
        <f>'【3-2】大区&amp;运营中心填-房间模型价'!I21</f>
        <v>E</v>
      </c>
      <c r="C22" s="91" t="str">
        <f>VLOOKUP(A22,'【3-2】大区&amp;运营中心填-房间模型价'!H:J,3,0)</f>
        <v>开间</v>
      </c>
      <c r="D22" s="12">
        <v>2</v>
      </c>
      <c r="E22" s="12">
        <v>0</v>
      </c>
      <c r="F22" s="12"/>
      <c r="G22" s="12">
        <v>0</v>
      </c>
      <c r="H22" s="12" t="str">
        <f t="shared" si="0"/>
        <v>3</v>
      </c>
      <c r="I22" s="94"/>
    </row>
    <row r="23" spans="1:9">
      <c r="A23" s="71">
        <f>'【3-2】大区&amp;运营中心填-房间模型价'!H22</f>
        <v>403</v>
      </c>
      <c r="B23" s="71" t="str">
        <f>'【3-2】大区&amp;运营中心填-房间模型价'!I22</f>
        <v>F</v>
      </c>
      <c r="C23" s="91" t="str">
        <f>VLOOKUP(A23,'【3-2】大区&amp;运营中心填-房间模型价'!H:J,3,0)</f>
        <v>开间</v>
      </c>
      <c r="D23" s="12">
        <v>1</v>
      </c>
      <c r="E23" s="12">
        <v>0</v>
      </c>
      <c r="F23" s="12"/>
      <c r="G23" s="12">
        <v>1</v>
      </c>
      <c r="H23" s="12" t="str">
        <f t="shared" si="0"/>
        <v>1</v>
      </c>
      <c r="I23" s="94"/>
    </row>
    <row r="24" spans="1:9">
      <c r="A24" s="71">
        <f>'【3-2】大区&amp;运营中心填-房间模型价'!H23</f>
        <v>404</v>
      </c>
      <c r="B24" s="71" t="str">
        <f>'【3-2】大区&amp;运营中心填-房间模型价'!I23</f>
        <v>F</v>
      </c>
      <c r="C24" s="91" t="str">
        <f>VLOOKUP(A24,'【3-2】大区&amp;运营中心填-房间模型价'!H:J,3,0)</f>
        <v>开间</v>
      </c>
      <c r="D24" s="12">
        <v>1</v>
      </c>
      <c r="E24" s="12">
        <v>0</v>
      </c>
      <c r="F24" s="12"/>
      <c r="G24" s="12">
        <v>1</v>
      </c>
      <c r="H24" s="12" t="str">
        <f t="shared" si="0"/>
        <v>1</v>
      </c>
      <c r="I24" s="94"/>
    </row>
    <row r="25" spans="1:9">
      <c r="A25" s="71">
        <f>'【3-2】大区&amp;运营中心填-房间模型价'!H24</f>
        <v>405</v>
      </c>
      <c r="B25" s="71" t="str">
        <f>'【3-2】大区&amp;运营中心填-房间模型价'!I24</f>
        <v>E</v>
      </c>
      <c r="C25" s="91" t="str">
        <f>VLOOKUP(A25,'【3-2】大区&amp;运营中心填-房间模型价'!H:J,3,0)</f>
        <v>开间</v>
      </c>
      <c r="D25" s="12">
        <v>2</v>
      </c>
      <c r="E25" s="12">
        <v>0</v>
      </c>
      <c r="F25" s="12"/>
      <c r="G25" s="12">
        <v>2</v>
      </c>
      <c r="H25" s="12" t="str">
        <f t="shared" si="0"/>
        <v>1</v>
      </c>
      <c r="I25" s="94"/>
    </row>
    <row r="26" spans="1:9">
      <c r="A26" s="71">
        <f>'【3-2】大区&amp;运营中心填-房间模型价'!H25</f>
        <v>406</v>
      </c>
      <c r="B26" s="71" t="str">
        <f>'【3-2】大区&amp;运营中心填-房间模型价'!I25</f>
        <v>D</v>
      </c>
      <c r="C26" s="91" t="str">
        <f>VLOOKUP(A26,'【3-2】大区&amp;运营中心填-房间模型价'!H:J,3,0)</f>
        <v>一居室</v>
      </c>
      <c r="D26" s="12">
        <v>2.5</v>
      </c>
      <c r="E26" s="12">
        <v>0</v>
      </c>
      <c r="F26" s="12"/>
      <c r="G26" s="12">
        <v>-1</v>
      </c>
      <c r="H26" s="12" t="str">
        <f t="shared" si="0"/>
        <v>4</v>
      </c>
      <c r="I26" s="94"/>
    </row>
    <row r="27" spans="1:9">
      <c r="A27" s="71">
        <f>'【3-2】大区&amp;运营中心填-房间模型价'!H26</f>
        <v>501</v>
      </c>
      <c r="B27" s="71" t="str">
        <f>'【3-2】大区&amp;运营中心填-房间模型价'!I26</f>
        <v>D</v>
      </c>
      <c r="C27" s="91" t="str">
        <f>VLOOKUP(A27,'【3-2】大区&amp;运营中心填-房间模型价'!H:J,3,0)</f>
        <v>一居室</v>
      </c>
      <c r="D27" s="12">
        <v>2.5</v>
      </c>
      <c r="E27" s="12">
        <v>0</v>
      </c>
      <c r="F27" s="12"/>
      <c r="G27" s="12">
        <v>-1</v>
      </c>
      <c r="H27" s="12" t="str">
        <f t="shared" si="0"/>
        <v>4</v>
      </c>
      <c r="I27" s="94"/>
    </row>
    <row r="28" spans="1:9">
      <c r="A28" s="71">
        <f>'【3-2】大区&amp;运营中心填-房间模型价'!H27</f>
        <v>502</v>
      </c>
      <c r="B28" s="71" t="str">
        <f>'【3-2】大区&amp;运营中心填-房间模型价'!I27</f>
        <v>E</v>
      </c>
      <c r="C28" s="91" t="str">
        <f>VLOOKUP(A28,'【3-2】大区&amp;运营中心填-房间模型价'!H:J,3,0)</f>
        <v>开间</v>
      </c>
      <c r="D28" s="12">
        <v>2</v>
      </c>
      <c r="E28" s="12">
        <v>0</v>
      </c>
      <c r="F28" s="12"/>
      <c r="G28" s="12">
        <v>-2</v>
      </c>
      <c r="H28" s="12" t="str">
        <f t="shared" si="0"/>
        <v>5</v>
      </c>
      <c r="I28" s="94"/>
    </row>
    <row r="29" spans="1:9">
      <c r="A29" s="71">
        <f>'【3-2】大区&amp;运营中心填-房间模型价'!H28</f>
        <v>503</v>
      </c>
      <c r="B29" s="71" t="str">
        <f>'【3-2】大区&amp;运营中心填-房间模型价'!I28</f>
        <v>F</v>
      </c>
      <c r="C29" s="91" t="str">
        <f>VLOOKUP(A29,'【3-2】大区&amp;运营中心填-房间模型价'!H:J,3,0)</f>
        <v>开间</v>
      </c>
      <c r="D29" s="12">
        <v>1</v>
      </c>
      <c r="E29" s="12">
        <v>0</v>
      </c>
      <c r="F29" s="12"/>
      <c r="G29" s="12">
        <v>-1</v>
      </c>
      <c r="H29" s="12" t="str">
        <f t="shared" si="0"/>
        <v>3</v>
      </c>
      <c r="I29" s="94"/>
    </row>
    <row r="30" spans="1:9">
      <c r="A30" s="71">
        <f>'【3-2】大区&amp;运营中心填-房间模型价'!H29</f>
        <v>504</v>
      </c>
      <c r="B30" s="71" t="str">
        <f>'【3-2】大区&amp;运营中心填-房间模型价'!I29</f>
        <v>F</v>
      </c>
      <c r="C30" s="91" t="str">
        <f>VLOOKUP(A30,'【3-2】大区&amp;运营中心填-房间模型价'!H:J,3,0)</f>
        <v>开间</v>
      </c>
      <c r="D30" s="12">
        <v>1</v>
      </c>
      <c r="E30" s="12">
        <v>0</v>
      </c>
      <c r="F30" s="12"/>
      <c r="G30" s="12">
        <v>-1</v>
      </c>
      <c r="H30" s="12" t="str">
        <f t="shared" si="0"/>
        <v>3</v>
      </c>
      <c r="I30" s="94"/>
    </row>
    <row r="31" spans="1:9">
      <c r="A31" s="71">
        <f>'【3-2】大区&amp;运营中心填-房间模型价'!H30</f>
        <v>505</v>
      </c>
      <c r="B31" s="71" t="str">
        <f>'【3-2】大区&amp;运营中心填-房间模型价'!I30</f>
        <v>E</v>
      </c>
      <c r="C31" s="91" t="str">
        <f>VLOOKUP(A31,'【3-2】大区&amp;运营中心填-房间模型价'!H:J,3,0)</f>
        <v>开间</v>
      </c>
      <c r="D31" s="12">
        <v>2</v>
      </c>
      <c r="E31" s="12">
        <v>0</v>
      </c>
      <c r="F31" s="12"/>
      <c r="G31" s="12">
        <v>-2</v>
      </c>
      <c r="H31" s="12" t="str">
        <f t="shared" si="0"/>
        <v>5</v>
      </c>
      <c r="I31" s="94"/>
    </row>
    <row r="32" spans="1:9">
      <c r="A32" s="71">
        <f>'【3-2】大区&amp;运营中心填-房间模型价'!H31</f>
        <v>506</v>
      </c>
      <c r="B32" s="71" t="str">
        <f>'【3-2】大区&amp;运营中心填-房间模型价'!I31</f>
        <v>D</v>
      </c>
      <c r="C32" s="91" t="str">
        <f>VLOOKUP(A32,'【3-2】大区&amp;运营中心填-房间模型价'!H:J,3,0)</f>
        <v>一居室</v>
      </c>
      <c r="D32" s="12">
        <v>2.5</v>
      </c>
      <c r="E32" s="12">
        <v>0</v>
      </c>
      <c r="F32" s="12"/>
      <c r="G32" s="12">
        <v>-1.5</v>
      </c>
      <c r="H32" s="12" t="str">
        <f t="shared" si="0"/>
        <v>4</v>
      </c>
      <c r="I32" s="94"/>
    </row>
    <row r="33" spans="1:9">
      <c r="A33" s="71">
        <f>'【3-2】大区&amp;运营中心填-房间模型价'!H32</f>
        <v>601</v>
      </c>
      <c r="B33" s="71" t="str">
        <f>'【3-2】大区&amp;运营中心填-房间模型价'!I32</f>
        <v>D</v>
      </c>
      <c r="C33" s="91" t="str">
        <f>VLOOKUP(A33,'【3-2】大区&amp;运营中心填-房间模型价'!H:J,3,0)</f>
        <v>一居室</v>
      </c>
      <c r="D33" s="12">
        <v>2.5</v>
      </c>
      <c r="E33" s="12">
        <v>0</v>
      </c>
      <c r="F33" s="12"/>
      <c r="G33" s="12">
        <v>-1</v>
      </c>
      <c r="H33" s="12" t="str">
        <f t="shared" si="0"/>
        <v>4</v>
      </c>
      <c r="I33" s="94"/>
    </row>
    <row r="34" spans="1:9">
      <c r="A34" s="71">
        <f>'【3-2】大区&amp;运营中心填-房间模型价'!H33</f>
        <v>602</v>
      </c>
      <c r="B34" s="71" t="str">
        <f>'【3-2】大区&amp;运营中心填-房间模型价'!I33</f>
        <v>E</v>
      </c>
      <c r="C34" s="91" t="str">
        <f>VLOOKUP(A34,'【3-2】大区&amp;运营中心填-房间模型价'!H:J,3,0)</f>
        <v>开间</v>
      </c>
      <c r="D34" s="12">
        <v>2</v>
      </c>
      <c r="E34" s="12">
        <v>0</v>
      </c>
      <c r="F34" s="12"/>
      <c r="G34" s="12">
        <v>-2</v>
      </c>
      <c r="H34" s="12" t="str">
        <f t="shared" si="0"/>
        <v>5</v>
      </c>
      <c r="I34" s="94"/>
    </row>
    <row r="35" spans="1:9">
      <c r="A35" s="71">
        <f>'【3-2】大区&amp;运营中心填-房间模型价'!H34</f>
        <v>603</v>
      </c>
      <c r="B35" s="71" t="str">
        <f>'【3-2】大区&amp;运营中心填-房间模型价'!I34</f>
        <v>F</v>
      </c>
      <c r="C35" s="91" t="str">
        <f>VLOOKUP(A35,'【3-2】大区&amp;运营中心填-房间模型价'!H:J,3,0)</f>
        <v>开间</v>
      </c>
      <c r="D35" s="12">
        <v>1</v>
      </c>
      <c r="E35" s="12">
        <v>0</v>
      </c>
      <c r="F35" s="12"/>
      <c r="G35" s="12">
        <v>-1</v>
      </c>
      <c r="H35" s="12" t="str">
        <f t="shared" si="0"/>
        <v>3</v>
      </c>
      <c r="I35" s="94"/>
    </row>
    <row r="36" spans="1:9">
      <c r="A36" s="71">
        <f>'【3-2】大区&amp;运营中心填-房间模型价'!H35</f>
        <v>604</v>
      </c>
      <c r="B36" s="71" t="str">
        <f>'【3-2】大区&amp;运营中心填-房间模型价'!I35</f>
        <v>F</v>
      </c>
      <c r="C36" s="91" t="str">
        <f>VLOOKUP(A36,'【3-2】大区&amp;运营中心填-房间模型价'!H:J,3,0)</f>
        <v>开间</v>
      </c>
      <c r="D36" s="12">
        <v>1</v>
      </c>
      <c r="E36" s="12">
        <v>0</v>
      </c>
      <c r="F36" s="12"/>
      <c r="G36" s="12">
        <v>-1</v>
      </c>
      <c r="H36" s="12" t="str">
        <f t="shared" si="0"/>
        <v>3</v>
      </c>
      <c r="I36" s="94"/>
    </row>
    <row r="37" spans="1:9">
      <c r="A37" s="71">
        <f>'【3-2】大区&amp;运营中心填-房间模型价'!H36</f>
        <v>605</v>
      </c>
      <c r="B37" s="71" t="str">
        <f>'【3-2】大区&amp;运营中心填-房间模型价'!I36</f>
        <v>E</v>
      </c>
      <c r="C37" s="91" t="str">
        <f>VLOOKUP(A37,'【3-2】大区&amp;运营中心填-房间模型价'!H:J,3,0)</f>
        <v>开间</v>
      </c>
      <c r="D37" s="12">
        <v>2</v>
      </c>
      <c r="E37" s="12">
        <v>0</v>
      </c>
      <c r="F37" s="12"/>
      <c r="G37" s="12">
        <v>-2</v>
      </c>
      <c r="H37" s="12" t="str">
        <f t="shared" si="0"/>
        <v>5</v>
      </c>
      <c r="I37" s="94"/>
    </row>
    <row r="38" spans="1:9">
      <c r="A38" s="71">
        <f>'【3-2】大区&amp;运营中心填-房间模型价'!H37</f>
        <v>606</v>
      </c>
      <c r="B38" s="71" t="str">
        <f>'【3-2】大区&amp;运营中心填-房间模型价'!I37</f>
        <v>D</v>
      </c>
      <c r="C38" s="91" t="str">
        <f>VLOOKUP(A38,'【3-2】大区&amp;运营中心填-房间模型价'!H:J,3,0)</f>
        <v>一居室</v>
      </c>
      <c r="D38" s="12">
        <v>2.5</v>
      </c>
      <c r="E38" s="12">
        <v>0</v>
      </c>
      <c r="F38" s="12"/>
      <c r="G38" s="12">
        <v>-1.5</v>
      </c>
      <c r="H38" s="12" t="str">
        <f t="shared" si="0"/>
        <v>4</v>
      </c>
      <c r="I38" s="94"/>
    </row>
    <row r="39" spans="1:9">
      <c r="A39" s="71">
        <f>'【3-2】大区&amp;运营中心填-房间模型价'!H38</f>
        <v>701</v>
      </c>
      <c r="B39" s="71" t="str">
        <f>'【3-2】大区&amp;运营中心填-房间模型价'!I38</f>
        <v>D</v>
      </c>
      <c r="C39" s="91" t="str">
        <f>VLOOKUP(A39,'【3-2】大区&amp;运营中心填-房间模型价'!H:J,3,0)</f>
        <v>一居室</v>
      </c>
      <c r="D39" s="12">
        <v>2.5</v>
      </c>
      <c r="E39" s="12">
        <v>0</v>
      </c>
      <c r="F39" s="12"/>
      <c r="G39" s="12">
        <v>-1</v>
      </c>
      <c r="H39" s="12" t="str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4</v>
      </c>
      <c r="I39" s="94"/>
    </row>
    <row r="40" spans="1:9">
      <c r="A40" s="71">
        <f>'【3-2】大区&amp;运营中心填-房间模型价'!H39</f>
        <v>702</v>
      </c>
      <c r="B40" s="71" t="str">
        <f>'【3-2】大区&amp;运营中心填-房间模型价'!I39</f>
        <v>E</v>
      </c>
      <c r="C40" s="91" t="str">
        <f>VLOOKUP(A40,'【3-2】大区&amp;运营中心填-房间模型价'!H:J,3,0)</f>
        <v>开间</v>
      </c>
      <c r="D40" s="12">
        <v>2</v>
      </c>
      <c r="E40" s="12">
        <v>0</v>
      </c>
      <c r="F40" s="12"/>
      <c r="G40" s="12">
        <v>-2</v>
      </c>
      <c r="H40" s="12" t="str">
        <f t="shared" si="1"/>
        <v>5</v>
      </c>
      <c r="I40" s="94"/>
    </row>
    <row r="41" spans="1:9">
      <c r="A41" s="71">
        <f>'【3-2】大区&amp;运营中心填-房间模型价'!H40</f>
        <v>703</v>
      </c>
      <c r="B41" s="71" t="str">
        <f>'【3-2】大区&amp;运营中心填-房间模型价'!I40</f>
        <v>F</v>
      </c>
      <c r="C41" s="91" t="str">
        <f>VLOOKUP(A41,'【3-2】大区&amp;运营中心填-房间模型价'!H:J,3,0)</f>
        <v>开间</v>
      </c>
      <c r="D41" s="12">
        <v>1</v>
      </c>
      <c r="E41" s="12">
        <v>0</v>
      </c>
      <c r="F41" s="12"/>
      <c r="G41" s="12">
        <v>-1</v>
      </c>
      <c r="H41" s="12" t="str">
        <f t="shared" si="1"/>
        <v>3</v>
      </c>
      <c r="I41" s="94"/>
    </row>
    <row r="42" spans="1:9">
      <c r="A42" s="71">
        <f>'【3-2】大区&amp;运营中心填-房间模型价'!H41</f>
        <v>704</v>
      </c>
      <c r="B42" s="71" t="str">
        <f>'【3-2】大区&amp;运营中心填-房间模型价'!I41</f>
        <v>F</v>
      </c>
      <c r="C42" s="91" t="str">
        <f>VLOOKUP(A42,'【3-2】大区&amp;运营中心填-房间模型价'!H:J,3,0)</f>
        <v>开间</v>
      </c>
      <c r="D42" s="12">
        <v>1</v>
      </c>
      <c r="E42" s="12">
        <v>0</v>
      </c>
      <c r="F42" s="12"/>
      <c r="G42" s="12">
        <v>-1</v>
      </c>
      <c r="H42" s="12" t="str">
        <f t="shared" si="1"/>
        <v>3</v>
      </c>
      <c r="I42" s="94"/>
    </row>
    <row r="43" spans="1:9">
      <c r="A43" s="71">
        <f>'【3-2】大区&amp;运营中心填-房间模型价'!H42</f>
        <v>705</v>
      </c>
      <c r="B43" s="71" t="str">
        <f>'【3-2】大区&amp;运营中心填-房间模型价'!I42</f>
        <v>E</v>
      </c>
      <c r="C43" s="91" t="str">
        <f>VLOOKUP(A43,'【3-2】大区&amp;运营中心填-房间模型价'!H:J,3,0)</f>
        <v>开间</v>
      </c>
      <c r="D43" s="12">
        <v>2</v>
      </c>
      <c r="E43" s="12">
        <v>0</v>
      </c>
      <c r="F43" s="12"/>
      <c r="G43" s="12">
        <v>-2</v>
      </c>
      <c r="H43" s="12" t="str">
        <f t="shared" si="1"/>
        <v>5</v>
      </c>
      <c r="I43" s="94"/>
    </row>
    <row r="44" spans="1:9">
      <c r="A44" s="71">
        <f>'【3-2】大区&amp;运营中心填-房间模型价'!H43</f>
        <v>706</v>
      </c>
      <c r="B44" s="71" t="str">
        <f>'【3-2】大区&amp;运营中心填-房间模型价'!I43</f>
        <v>D</v>
      </c>
      <c r="C44" s="91" t="str">
        <f>VLOOKUP(A44,'【3-2】大区&amp;运营中心填-房间模型价'!H:J,3,0)</f>
        <v>一居室</v>
      </c>
      <c r="D44" s="12">
        <v>2.5</v>
      </c>
      <c r="E44" s="12">
        <v>0</v>
      </c>
      <c r="F44" s="12"/>
      <c r="G44" s="12">
        <v>-1.5</v>
      </c>
      <c r="H44" s="12" t="str">
        <f t="shared" si="1"/>
        <v>4</v>
      </c>
      <c r="I44" s="94"/>
    </row>
    <row r="45" spans="1:9">
      <c r="A45" s="71" t="e">
        <f>'【3-2】大区&amp;运营中心填-房间模型价'!#REF!</f>
        <v>#REF!</v>
      </c>
      <c r="B45" s="71" t="e">
        <f>'【3-2】大区&amp;运营中心填-房间模型价'!#REF!</f>
        <v>#REF!</v>
      </c>
      <c r="C45" s="91" t="e">
        <f>VLOOKUP(A45,'【3-2】大区&amp;运营中心填-房间模型价'!H:J,3,0)</f>
        <v>#REF!</v>
      </c>
      <c r="D45" s="12"/>
      <c r="E45" s="12"/>
      <c r="F45" s="12"/>
      <c r="G45" s="12"/>
      <c r="H45" s="12" t="e">
        <f t="shared" si="1"/>
        <v>#REF!</v>
      </c>
      <c r="I45" s="94"/>
    </row>
    <row r="46" spans="1:9">
      <c r="A46" s="71" t="e">
        <f>'【3-2】大区&amp;运营中心填-房间模型价'!#REF!</f>
        <v>#REF!</v>
      </c>
      <c r="B46" s="71" t="e">
        <f>'【3-2】大区&amp;运营中心填-房间模型价'!#REF!</f>
        <v>#REF!</v>
      </c>
      <c r="C46" s="91" t="e">
        <f>VLOOKUP(A46,'【3-2】大区&amp;运营中心填-房间模型价'!H:J,3,0)</f>
        <v>#REF!</v>
      </c>
      <c r="D46" s="12"/>
      <c r="E46" s="12"/>
      <c r="F46" s="12"/>
      <c r="G46" s="12"/>
      <c r="H46" s="12" t="e">
        <f t="shared" si="1"/>
        <v>#REF!</v>
      </c>
      <c r="I46" s="94"/>
    </row>
    <row r="47" spans="1:9">
      <c r="A47" s="71" t="e">
        <f>'【3-2】大区&amp;运营中心填-房间模型价'!#REF!</f>
        <v>#REF!</v>
      </c>
      <c r="B47" s="71" t="e">
        <f>'【3-2】大区&amp;运营中心填-房间模型价'!#REF!</f>
        <v>#REF!</v>
      </c>
      <c r="C47" s="91" t="e">
        <f>VLOOKUP(A47,'【3-2】大区&amp;运营中心填-房间模型价'!H:J,3,0)</f>
        <v>#REF!</v>
      </c>
      <c r="D47" s="12"/>
      <c r="E47" s="12"/>
      <c r="F47" s="12"/>
      <c r="G47" s="12"/>
      <c r="H47" s="12" t="e">
        <f t="shared" si="1"/>
        <v>#REF!</v>
      </c>
      <c r="I47" s="94"/>
    </row>
    <row r="48" spans="1:9">
      <c r="A48" s="71" t="e">
        <f>'【3-2】大区&amp;运营中心填-房间模型价'!#REF!</f>
        <v>#REF!</v>
      </c>
      <c r="B48" s="71" t="e">
        <f>'【3-2】大区&amp;运营中心填-房间模型价'!#REF!</f>
        <v>#REF!</v>
      </c>
      <c r="C48" s="91" t="e">
        <f>VLOOKUP(A48,'【3-2】大区&amp;运营中心填-房间模型价'!H:J,3,0)</f>
        <v>#REF!</v>
      </c>
      <c r="D48" s="12"/>
      <c r="E48" s="12"/>
      <c r="F48" s="12"/>
      <c r="G48" s="12"/>
      <c r="H48" s="12" t="e">
        <f t="shared" si="1"/>
        <v>#REF!</v>
      </c>
      <c r="I48" s="94"/>
    </row>
    <row r="49" spans="1:9">
      <c r="A49" s="71" t="e">
        <f>'【3-2】大区&amp;运营中心填-房间模型价'!#REF!</f>
        <v>#REF!</v>
      </c>
      <c r="B49" s="71" t="e">
        <f>'【3-2】大区&amp;运营中心填-房间模型价'!#REF!</f>
        <v>#REF!</v>
      </c>
      <c r="C49" s="91" t="e">
        <f>VLOOKUP(A49,'【3-2】大区&amp;运营中心填-房间模型价'!H:J,3,0)</f>
        <v>#REF!</v>
      </c>
      <c r="D49" s="12"/>
      <c r="E49" s="12"/>
      <c r="F49" s="12"/>
      <c r="G49" s="12"/>
      <c r="H49" s="12" t="e">
        <f t="shared" si="1"/>
        <v>#REF!</v>
      </c>
      <c r="I49" s="94"/>
    </row>
    <row r="50" spans="1:9">
      <c r="A50" s="71" t="e">
        <f>'【3-2】大区&amp;运营中心填-房间模型价'!#REF!</f>
        <v>#REF!</v>
      </c>
      <c r="B50" s="71" t="e">
        <f>'【3-2】大区&amp;运营中心填-房间模型价'!#REF!</f>
        <v>#REF!</v>
      </c>
      <c r="C50" s="91" t="e">
        <f>VLOOKUP(A50,'【3-2】大区&amp;运营中心填-房间模型价'!H:J,3,0)</f>
        <v>#REF!</v>
      </c>
      <c r="D50" s="12"/>
      <c r="E50" s="12"/>
      <c r="F50" s="12"/>
      <c r="G50" s="12"/>
      <c r="H50" s="12" t="e">
        <f t="shared" si="1"/>
        <v>#REF!</v>
      </c>
      <c r="I50" s="94"/>
    </row>
    <row r="51" spans="1:9">
      <c r="A51" s="71" t="e">
        <f>'【3-2】大区&amp;运营中心填-房间模型价'!#REF!</f>
        <v>#REF!</v>
      </c>
      <c r="B51" s="71" t="e">
        <f>'【3-2】大区&amp;运营中心填-房间模型价'!#REF!</f>
        <v>#REF!</v>
      </c>
      <c r="C51" s="91" t="e">
        <f>VLOOKUP(A51,'【3-2】大区&amp;运营中心填-房间模型价'!H:J,3,0)</f>
        <v>#REF!</v>
      </c>
      <c r="D51" s="12"/>
      <c r="E51" s="12"/>
      <c r="F51" s="12"/>
      <c r="G51" s="12"/>
      <c r="H51" s="12" t="e">
        <f t="shared" si="1"/>
        <v>#REF!</v>
      </c>
      <c r="I51" s="94"/>
    </row>
    <row r="52" spans="1:9">
      <c r="A52" s="71" t="e">
        <f>'【3-2】大区&amp;运营中心填-房间模型价'!#REF!</f>
        <v>#REF!</v>
      </c>
      <c r="B52" s="71" t="e">
        <f>'【3-2】大区&amp;运营中心填-房间模型价'!#REF!</f>
        <v>#REF!</v>
      </c>
      <c r="C52" s="91" t="e">
        <f>VLOOKUP(A52,'【3-2】大区&amp;运营中心填-房间模型价'!H:J,3,0)</f>
        <v>#REF!</v>
      </c>
      <c r="D52" s="12"/>
      <c r="E52" s="12"/>
      <c r="F52" s="12"/>
      <c r="G52" s="12"/>
      <c r="H52" s="12" t="e">
        <f t="shared" si="1"/>
        <v>#REF!</v>
      </c>
      <c r="I52" s="94"/>
    </row>
    <row r="53" spans="1:9">
      <c r="A53" s="71" t="e">
        <f>'【3-2】大区&amp;运营中心填-房间模型价'!#REF!</f>
        <v>#REF!</v>
      </c>
      <c r="B53" s="71" t="e">
        <f>'【3-2】大区&amp;运营中心填-房间模型价'!#REF!</f>
        <v>#REF!</v>
      </c>
      <c r="C53" s="91" t="e">
        <f>VLOOKUP(A53,'【3-2】大区&amp;运营中心填-房间模型价'!H:J,3,0)</f>
        <v>#REF!</v>
      </c>
      <c r="D53" s="12"/>
      <c r="E53" s="12"/>
      <c r="F53" s="12"/>
      <c r="G53" s="12"/>
      <c r="H53" s="12" t="e">
        <f t="shared" si="1"/>
        <v>#REF!</v>
      </c>
      <c r="I53" s="94"/>
    </row>
    <row r="54" spans="1:9">
      <c r="A54" s="71" t="e">
        <f>'【3-2】大区&amp;运营中心填-房间模型价'!#REF!</f>
        <v>#REF!</v>
      </c>
      <c r="B54" s="71" t="e">
        <f>'【3-2】大区&amp;运营中心填-房间模型价'!#REF!</f>
        <v>#REF!</v>
      </c>
      <c r="C54" s="91" t="e">
        <f>VLOOKUP(A54,'【3-2】大区&amp;运营中心填-房间模型价'!H:J,3,0)</f>
        <v>#REF!</v>
      </c>
      <c r="D54" s="12"/>
      <c r="E54" s="12"/>
      <c r="F54" s="12"/>
      <c r="G54" s="12"/>
      <c r="H54" s="12" t="e">
        <f t="shared" si="1"/>
        <v>#REF!</v>
      </c>
      <c r="I54" s="94"/>
    </row>
    <row r="55" spans="1:9">
      <c r="A55" s="71" t="e">
        <f>'【3-2】大区&amp;运营中心填-房间模型价'!#REF!</f>
        <v>#REF!</v>
      </c>
      <c r="B55" s="71" t="e">
        <f>'【3-2】大区&amp;运营中心填-房间模型价'!#REF!</f>
        <v>#REF!</v>
      </c>
      <c r="C55" s="91" t="e">
        <f>VLOOKUP(A55,'【3-2】大区&amp;运营中心填-房间模型价'!H:J,3,0)</f>
        <v>#REF!</v>
      </c>
      <c r="D55" s="12"/>
      <c r="E55" s="12"/>
      <c r="F55" s="12"/>
      <c r="G55" s="12"/>
      <c r="H55" s="12" t="e">
        <f t="shared" si="1"/>
        <v>#REF!</v>
      </c>
      <c r="I55" s="94"/>
    </row>
    <row r="56" spans="1:9">
      <c r="A56" s="71" t="e">
        <f>'【3-2】大区&amp;运营中心填-房间模型价'!#REF!</f>
        <v>#REF!</v>
      </c>
      <c r="B56" s="71" t="e">
        <f>'【3-2】大区&amp;运营中心填-房间模型价'!#REF!</f>
        <v>#REF!</v>
      </c>
      <c r="C56" s="91" t="e">
        <f>VLOOKUP(A56,'【3-2】大区&amp;运营中心填-房间模型价'!H:J,3,0)</f>
        <v>#REF!</v>
      </c>
      <c r="D56" s="12"/>
      <c r="E56" s="12"/>
      <c r="F56" s="12"/>
      <c r="G56" s="12"/>
      <c r="H56" s="12" t="e">
        <f t="shared" si="1"/>
        <v>#REF!</v>
      </c>
      <c r="I56" s="94"/>
    </row>
    <row r="57" spans="1:9">
      <c r="A57" s="71" t="e">
        <f>'【3-2】大区&amp;运营中心填-房间模型价'!#REF!</f>
        <v>#REF!</v>
      </c>
      <c r="B57" s="71" t="e">
        <f>'【3-2】大区&amp;运营中心填-房间模型价'!#REF!</f>
        <v>#REF!</v>
      </c>
      <c r="C57" s="91" t="e">
        <f>VLOOKUP(A57,'【3-2】大区&amp;运营中心填-房间模型价'!H:J,3,0)</f>
        <v>#REF!</v>
      </c>
      <c r="D57" s="12"/>
      <c r="E57" s="12"/>
      <c r="F57" s="12"/>
      <c r="G57" s="12"/>
      <c r="H57" s="12" t="e">
        <f t="shared" si="1"/>
        <v>#REF!</v>
      </c>
      <c r="I57" s="94"/>
    </row>
    <row r="58" spans="1:9">
      <c r="A58" s="71" t="e">
        <f>'【3-2】大区&amp;运营中心填-房间模型价'!#REF!</f>
        <v>#REF!</v>
      </c>
      <c r="B58" s="71" t="e">
        <f>'【3-2】大区&amp;运营中心填-房间模型价'!#REF!</f>
        <v>#REF!</v>
      </c>
      <c r="C58" s="91" t="e">
        <f>VLOOKUP(A58,'【3-2】大区&amp;运营中心填-房间模型价'!H:J,3,0)</f>
        <v>#REF!</v>
      </c>
      <c r="D58" s="12"/>
      <c r="E58" s="12"/>
      <c r="F58" s="12"/>
      <c r="G58" s="12"/>
      <c r="H58" s="12" t="e">
        <f t="shared" si="1"/>
        <v>#REF!</v>
      </c>
      <c r="I58" s="94"/>
    </row>
    <row r="59" spans="1:9">
      <c r="A59" s="71" t="e">
        <f>'【3-2】大区&amp;运营中心填-房间模型价'!#REF!</f>
        <v>#REF!</v>
      </c>
      <c r="B59" s="71" t="e">
        <f>'【3-2】大区&amp;运营中心填-房间模型价'!#REF!</f>
        <v>#REF!</v>
      </c>
      <c r="C59" s="91" t="e">
        <f>VLOOKUP(A59,'【3-2】大区&amp;运营中心填-房间模型价'!H:J,3,0)</f>
        <v>#REF!</v>
      </c>
      <c r="D59" s="12"/>
      <c r="E59" s="12"/>
      <c r="F59" s="12"/>
      <c r="G59" s="12"/>
      <c r="H59" s="12" t="e">
        <f t="shared" si="1"/>
        <v>#REF!</v>
      </c>
      <c r="I59" s="94"/>
    </row>
    <row r="60" spans="1:9">
      <c r="A60" s="71" t="e">
        <f>'【3-2】大区&amp;运营中心填-房间模型价'!#REF!</f>
        <v>#REF!</v>
      </c>
      <c r="B60" s="71" t="e">
        <f>'【3-2】大区&amp;运营中心填-房间模型价'!#REF!</f>
        <v>#REF!</v>
      </c>
      <c r="C60" s="91" t="e">
        <f>VLOOKUP(A60,'【3-2】大区&amp;运营中心填-房间模型价'!H:J,3,0)</f>
        <v>#REF!</v>
      </c>
      <c r="D60" s="12"/>
      <c r="E60" s="12"/>
      <c r="F60" s="12"/>
      <c r="G60" s="12"/>
      <c r="H60" s="12" t="e">
        <f t="shared" si="1"/>
        <v>#REF!</v>
      </c>
      <c r="I60" s="94"/>
    </row>
    <row r="61" spans="1:9">
      <c r="A61" s="71" t="e">
        <f>'【3-2】大区&amp;运营中心填-房间模型价'!#REF!</f>
        <v>#REF!</v>
      </c>
      <c r="B61" s="71" t="e">
        <f>'【3-2】大区&amp;运营中心填-房间模型价'!#REF!</f>
        <v>#REF!</v>
      </c>
      <c r="C61" s="91" t="e">
        <f>VLOOKUP(A61,'【3-2】大区&amp;运营中心填-房间模型价'!H:J,3,0)</f>
        <v>#REF!</v>
      </c>
      <c r="D61" s="12"/>
      <c r="E61" s="12"/>
      <c r="F61" s="12"/>
      <c r="G61" s="12"/>
      <c r="H61" s="12" t="e">
        <f t="shared" si="1"/>
        <v>#REF!</v>
      </c>
      <c r="I61" s="94"/>
    </row>
    <row r="62" spans="1:9">
      <c r="A62" s="71" t="e">
        <f>'【3-2】大区&amp;运营中心填-房间模型价'!#REF!</f>
        <v>#REF!</v>
      </c>
      <c r="B62" s="71" t="e">
        <f>'【3-2】大区&amp;运营中心填-房间模型价'!#REF!</f>
        <v>#REF!</v>
      </c>
      <c r="C62" s="91" t="e">
        <f>VLOOKUP(A62,'【3-2】大区&amp;运营中心填-房间模型价'!H:J,3,0)</f>
        <v>#REF!</v>
      </c>
      <c r="D62" s="12"/>
      <c r="E62" s="12"/>
      <c r="F62" s="12"/>
      <c r="G62" s="12"/>
      <c r="H62" s="12" t="e">
        <f t="shared" si="1"/>
        <v>#REF!</v>
      </c>
      <c r="I62" s="94"/>
    </row>
    <row r="63" spans="1:9">
      <c r="A63" s="71" t="e">
        <f>'【3-2】大区&amp;运营中心填-房间模型价'!#REF!</f>
        <v>#REF!</v>
      </c>
      <c r="B63" s="71" t="e">
        <f>'【3-2】大区&amp;运营中心填-房间模型价'!#REF!</f>
        <v>#REF!</v>
      </c>
      <c r="C63" s="91" t="e">
        <f>VLOOKUP(A63,'【3-2】大区&amp;运营中心填-房间模型价'!H:J,3,0)</f>
        <v>#REF!</v>
      </c>
      <c r="D63" s="12"/>
      <c r="E63" s="12"/>
      <c r="F63" s="12"/>
      <c r="G63" s="12"/>
      <c r="H63" s="12" t="e">
        <f t="shared" si="1"/>
        <v>#REF!</v>
      </c>
      <c r="I63" s="94"/>
    </row>
    <row r="64" spans="1:9">
      <c r="A64" s="71" t="e">
        <f>'【3-2】大区&amp;运营中心填-房间模型价'!#REF!</f>
        <v>#REF!</v>
      </c>
      <c r="B64" s="71" t="e">
        <f>'【3-2】大区&amp;运营中心填-房间模型价'!#REF!</f>
        <v>#REF!</v>
      </c>
      <c r="C64" s="91" t="e">
        <f>VLOOKUP(A64,'【3-2】大区&amp;运营中心填-房间模型价'!H:J,3,0)</f>
        <v>#REF!</v>
      </c>
      <c r="D64" s="12"/>
      <c r="E64" s="12"/>
      <c r="F64" s="12"/>
      <c r="G64" s="12"/>
      <c r="H64" s="12" t="e">
        <f t="shared" si="1"/>
        <v>#REF!</v>
      </c>
      <c r="I64" s="94"/>
    </row>
    <row r="65" spans="1:9">
      <c r="A65" s="71" t="e">
        <f>'【3-2】大区&amp;运营中心填-房间模型价'!#REF!</f>
        <v>#REF!</v>
      </c>
      <c r="B65" s="71" t="e">
        <f>'【3-2】大区&amp;运营中心填-房间模型价'!#REF!</f>
        <v>#REF!</v>
      </c>
      <c r="C65" s="91" t="e">
        <f>VLOOKUP(A65,'【3-2】大区&amp;运营中心填-房间模型价'!H:J,3,0)</f>
        <v>#REF!</v>
      </c>
      <c r="D65" s="12"/>
      <c r="E65" s="12"/>
      <c r="F65" s="12"/>
      <c r="G65" s="12"/>
      <c r="H65" s="12" t="e">
        <f t="shared" si="1"/>
        <v>#REF!</v>
      </c>
      <c r="I65" s="94"/>
    </row>
    <row r="66" spans="1:9">
      <c r="A66" s="71" t="e">
        <f>'【3-2】大区&amp;运营中心填-房间模型价'!#REF!</f>
        <v>#REF!</v>
      </c>
      <c r="B66" s="71" t="e">
        <f>'【3-2】大区&amp;运营中心填-房间模型价'!#REF!</f>
        <v>#REF!</v>
      </c>
      <c r="C66" s="91" t="e">
        <f>VLOOKUP(A66,'【3-2】大区&amp;运营中心填-房间模型价'!H:J,3,0)</f>
        <v>#REF!</v>
      </c>
      <c r="D66" s="12"/>
      <c r="E66" s="12"/>
      <c r="F66" s="12"/>
      <c r="G66" s="12"/>
      <c r="H66" s="12" t="e">
        <f t="shared" si="1"/>
        <v>#REF!</v>
      </c>
      <c r="I66" s="94"/>
    </row>
    <row r="67" spans="1:9">
      <c r="A67" s="71" t="e">
        <f>'【3-2】大区&amp;运营中心填-房间模型价'!#REF!</f>
        <v>#REF!</v>
      </c>
      <c r="B67" s="71" t="e">
        <f>'【3-2】大区&amp;运营中心填-房间模型价'!#REF!</f>
        <v>#REF!</v>
      </c>
      <c r="C67" s="91" t="e">
        <f>VLOOKUP(A67,'【3-2】大区&amp;运营中心填-房间模型价'!H:J,3,0)</f>
        <v>#REF!</v>
      </c>
      <c r="D67" s="12"/>
      <c r="E67" s="12"/>
      <c r="F67" s="12"/>
      <c r="G67" s="12"/>
      <c r="H67" s="12" t="e">
        <f t="shared" si="1"/>
        <v>#REF!</v>
      </c>
      <c r="I67" s="94"/>
    </row>
    <row r="68" spans="1:9">
      <c r="A68" s="71" t="e">
        <f>'【3-2】大区&amp;运营中心填-房间模型价'!#REF!</f>
        <v>#REF!</v>
      </c>
      <c r="B68" s="71" t="e">
        <f>'【3-2】大区&amp;运营中心填-房间模型价'!#REF!</f>
        <v>#REF!</v>
      </c>
      <c r="C68" s="91" t="e">
        <f>VLOOKUP(A68,'【3-2】大区&amp;运营中心填-房间模型价'!H:J,3,0)</f>
        <v>#REF!</v>
      </c>
      <c r="D68" s="12"/>
      <c r="E68" s="12"/>
      <c r="F68" s="12"/>
      <c r="G68" s="12"/>
      <c r="H68" s="12" t="e">
        <f t="shared" si="1"/>
        <v>#REF!</v>
      </c>
      <c r="I68" s="94"/>
    </row>
    <row r="69" spans="1:9">
      <c r="A69" s="71" t="e">
        <f>'【3-2】大区&amp;运营中心填-房间模型价'!#REF!</f>
        <v>#REF!</v>
      </c>
      <c r="B69" s="71" t="e">
        <f>'【3-2】大区&amp;运营中心填-房间模型价'!#REF!</f>
        <v>#REF!</v>
      </c>
      <c r="C69" s="91" t="e">
        <f>VLOOKUP(A69,'【3-2】大区&amp;运营中心填-房间模型价'!H:J,3,0)</f>
        <v>#REF!</v>
      </c>
      <c r="D69" s="12"/>
      <c r="E69" s="12"/>
      <c r="F69" s="12"/>
      <c r="G69" s="12"/>
      <c r="H69" s="12" t="e">
        <f t="shared" si="1"/>
        <v>#REF!</v>
      </c>
      <c r="I69" s="94"/>
    </row>
    <row r="70" spans="1:9">
      <c r="A70" s="71" t="e">
        <f>'【3-2】大区&amp;运营中心填-房间模型价'!#REF!</f>
        <v>#REF!</v>
      </c>
      <c r="B70" s="71" t="e">
        <f>'【3-2】大区&amp;运营中心填-房间模型价'!#REF!</f>
        <v>#REF!</v>
      </c>
      <c r="C70" s="91" t="e">
        <f>VLOOKUP(A70,'【3-2】大区&amp;运营中心填-房间模型价'!H:J,3,0)</f>
        <v>#REF!</v>
      </c>
      <c r="D70" s="12"/>
      <c r="E70" s="12"/>
      <c r="F70" s="12"/>
      <c r="G70" s="12"/>
      <c r="H70" s="12" t="e">
        <f t="shared" si="1"/>
        <v>#REF!</v>
      </c>
      <c r="I70" s="94"/>
    </row>
    <row r="71" spans="1:9">
      <c r="A71" s="71" t="e">
        <f>'【3-2】大区&amp;运营中心填-房间模型价'!#REF!</f>
        <v>#REF!</v>
      </c>
      <c r="B71" s="71" t="e">
        <f>'【3-2】大区&amp;运营中心填-房间模型价'!#REF!</f>
        <v>#REF!</v>
      </c>
      <c r="C71" s="91" t="e">
        <f>VLOOKUP(A71,'【3-2】大区&amp;运营中心填-房间模型价'!H:J,3,0)</f>
        <v>#REF!</v>
      </c>
      <c r="D71" s="12"/>
      <c r="E71" s="12"/>
      <c r="F71" s="12"/>
      <c r="G71" s="12"/>
      <c r="H71" s="12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94"/>
    </row>
    <row r="72" spans="1:9">
      <c r="A72" s="71" t="e">
        <f>'【3-2】大区&amp;运营中心填-房间模型价'!#REF!</f>
        <v>#REF!</v>
      </c>
      <c r="B72" s="71" t="e">
        <f>'【3-2】大区&amp;运营中心填-房间模型价'!#REF!</f>
        <v>#REF!</v>
      </c>
      <c r="C72" s="91" t="e">
        <f>VLOOKUP(A72,'【3-2】大区&amp;运营中心填-房间模型价'!H:J,3,0)</f>
        <v>#REF!</v>
      </c>
      <c r="D72" s="12"/>
      <c r="E72" s="12"/>
      <c r="F72" s="12"/>
      <c r="G72" s="12"/>
      <c r="H72" s="12" t="e">
        <f t="shared" si="2"/>
        <v>#REF!</v>
      </c>
      <c r="I72" s="94"/>
    </row>
    <row r="73" spans="1:9">
      <c r="A73" s="71" t="e">
        <f>'【3-2】大区&amp;运营中心填-房间模型价'!#REF!</f>
        <v>#REF!</v>
      </c>
      <c r="B73" s="71" t="e">
        <f>'【3-2】大区&amp;运营中心填-房间模型价'!#REF!</f>
        <v>#REF!</v>
      </c>
      <c r="C73" s="91" t="e">
        <f>VLOOKUP(A73,'【3-2】大区&amp;运营中心填-房间模型价'!H:J,3,0)</f>
        <v>#REF!</v>
      </c>
      <c r="D73" s="12"/>
      <c r="E73" s="12"/>
      <c r="F73" s="12"/>
      <c r="G73" s="12"/>
      <c r="H73" s="12" t="e">
        <f t="shared" si="2"/>
        <v>#REF!</v>
      </c>
      <c r="I73" s="94"/>
    </row>
    <row r="74" spans="1:9">
      <c r="A74" s="71" t="e">
        <f>'【3-2】大区&amp;运营中心填-房间模型价'!#REF!</f>
        <v>#REF!</v>
      </c>
      <c r="B74" s="71" t="e">
        <f>'【3-2】大区&amp;运营中心填-房间模型价'!#REF!</f>
        <v>#REF!</v>
      </c>
      <c r="C74" s="91" t="e">
        <f>VLOOKUP(A74,'【3-2】大区&amp;运营中心填-房间模型价'!H:J,3,0)</f>
        <v>#REF!</v>
      </c>
      <c r="D74" s="12"/>
      <c r="E74" s="12"/>
      <c r="F74" s="12"/>
      <c r="G74" s="12"/>
      <c r="H74" s="12" t="e">
        <f t="shared" si="2"/>
        <v>#REF!</v>
      </c>
      <c r="I74" s="94"/>
    </row>
    <row r="75" spans="1:9">
      <c r="A75" s="71" t="e">
        <f>'【3-2】大区&amp;运营中心填-房间模型价'!#REF!</f>
        <v>#REF!</v>
      </c>
      <c r="B75" s="71" t="e">
        <f>'【3-2】大区&amp;运营中心填-房间模型价'!#REF!</f>
        <v>#REF!</v>
      </c>
      <c r="C75" s="91" t="e">
        <f>VLOOKUP(A75,'【3-2】大区&amp;运营中心填-房间模型价'!H:J,3,0)</f>
        <v>#REF!</v>
      </c>
      <c r="D75" s="12"/>
      <c r="E75" s="12"/>
      <c r="F75" s="12"/>
      <c r="G75" s="12"/>
      <c r="H75" s="12" t="e">
        <f t="shared" si="2"/>
        <v>#REF!</v>
      </c>
      <c r="I75" s="94"/>
    </row>
    <row r="76" spans="1:9">
      <c r="A76" s="71" t="e">
        <f>'【3-2】大区&amp;运营中心填-房间模型价'!#REF!</f>
        <v>#REF!</v>
      </c>
      <c r="B76" s="71" t="e">
        <f>'【3-2】大区&amp;运营中心填-房间模型价'!#REF!</f>
        <v>#REF!</v>
      </c>
      <c r="C76" s="91" t="e">
        <f>VLOOKUP(A76,'【3-2】大区&amp;运营中心填-房间模型价'!H:J,3,0)</f>
        <v>#REF!</v>
      </c>
      <c r="D76" s="12"/>
      <c r="E76" s="12"/>
      <c r="F76" s="12"/>
      <c r="G76" s="12"/>
      <c r="H76" s="12" t="e">
        <f t="shared" si="2"/>
        <v>#REF!</v>
      </c>
      <c r="I76" s="94"/>
    </row>
    <row r="77" spans="1:9">
      <c r="A77" s="71" t="e">
        <f>'【3-2】大区&amp;运营中心填-房间模型价'!#REF!</f>
        <v>#REF!</v>
      </c>
      <c r="B77" s="71" t="e">
        <f>'【3-2】大区&amp;运营中心填-房间模型价'!#REF!</f>
        <v>#REF!</v>
      </c>
      <c r="C77" s="91" t="e">
        <f>VLOOKUP(A77,'【3-2】大区&amp;运营中心填-房间模型价'!H:J,3,0)</f>
        <v>#REF!</v>
      </c>
      <c r="D77" s="12"/>
      <c r="E77" s="12"/>
      <c r="F77" s="12"/>
      <c r="G77" s="12"/>
      <c r="H77" s="12" t="e">
        <f t="shared" si="2"/>
        <v>#REF!</v>
      </c>
      <c r="I77" s="94"/>
    </row>
    <row r="78" spans="1:9">
      <c r="A78" s="71" t="e">
        <f>'【3-2】大区&amp;运营中心填-房间模型价'!#REF!</f>
        <v>#REF!</v>
      </c>
      <c r="B78" s="71" t="e">
        <f>'【3-2】大区&amp;运营中心填-房间模型价'!#REF!</f>
        <v>#REF!</v>
      </c>
      <c r="C78" s="91" t="e">
        <f>VLOOKUP(A78,'【3-2】大区&amp;运营中心填-房间模型价'!H:J,3,0)</f>
        <v>#REF!</v>
      </c>
      <c r="D78" s="12"/>
      <c r="E78" s="12"/>
      <c r="F78" s="12"/>
      <c r="G78" s="12"/>
      <c r="H78" s="12" t="e">
        <f t="shared" si="2"/>
        <v>#REF!</v>
      </c>
      <c r="I78" s="94"/>
    </row>
    <row r="79" spans="1:9">
      <c r="A79" s="71" t="e">
        <f>'【3-2】大区&amp;运营中心填-房间模型价'!#REF!</f>
        <v>#REF!</v>
      </c>
      <c r="B79" s="71" t="e">
        <f>'【3-2】大区&amp;运营中心填-房间模型价'!#REF!</f>
        <v>#REF!</v>
      </c>
      <c r="C79" s="91" t="e">
        <f>VLOOKUP(A79,'【3-2】大区&amp;运营中心填-房间模型价'!H:J,3,0)</f>
        <v>#REF!</v>
      </c>
      <c r="D79" s="12"/>
      <c r="E79" s="12"/>
      <c r="F79" s="12"/>
      <c r="G79" s="12"/>
      <c r="H79" s="12" t="e">
        <f t="shared" si="2"/>
        <v>#REF!</v>
      </c>
      <c r="I79" s="94"/>
    </row>
    <row r="80" spans="1:9">
      <c r="A80" s="71" t="e">
        <f>'【3-2】大区&amp;运营中心填-房间模型价'!#REF!</f>
        <v>#REF!</v>
      </c>
      <c r="B80" s="71" t="e">
        <f>'【3-2】大区&amp;运营中心填-房间模型价'!#REF!</f>
        <v>#REF!</v>
      </c>
      <c r="C80" s="91" t="e">
        <f>VLOOKUP(A80,'【3-2】大区&amp;运营中心填-房间模型价'!H:J,3,0)</f>
        <v>#REF!</v>
      </c>
      <c r="D80" s="12"/>
      <c r="E80" s="12"/>
      <c r="F80" s="12"/>
      <c r="G80" s="12"/>
      <c r="H80" s="12" t="e">
        <f t="shared" si="2"/>
        <v>#REF!</v>
      </c>
      <c r="I80" s="94"/>
    </row>
    <row r="81" spans="1:9">
      <c r="A81" s="71" t="e">
        <f>'【3-2】大区&amp;运营中心填-房间模型价'!#REF!</f>
        <v>#REF!</v>
      </c>
      <c r="B81" s="71" t="e">
        <f>'【3-2】大区&amp;运营中心填-房间模型价'!#REF!</f>
        <v>#REF!</v>
      </c>
      <c r="C81" s="91" t="e">
        <f>VLOOKUP(A81,'【3-2】大区&amp;运营中心填-房间模型价'!H:J,3,0)</f>
        <v>#REF!</v>
      </c>
      <c r="D81" s="12"/>
      <c r="E81" s="12"/>
      <c r="F81" s="12"/>
      <c r="G81" s="12"/>
      <c r="H81" s="12" t="e">
        <f t="shared" ref="H81:H112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94"/>
    </row>
    <row r="82" spans="1:9">
      <c r="A82" s="71" t="e">
        <f>'【3-2】大区&amp;运营中心填-房间模型价'!#REF!</f>
        <v>#REF!</v>
      </c>
      <c r="B82" s="71" t="e">
        <f>'【3-2】大区&amp;运营中心填-房间模型价'!#REF!</f>
        <v>#REF!</v>
      </c>
      <c r="C82" s="91" t="e">
        <f>VLOOKUP(A82,'【3-2】大区&amp;运营中心填-房间模型价'!H:J,3,0)</f>
        <v>#REF!</v>
      </c>
      <c r="D82" s="12"/>
      <c r="E82" s="12"/>
      <c r="F82" s="12"/>
      <c r="G82" s="12"/>
      <c r="H82" s="12" t="e">
        <f t="shared" si="3"/>
        <v>#REF!</v>
      </c>
      <c r="I82" s="94"/>
    </row>
    <row r="83" spans="1:9">
      <c r="A83" s="71" t="e">
        <f>'【3-2】大区&amp;运营中心填-房间模型价'!#REF!</f>
        <v>#REF!</v>
      </c>
      <c r="B83" s="71" t="e">
        <f>'【3-2】大区&amp;运营中心填-房间模型价'!#REF!</f>
        <v>#REF!</v>
      </c>
      <c r="C83" s="91" t="e">
        <f>VLOOKUP(A83,'【3-2】大区&amp;运营中心填-房间模型价'!H:J,3,0)</f>
        <v>#REF!</v>
      </c>
      <c r="D83" s="12"/>
      <c r="E83" s="12"/>
      <c r="F83" s="12"/>
      <c r="G83" s="12"/>
      <c r="H83" s="12" t="e">
        <f t="shared" si="3"/>
        <v>#REF!</v>
      </c>
      <c r="I83" s="94"/>
    </row>
    <row r="84" spans="1:9">
      <c r="A84" s="71" t="e">
        <f>'【3-2】大区&amp;运营中心填-房间模型价'!#REF!</f>
        <v>#REF!</v>
      </c>
      <c r="B84" s="71" t="e">
        <f>'【3-2】大区&amp;运营中心填-房间模型价'!#REF!</f>
        <v>#REF!</v>
      </c>
      <c r="C84" s="91" t="e">
        <f>VLOOKUP(A84,'【3-2】大区&amp;运营中心填-房间模型价'!H:J,3,0)</f>
        <v>#REF!</v>
      </c>
      <c r="D84" s="12"/>
      <c r="E84" s="12"/>
      <c r="F84" s="12"/>
      <c r="G84" s="12"/>
      <c r="H84" s="12" t="e">
        <f t="shared" si="3"/>
        <v>#REF!</v>
      </c>
      <c r="I84" s="94"/>
    </row>
    <row r="85" spans="1:9">
      <c r="A85" s="71" t="e">
        <f>'【3-2】大区&amp;运营中心填-房间模型价'!#REF!</f>
        <v>#REF!</v>
      </c>
      <c r="B85" s="71" t="e">
        <f>'【3-2】大区&amp;运营中心填-房间模型价'!#REF!</f>
        <v>#REF!</v>
      </c>
      <c r="C85" s="91" t="e">
        <f>VLOOKUP(A85,'【3-2】大区&amp;运营中心填-房间模型价'!H:J,3,0)</f>
        <v>#REF!</v>
      </c>
      <c r="D85" s="12"/>
      <c r="E85" s="12"/>
      <c r="F85" s="12"/>
      <c r="G85" s="12"/>
      <c r="H85" s="12" t="e">
        <f t="shared" si="3"/>
        <v>#REF!</v>
      </c>
      <c r="I85" s="94"/>
    </row>
    <row r="86" spans="1:9">
      <c r="A86" s="71" t="e">
        <f>'【3-2】大区&amp;运营中心填-房间模型价'!#REF!</f>
        <v>#REF!</v>
      </c>
      <c r="B86" s="71" t="e">
        <f>'【3-2】大区&amp;运营中心填-房间模型价'!#REF!</f>
        <v>#REF!</v>
      </c>
      <c r="C86" s="91" t="e">
        <f>VLOOKUP(A86,'【3-2】大区&amp;运营中心填-房间模型价'!H:J,3,0)</f>
        <v>#REF!</v>
      </c>
      <c r="D86" s="12"/>
      <c r="E86" s="12"/>
      <c r="F86" s="12"/>
      <c r="G86" s="12"/>
      <c r="H86" s="12" t="e">
        <f t="shared" si="3"/>
        <v>#REF!</v>
      </c>
      <c r="I86" s="94"/>
    </row>
    <row r="87" spans="1:9">
      <c r="A87" s="71" t="e">
        <f>'【3-2】大区&amp;运营中心填-房间模型价'!#REF!</f>
        <v>#REF!</v>
      </c>
      <c r="B87" s="71" t="e">
        <f>'【3-2】大区&amp;运营中心填-房间模型价'!#REF!</f>
        <v>#REF!</v>
      </c>
      <c r="C87" s="91" t="e">
        <f>VLOOKUP(A87,'【3-2】大区&amp;运营中心填-房间模型价'!H:J,3,0)</f>
        <v>#REF!</v>
      </c>
      <c r="D87" s="12"/>
      <c r="E87" s="12"/>
      <c r="F87" s="12"/>
      <c r="G87" s="12"/>
      <c r="H87" s="12" t="e">
        <f t="shared" si="3"/>
        <v>#REF!</v>
      </c>
      <c r="I87" s="94"/>
    </row>
    <row r="88" spans="1:9">
      <c r="A88" s="71" t="e">
        <f>'【3-2】大区&amp;运营中心填-房间模型价'!#REF!</f>
        <v>#REF!</v>
      </c>
      <c r="B88" s="71" t="e">
        <f>'【3-2】大区&amp;运营中心填-房间模型价'!#REF!</f>
        <v>#REF!</v>
      </c>
      <c r="C88" s="91" t="e">
        <f>VLOOKUP(A88,'【3-2】大区&amp;运营中心填-房间模型价'!H:J,3,0)</f>
        <v>#REF!</v>
      </c>
      <c r="D88" s="12"/>
      <c r="E88" s="12"/>
      <c r="F88" s="12"/>
      <c r="G88" s="12"/>
      <c r="H88" s="12" t="e">
        <f t="shared" si="3"/>
        <v>#REF!</v>
      </c>
      <c r="I88" s="94"/>
    </row>
    <row r="89" spans="1:9">
      <c r="A89" s="71" t="e">
        <f>'【3-2】大区&amp;运营中心填-房间模型价'!#REF!</f>
        <v>#REF!</v>
      </c>
      <c r="B89" s="71" t="e">
        <f>'【3-2】大区&amp;运营中心填-房间模型价'!#REF!</f>
        <v>#REF!</v>
      </c>
      <c r="C89" s="91" t="e">
        <f>VLOOKUP(A89,'【3-2】大区&amp;运营中心填-房间模型价'!H:J,3,0)</f>
        <v>#REF!</v>
      </c>
      <c r="D89" s="12"/>
      <c r="E89" s="12"/>
      <c r="F89" s="12"/>
      <c r="G89" s="12"/>
      <c r="H89" s="12" t="e">
        <f t="shared" si="3"/>
        <v>#REF!</v>
      </c>
      <c r="I89" s="94"/>
    </row>
    <row r="90" spans="1:9">
      <c r="A90" s="71" t="e">
        <f>'【3-2】大区&amp;运营中心填-房间模型价'!#REF!</f>
        <v>#REF!</v>
      </c>
      <c r="B90" s="71" t="e">
        <f>'【3-2】大区&amp;运营中心填-房间模型价'!#REF!</f>
        <v>#REF!</v>
      </c>
      <c r="C90" s="91" t="e">
        <f>VLOOKUP(A90,'【3-2】大区&amp;运营中心填-房间模型价'!H:J,3,0)</f>
        <v>#REF!</v>
      </c>
      <c r="D90" s="12"/>
      <c r="E90" s="12"/>
      <c r="F90" s="12"/>
      <c r="G90" s="12"/>
      <c r="H90" s="12" t="e">
        <f t="shared" si="3"/>
        <v>#REF!</v>
      </c>
      <c r="I90" s="94"/>
    </row>
    <row r="91" spans="1:9">
      <c r="A91" s="71" t="e">
        <f>'【3-2】大区&amp;运营中心填-房间模型价'!#REF!</f>
        <v>#REF!</v>
      </c>
      <c r="B91" s="71" t="e">
        <f>'【3-2】大区&amp;运营中心填-房间模型价'!#REF!</f>
        <v>#REF!</v>
      </c>
      <c r="C91" s="91" t="e">
        <f>VLOOKUP(A91,'【3-2】大区&amp;运营中心填-房间模型价'!H:J,3,0)</f>
        <v>#REF!</v>
      </c>
      <c r="D91" s="12"/>
      <c r="E91" s="12"/>
      <c r="F91" s="12"/>
      <c r="G91" s="12"/>
      <c r="H91" s="12" t="e">
        <f t="shared" si="3"/>
        <v>#REF!</v>
      </c>
      <c r="I91" s="94"/>
    </row>
    <row r="92" spans="1:9">
      <c r="A92" s="71" t="e">
        <f>'【3-2】大区&amp;运营中心填-房间模型价'!#REF!</f>
        <v>#REF!</v>
      </c>
      <c r="B92" s="71" t="e">
        <f>'【3-2】大区&amp;运营中心填-房间模型价'!#REF!</f>
        <v>#REF!</v>
      </c>
      <c r="C92" s="91" t="e">
        <f>VLOOKUP(A92,'【3-2】大区&amp;运营中心填-房间模型价'!H:J,3,0)</f>
        <v>#REF!</v>
      </c>
      <c r="D92" s="12"/>
      <c r="E92" s="12"/>
      <c r="F92" s="12"/>
      <c r="G92" s="12"/>
      <c r="H92" s="12" t="e">
        <f t="shared" si="3"/>
        <v>#REF!</v>
      </c>
      <c r="I92" s="94"/>
    </row>
    <row r="93" spans="1:9">
      <c r="A93" s="71" t="e">
        <f>'【3-2】大区&amp;运营中心填-房间模型价'!#REF!</f>
        <v>#REF!</v>
      </c>
      <c r="B93" s="71" t="e">
        <f>'【3-2】大区&amp;运营中心填-房间模型价'!#REF!</f>
        <v>#REF!</v>
      </c>
      <c r="C93" s="91" t="e">
        <f>VLOOKUP(A93,'【3-2】大区&amp;运营中心填-房间模型价'!H:J,3,0)</f>
        <v>#REF!</v>
      </c>
      <c r="D93" s="12"/>
      <c r="E93" s="12"/>
      <c r="F93" s="12"/>
      <c r="G93" s="12"/>
      <c r="H93" s="12" t="e">
        <f t="shared" si="3"/>
        <v>#REF!</v>
      </c>
      <c r="I93" s="94"/>
    </row>
    <row r="94" spans="1:9">
      <c r="A94" s="71" t="e">
        <f>'【3-2】大区&amp;运营中心填-房间模型价'!#REF!</f>
        <v>#REF!</v>
      </c>
      <c r="B94" s="71" t="e">
        <f>'【3-2】大区&amp;运营中心填-房间模型价'!#REF!</f>
        <v>#REF!</v>
      </c>
      <c r="C94" s="91" t="e">
        <f>VLOOKUP(A94,'【3-2】大区&amp;运营中心填-房间模型价'!H:J,3,0)</f>
        <v>#REF!</v>
      </c>
      <c r="D94" s="12"/>
      <c r="E94" s="12"/>
      <c r="F94" s="12"/>
      <c r="G94" s="12"/>
      <c r="H94" s="12" t="e">
        <f t="shared" si="3"/>
        <v>#REF!</v>
      </c>
      <c r="I94" s="94"/>
    </row>
    <row r="95" spans="1:9">
      <c r="A95" s="71" t="e">
        <f>'【3-2】大区&amp;运营中心填-房间模型价'!#REF!</f>
        <v>#REF!</v>
      </c>
      <c r="B95" s="71" t="e">
        <f>'【3-2】大区&amp;运营中心填-房间模型价'!#REF!</f>
        <v>#REF!</v>
      </c>
      <c r="C95" s="91" t="e">
        <f>VLOOKUP(A95,'【3-2】大区&amp;运营中心填-房间模型价'!H:J,3,0)</f>
        <v>#REF!</v>
      </c>
      <c r="D95" s="12"/>
      <c r="E95" s="12"/>
      <c r="F95" s="12"/>
      <c r="G95" s="12"/>
      <c r="H95" s="12" t="e">
        <f t="shared" si="3"/>
        <v>#REF!</v>
      </c>
      <c r="I95" s="94"/>
    </row>
    <row r="96" spans="1:9">
      <c r="A96" s="71" t="e">
        <f>'【3-2】大区&amp;运营中心填-房间模型价'!#REF!</f>
        <v>#REF!</v>
      </c>
      <c r="B96" s="71" t="e">
        <f>'【3-2】大区&amp;运营中心填-房间模型价'!#REF!</f>
        <v>#REF!</v>
      </c>
      <c r="C96" s="91" t="e">
        <f>VLOOKUP(A96,'【3-2】大区&amp;运营中心填-房间模型价'!H:J,3,0)</f>
        <v>#REF!</v>
      </c>
      <c r="D96" s="12"/>
      <c r="E96" s="12"/>
      <c r="F96" s="12"/>
      <c r="G96" s="12"/>
      <c r="H96" s="12" t="e">
        <f t="shared" si="3"/>
        <v>#REF!</v>
      </c>
      <c r="I96" s="94"/>
    </row>
    <row r="97" spans="1:9">
      <c r="A97" s="71" t="e">
        <f>'【3-2】大区&amp;运营中心填-房间模型价'!#REF!</f>
        <v>#REF!</v>
      </c>
      <c r="B97" s="71" t="e">
        <f>'【3-2】大区&amp;运营中心填-房间模型价'!#REF!</f>
        <v>#REF!</v>
      </c>
      <c r="C97" s="91" t="e">
        <f>VLOOKUP(A97,'【3-2】大区&amp;运营中心填-房间模型价'!H:J,3,0)</f>
        <v>#REF!</v>
      </c>
      <c r="D97" s="12"/>
      <c r="E97" s="12"/>
      <c r="F97" s="12"/>
      <c r="G97" s="12"/>
      <c r="H97" s="12" t="e">
        <f t="shared" si="3"/>
        <v>#REF!</v>
      </c>
      <c r="I97" s="94"/>
    </row>
    <row r="98" spans="1:9">
      <c r="A98" s="71" t="e">
        <f>'【3-2】大区&amp;运营中心填-房间模型价'!#REF!</f>
        <v>#REF!</v>
      </c>
      <c r="B98" s="71" t="e">
        <f>'【3-2】大区&amp;运营中心填-房间模型价'!#REF!</f>
        <v>#REF!</v>
      </c>
      <c r="C98" s="91" t="e">
        <f>VLOOKUP(A98,'【3-2】大区&amp;运营中心填-房间模型价'!H:J,3,0)</f>
        <v>#REF!</v>
      </c>
      <c r="D98" s="12"/>
      <c r="E98" s="12"/>
      <c r="F98" s="12"/>
      <c r="G98" s="12"/>
      <c r="H98" s="12" t="e">
        <f t="shared" si="3"/>
        <v>#REF!</v>
      </c>
      <c r="I98" s="94"/>
    </row>
    <row r="99" spans="1:9">
      <c r="A99" s="71" t="e">
        <f>'【3-2】大区&amp;运营中心填-房间模型价'!#REF!</f>
        <v>#REF!</v>
      </c>
      <c r="B99" s="71" t="e">
        <f>'【3-2】大区&amp;运营中心填-房间模型价'!#REF!</f>
        <v>#REF!</v>
      </c>
      <c r="C99" s="91" t="e">
        <f>VLOOKUP(A99,'【3-2】大区&amp;运营中心填-房间模型价'!H:J,3,0)</f>
        <v>#REF!</v>
      </c>
      <c r="D99" s="12"/>
      <c r="E99" s="12"/>
      <c r="F99" s="12"/>
      <c r="G99" s="12"/>
      <c r="H99" s="12" t="e">
        <f t="shared" si="3"/>
        <v>#REF!</v>
      </c>
      <c r="I99" s="94"/>
    </row>
    <row r="100" spans="1:9">
      <c r="A100" s="71" t="e">
        <f>'【3-2】大区&amp;运营中心填-房间模型价'!#REF!</f>
        <v>#REF!</v>
      </c>
      <c r="B100" s="71" t="e">
        <f>'【3-2】大区&amp;运营中心填-房间模型价'!#REF!</f>
        <v>#REF!</v>
      </c>
      <c r="C100" s="91" t="e">
        <f>VLOOKUP(A100,'【3-2】大区&amp;运营中心填-房间模型价'!H:J,3,0)</f>
        <v>#REF!</v>
      </c>
      <c r="D100" s="12"/>
      <c r="E100" s="12"/>
      <c r="F100" s="12"/>
      <c r="G100" s="12"/>
      <c r="H100" s="12" t="e">
        <f t="shared" si="3"/>
        <v>#REF!</v>
      </c>
      <c r="I100" s="94"/>
    </row>
    <row r="101" spans="1:9">
      <c r="A101" s="71" t="e">
        <f>'【3-2】大区&amp;运营中心填-房间模型价'!#REF!</f>
        <v>#REF!</v>
      </c>
      <c r="B101" s="71" t="e">
        <f>'【3-2】大区&amp;运营中心填-房间模型价'!#REF!</f>
        <v>#REF!</v>
      </c>
      <c r="C101" s="91" t="e">
        <f>VLOOKUP(A101,'【3-2】大区&amp;运营中心填-房间模型价'!H:J,3,0)</f>
        <v>#REF!</v>
      </c>
      <c r="D101" s="12"/>
      <c r="E101" s="12"/>
      <c r="F101" s="12"/>
      <c r="G101" s="12"/>
      <c r="H101" s="12" t="e">
        <f t="shared" si="3"/>
        <v>#REF!</v>
      </c>
      <c r="I101" s="94"/>
    </row>
    <row r="102" spans="1:9">
      <c r="A102" s="71" t="e">
        <f>'【3-2】大区&amp;运营中心填-房间模型价'!#REF!</f>
        <v>#REF!</v>
      </c>
      <c r="B102" s="71" t="e">
        <f>'【3-2】大区&amp;运营中心填-房间模型价'!#REF!</f>
        <v>#REF!</v>
      </c>
      <c r="C102" s="91" t="e">
        <f>VLOOKUP(A102,'【3-2】大区&amp;运营中心填-房间模型价'!H:J,3,0)</f>
        <v>#REF!</v>
      </c>
      <c r="D102" s="12"/>
      <c r="E102" s="12"/>
      <c r="F102" s="12"/>
      <c r="G102" s="12"/>
      <c r="H102" s="12" t="e">
        <f t="shared" si="3"/>
        <v>#REF!</v>
      </c>
      <c r="I102" s="94"/>
    </row>
    <row r="103" spans="1:9">
      <c r="A103" s="71" t="e">
        <f>'【3-2】大区&amp;运营中心填-房间模型价'!#REF!</f>
        <v>#REF!</v>
      </c>
      <c r="B103" s="71" t="e">
        <f>'【3-2】大区&amp;运营中心填-房间模型价'!#REF!</f>
        <v>#REF!</v>
      </c>
      <c r="C103" s="91" t="e">
        <f>VLOOKUP(A103,'【3-2】大区&amp;运营中心填-房间模型价'!H:J,3,0)</f>
        <v>#REF!</v>
      </c>
      <c r="D103" s="12"/>
      <c r="E103" s="12"/>
      <c r="F103" s="12"/>
      <c r="G103" s="12"/>
      <c r="H103" s="12" t="e">
        <f t="shared" si="3"/>
        <v>#REF!</v>
      </c>
      <c r="I103" s="94"/>
    </row>
    <row r="104" spans="1:9">
      <c r="A104" s="71" t="e">
        <f>'【3-2】大区&amp;运营中心填-房间模型价'!#REF!</f>
        <v>#REF!</v>
      </c>
      <c r="B104" s="71" t="e">
        <f>'【3-2】大区&amp;运营中心填-房间模型价'!#REF!</f>
        <v>#REF!</v>
      </c>
      <c r="C104" s="91" t="e">
        <f>VLOOKUP(A104,'【3-2】大区&amp;运营中心填-房间模型价'!H:J,3,0)</f>
        <v>#REF!</v>
      </c>
      <c r="D104" s="12"/>
      <c r="E104" s="12"/>
      <c r="F104" s="12"/>
      <c r="G104" s="12"/>
      <c r="H104" s="12" t="e">
        <f t="shared" si="3"/>
        <v>#REF!</v>
      </c>
      <c r="I104" s="94"/>
    </row>
    <row r="105" spans="1:9">
      <c r="A105" s="71" t="e">
        <f>'【3-2】大区&amp;运营中心填-房间模型价'!#REF!</f>
        <v>#REF!</v>
      </c>
      <c r="B105" s="71" t="e">
        <f>'【3-2】大区&amp;运营中心填-房间模型价'!#REF!</f>
        <v>#REF!</v>
      </c>
      <c r="C105" s="91" t="e">
        <f>VLOOKUP(A105,'【3-2】大区&amp;运营中心填-房间模型价'!H:J,3,0)</f>
        <v>#REF!</v>
      </c>
      <c r="D105" s="12"/>
      <c r="E105" s="12"/>
      <c r="F105" s="12"/>
      <c r="G105" s="12"/>
      <c r="H105" s="12" t="e">
        <f t="shared" si="3"/>
        <v>#REF!</v>
      </c>
      <c r="I105" s="94"/>
    </row>
    <row r="106" spans="1:9">
      <c r="A106" s="71" t="e">
        <f>'【3-2】大区&amp;运营中心填-房间模型价'!#REF!</f>
        <v>#REF!</v>
      </c>
      <c r="B106" s="71" t="e">
        <f>'【3-2】大区&amp;运营中心填-房间模型价'!#REF!</f>
        <v>#REF!</v>
      </c>
      <c r="C106" s="91" t="e">
        <f>VLOOKUP(A106,'【3-2】大区&amp;运营中心填-房间模型价'!H:J,3,0)</f>
        <v>#REF!</v>
      </c>
      <c r="D106" s="12"/>
      <c r="E106" s="12"/>
      <c r="F106" s="12"/>
      <c r="G106" s="12"/>
      <c r="H106" s="12" t="e">
        <f t="shared" si="3"/>
        <v>#REF!</v>
      </c>
      <c r="I106" s="94"/>
    </row>
    <row r="107" spans="1:9">
      <c r="A107" s="71" t="e">
        <f>'【3-2】大区&amp;运营中心填-房间模型价'!#REF!</f>
        <v>#REF!</v>
      </c>
      <c r="B107" s="71" t="e">
        <f>'【3-2】大区&amp;运营中心填-房间模型价'!#REF!</f>
        <v>#REF!</v>
      </c>
      <c r="C107" s="91" t="e">
        <f>VLOOKUP(A107,'【3-2】大区&amp;运营中心填-房间模型价'!H:J,3,0)</f>
        <v>#REF!</v>
      </c>
      <c r="D107" s="12"/>
      <c r="E107" s="12"/>
      <c r="F107" s="12"/>
      <c r="G107" s="12"/>
      <c r="H107" s="12" t="e">
        <f t="shared" si="3"/>
        <v>#REF!</v>
      </c>
      <c r="I107" s="94"/>
    </row>
    <row r="108" spans="1:9">
      <c r="A108" s="71" t="e">
        <f>'【3-2】大区&amp;运营中心填-房间模型价'!#REF!</f>
        <v>#REF!</v>
      </c>
      <c r="B108" s="71" t="e">
        <f>'【3-2】大区&amp;运营中心填-房间模型价'!#REF!</f>
        <v>#REF!</v>
      </c>
      <c r="C108" s="91" t="e">
        <f>VLOOKUP(A108,'【3-2】大区&amp;运营中心填-房间模型价'!H:J,3,0)</f>
        <v>#REF!</v>
      </c>
      <c r="D108" s="12"/>
      <c r="E108" s="12"/>
      <c r="F108" s="12"/>
      <c r="G108" s="12"/>
      <c r="H108" s="12" t="e">
        <f t="shared" si="3"/>
        <v>#REF!</v>
      </c>
      <c r="I108" s="94"/>
    </row>
    <row r="109" spans="1:9">
      <c r="A109" s="71" t="e">
        <f>'【3-2】大区&amp;运营中心填-房间模型价'!#REF!</f>
        <v>#REF!</v>
      </c>
      <c r="B109" s="71" t="e">
        <f>'【3-2】大区&amp;运营中心填-房间模型价'!#REF!</f>
        <v>#REF!</v>
      </c>
      <c r="C109" s="91" t="e">
        <f>VLOOKUP(A109,'【3-2】大区&amp;运营中心填-房间模型价'!H:J,3,0)</f>
        <v>#REF!</v>
      </c>
      <c r="D109" s="12"/>
      <c r="E109" s="12"/>
      <c r="F109" s="12"/>
      <c r="G109" s="12"/>
      <c r="H109" s="12" t="e">
        <f t="shared" si="3"/>
        <v>#REF!</v>
      </c>
      <c r="I109" s="94"/>
    </row>
    <row r="110" spans="1:9">
      <c r="A110" s="71" t="e">
        <f>'【3-2】大区&amp;运营中心填-房间模型价'!#REF!</f>
        <v>#REF!</v>
      </c>
      <c r="B110" s="71" t="e">
        <f>'【3-2】大区&amp;运营中心填-房间模型价'!#REF!</f>
        <v>#REF!</v>
      </c>
      <c r="C110" s="91" t="e">
        <f>VLOOKUP(A110,'【3-2】大区&amp;运营中心填-房间模型价'!H:J,3,0)</f>
        <v>#REF!</v>
      </c>
      <c r="D110" s="12"/>
      <c r="E110" s="12"/>
      <c r="F110" s="12"/>
      <c r="G110" s="12"/>
      <c r="H110" s="12" t="e">
        <f t="shared" si="3"/>
        <v>#REF!</v>
      </c>
      <c r="I110" s="94"/>
    </row>
    <row r="111" spans="1:9">
      <c r="A111" s="71" t="e">
        <f>'【3-2】大区&amp;运营中心填-房间模型价'!#REF!</f>
        <v>#REF!</v>
      </c>
      <c r="B111" s="71" t="e">
        <f>'【3-2】大区&amp;运营中心填-房间模型价'!#REF!</f>
        <v>#REF!</v>
      </c>
      <c r="C111" s="91" t="e">
        <f>VLOOKUP(A111,'【3-2】大区&amp;运营中心填-房间模型价'!H:J,3,0)</f>
        <v>#REF!</v>
      </c>
      <c r="D111" s="12"/>
      <c r="E111" s="12"/>
      <c r="F111" s="12"/>
      <c r="G111" s="12"/>
      <c r="H111" s="12" t="e">
        <f t="shared" si="3"/>
        <v>#REF!</v>
      </c>
      <c r="I111" s="94"/>
    </row>
    <row r="112" spans="1:9">
      <c r="A112" s="71" t="e">
        <f>'【3-2】大区&amp;运营中心填-房间模型价'!#REF!</f>
        <v>#REF!</v>
      </c>
      <c r="B112" s="71" t="e">
        <f>'【3-2】大区&amp;运营中心填-房间模型价'!#REF!</f>
        <v>#REF!</v>
      </c>
      <c r="C112" s="91" t="e">
        <f>VLOOKUP(A112,'【3-2】大区&amp;运营中心填-房间模型价'!H:J,3,0)</f>
        <v>#REF!</v>
      </c>
      <c r="D112" s="12"/>
      <c r="E112" s="12"/>
      <c r="F112" s="12"/>
      <c r="G112" s="12"/>
      <c r="H112" s="12" t="e">
        <f t="shared" si="3"/>
        <v>#REF!</v>
      </c>
      <c r="I112" s="94"/>
    </row>
    <row r="113" spans="1:9">
      <c r="A113" s="71" t="e">
        <f>'【3-2】大区&amp;运营中心填-房间模型价'!#REF!</f>
        <v>#REF!</v>
      </c>
      <c r="B113" s="71" t="e">
        <f>'【3-2】大区&amp;运营中心填-房间模型价'!#REF!</f>
        <v>#REF!</v>
      </c>
      <c r="C113" s="91" t="e">
        <f>VLOOKUP(A113,'【3-2】大区&amp;运营中心填-房间模型价'!H:J,3,0)</f>
        <v>#REF!</v>
      </c>
      <c r="D113" s="12"/>
      <c r="E113" s="12"/>
      <c r="F113" s="12"/>
      <c r="G113" s="12"/>
      <c r="H113" s="12" t="e">
        <f t="shared" ref="H113:H144" si="4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94"/>
    </row>
    <row r="114" spans="1:9">
      <c r="A114" s="71" t="e">
        <f>'【3-2】大区&amp;运营中心填-房间模型价'!#REF!</f>
        <v>#REF!</v>
      </c>
      <c r="B114" s="71" t="e">
        <f>'【3-2】大区&amp;运营中心填-房间模型价'!#REF!</f>
        <v>#REF!</v>
      </c>
      <c r="C114" s="91" t="e">
        <f>VLOOKUP(A114,'【3-2】大区&amp;运营中心填-房间模型价'!H:J,3,0)</f>
        <v>#REF!</v>
      </c>
      <c r="D114" s="12"/>
      <c r="E114" s="12"/>
      <c r="F114" s="12"/>
      <c r="G114" s="12"/>
      <c r="H114" s="12" t="e">
        <f t="shared" si="4"/>
        <v>#REF!</v>
      </c>
      <c r="I114" s="94"/>
    </row>
    <row r="115" spans="1:9">
      <c r="A115" s="71" t="e">
        <f>'【3-2】大区&amp;运营中心填-房间模型价'!#REF!</f>
        <v>#REF!</v>
      </c>
      <c r="B115" s="71" t="e">
        <f>'【3-2】大区&amp;运营中心填-房间模型价'!#REF!</f>
        <v>#REF!</v>
      </c>
      <c r="C115" s="91" t="e">
        <f>VLOOKUP(A115,'【3-2】大区&amp;运营中心填-房间模型价'!H:J,3,0)</f>
        <v>#REF!</v>
      </c>
      <c r="D115" s="12"/>
      <c r="E115" s="12"/>
      <c r="F115" s="12"/>
      <c r="G115" s="12"/>
      <c r="H115" s="12" t="e">
        <f t="shared" si="4"/>
        <v>#REF!</v>
      </c>
      <c r="I115" s="94"/>
    </row>
    <row r="116" spans="1:9">
      <c r="A116" s="71" t="e">
        <f>'【3-2】大区&amp;运营中心填-房间模型价'!#REF!</f>
        <v>#REF!</v>
      </c>
      <c r="B116" s="71" t="e">
        <f>'【3-2】大区&amp;运营中心填-房间模型价'!#REF!</f>
        <v>#REF!</v>
      </c>
      <c r="C116" s="91" t="e">
        <f>VLOOKUP(A116,'【3-2】大区&amp;运营中心填-房间模型价'!H:J,3,0)</f>
        <v>#REF!</v>
      </c>
      <c r="D116" s="12"/>
      <c r="E116" s="12"/>
      <c r="F116" s="12"/>
      <c r="G116" s="12"/>
      <c r="H116" s="12" t="e">
        <f t="shared" si="4"/>
        <v>#REF!</v>
      </c>
      <c r="I116" s="94"/>
    </row>
    <row r="117" spans="1:9">
      <c r="A117" s="71" t="e">
        <f>'【3-2】大区&amp;运营中心填-房间模型价'!#REF!</f>
        <v>#REF!</v>
      </c>
      <c r="B117" s="71" t="e">
        <f>'【3-2】大区&amp;运营中心填-房间模型价'!#REF!</f>
        <v>#REF!</v>
      </c>
      <c r="C117" s="91" t="e">
        <f>VLOOKUP(A117,'【3-2】大区&amp;运营中心填-房间模型价'!H:J,3,0)</f>
        <v>#REF!</v>
      </c>
      <c r="D117" s="12"/>
      <c r="E117" s="12"/>
      <c r="F117" s="12"/>
      <c r="G117" s="12"/>
      <c r="H117" s="12" t="e">
        <f t="shared" si="4"/>
        <v>#REF!</v>
      </c>
      <c r="I117" s="94"/>
    </row>
    <row r="118" spans="1:9">
      <c r="A118" s="71" t="e">
        <f>'【3-2】大区&amp;运营中心填-房间模型价'!#REF!</f>
        <v>#REF!</v>
      </c>
      <c r="B118" s="71" t="e">
        <f>'【3-2】大区&amp;运营中心填-房间模型价'!#REF!</f>
        <v>#REF!</v>
      </c>
      <c r="C118" s="91" t="e">
        <f>VLOOKUP(A118,'【3-2】大区&amp;运营中心填-房间模型价'!H:J,3,0)</f>
        <v>#REF!</v>
      </c>
      <c r="D118" s="12"/>
      <c r="E118" s="12"/>
      <c r="F118" s="12"/>
      <c r="G118" s="12"/>
      <c r="H118" s="12" t="e">
        <f t="shared" si="4"/>
        <v>#REF!</v>
      </c>
      <c r="I118" s="94"/>
    </row>
    <row r="119" spans="1:9">
      <c r="A119" s="71" t="e">
        <f>'【3-2】大区&amp;运营中心填-房间模型价'!#REF!</f>
        <v>#REF!</v>
      </c>
      <c r="B119" s="71" t="e">
        <f>'【3-2】大区&amp;运营中心填-房间模型价'!#REF!</f>
        <v>#REF!</v>
      </c>
      <c r="C119" s="91" t="e">
        <f>VLOOKUP(A119,'【3-2】大区&amp;运营中心填-房间模型价'!H:J,3,0)</f>
        <v>#REF!</v>
      </c>
      <c r="D119" s="12"/>
      <c r="E119" s="12"/>
      <c r="F119" s="12"/>
      <c r="G119" s="12"/>
      <c r="H119" s="12" t="e">
        <f t="shared" si="4"/>
        <v>#REF!</v>
      </c>
      <c r="I119" s="94"/>
    </row>
    <row r="120" spans="1:9">
      <c r="A120" s="71" t="e">
        <f>'【3-2】大区&amp;运营中心填-房间模型价'!#REF!</f>
        <v>#REF!</v>
      </c>
      <c r="B120" s="71" t="e">
        <f>'【3-2】大区&amp;运营中心填-房间模型价'!#REF!</f>
        <v>#REF!</v>
      </c>
      <c r="C120" s="91" t="e">
        <f>VLOOKUP(A120,'【3-2】大区&amp;运营中心填-房间模型价'!H:J,3,0)</f>
        <v>#REF!</v>
      </c>
      <c r="D120" s="12"/>
      <c r="E120" s="12"/>
      <c r="F120" s="12"/>
      <c r="G120" s="12"/>
      <c r="H120" s="12" t="e">
        <f t="shared" si="4"/>
        <v>#REF!</v>
      </c>
      <c r="I120" s="94"/>
    </row>
    <row r="121" spans="1:9">
      <c r="A121" s="71" t="e">
        <f>'【3-2】大区&amp;运营中心填-房间模型价'!#REF!</f>
        <v>#REF!</v>
      </c>
      <c r="B121" s="71" t="e">
        <f>'【3-2】大区&amp;运营中心填-房间模型价'!#REF!</f>
        <v>#REF!</v>
      </c>
      <c r="C121" s="91" t="e">
        <f>VLOOKUP(A121,'【3-2】大区&amp;运营中心填-房间模型价'!H:J,3,0)</f>
        <v>#REF!</v>
      </c>
      <c r="D121" s="12"/>
      <c r="E121" s="12"/>
      <c r="F121" s="12"/>
      <c r="G121" s="12"/>
      <c r="H121" s="12" t="e">
        <f t="shared" si="4"/>
        <v>#REF!</v>
      </c>
      <c r="I121" s="94"/>
    </row>
    <row r="122" spans="1:9">
      <c r="A122" s="71" t="e">
        <f>'【3-2】大区&amp;运营中心填-房间模型价'!#REF!</f>
        <v>#REF!</v>
      </c>
      <c r="B122" s="71" t="e">
        <f>'【3-2】大区&amp;运营中心填-房间模型价'!#REF!</f>
        <v>#REF!</v>
      </c>
      <c r="C122" s="91" t="e">
        <f>VLOOKUP(A122,'【3-2】大区&amp;运营中心填-房间模型价'!H:J,3,0)</f>
        <v>#REF!</v>
      </c>
      <c r="D122" s="12"/>
      <c r="E122" s="12"/>
      <c r="F122" s="12"/>
      <c r="G122" s="12"/>
      <c r="H122" s="12" t="e">
        <f t="shared" si="4"/>
        <v>#REF!</v>
      </c>
      <c r="I122" s="94"/>
    </row>
    <row r="123" spans="1:9">
      <c r="A123" s="71" t="e">
        <f>'【3-2】大区&amp;运营中心填-房间模型价'!#REF!</f>
        <v>#REF!</v>
      </c>
      <c r="B123" s="71" t="e">
        <f>'【3-2】大区&amp;运营中心填-房间模型价'!#REF!</f>
        <v>#REF!</v>
      </c>
      <c r="C123" s="91" t="e">
        <f>VLOOKUP(A123,'【3-2】大区&amp;运营中心填-房间模型价'!H:J,3,0)</f>
        <v>#REF!</v>
      </c>
      <c r="D123" s="12"/>
      <c r="E123" s="12"/>
      <c r="F123" s="12"/>
      <c r="G123" s="12"/>
      <c r="H123" s="12" t="e">
        <f t="shared" si="4"/>
        <v>#REF!</v>
      </c>
      <c r="I123" s="94"/>
    </row>
    <row r="124" spans="1:9">
      <c r="A124" s="71" t="e">
        <f>'【3-2】大区&amp;运营中心填-房间模型价'!#REF!</f>
        <v>#REF!</v>
      </c>
      <c r="B124" s="71" t="e">
        <f>'【3-2】大区&amp;运营中心填-房间模型价'!#REF!</f>
        <v>#REF!</v>
      </c>
      <c r="C124" s="91" t="e">
        <f>VLOOKUP(A124,'【3-2】大区&amp;运营中心填-房间模型价'!H:J,3,0)</f>
        <v>#REF!</v>
      </c>
      <c r="D124" s="12"/>
      <c r="E124" s="12"/>
      <c r="F124" s="12"/>
      <c r="G124" s="12"/>
      <c r="H124" s="12" t="e">
        <f t="shared" si="4"/>
        <v>#REF!</v>
      </c>
      <c r="I124" s="94"/>
    </row>
    <row r="125" spans="1:9">
      <c r="A125" s="71" t="e">
        <f>'【3-2】大区&amp;运营中心填-房间模型价'!#REF!</f>
        <v>#REF!</v>
      </c>
      <c r="B125" s="71" t="e">
        <f>'【3-2】大区&amp;运营中心填-房间模型价'!#REF!</f>
        <v>#REF!</v>
      </c>
      <c r="C125" s="91" t="e">
        <f>VLOOKUP(A125,'【3-2】大区&amp;运营中心填-房间模型价'!H:J,3,0)</f>
        <v>#REF!</v>
      </c>
      <c r="D125" s="12"/>
      <c r="E125" s="12"/>
      <c r="F125" s="12"/>
      <c r="G125" s="12"/>
      <c r="H125" s="12" t="e">
        <f t="shared" si="4"/>
        <v>#REF!</v>
      </c>
      <c r="I125" s="94"/>
    </row>
    <row r="126" spans="1:9">
      <c r="A126" s="71" t="e">
        <f>'【3-2】大区&amp;运营中心填-房间模型价'!#REF!</f>
        <v>#REF!</v>
      </c>
      <c r="B126" s="71" t="e">
        <f>'【3-2】大区&amp;运营中心填-房间模型价'!#REF!</f>
        <v>#REF!</v>
      </c>
      <c r="C126" s="91" t="e">
        <f>VLOOKUP(A126,'【3-2】大区&amp;运营中心填-房间模型价'!H:J,3,0)</f>
        <v>#REF!</v>
      </c>
      <c r="D126" s="12"/>
      <c r="E126" s="12"/>
      <c r="F126" s="12"/>
      <c r="G126" s="12"/>
      <c r="H126" s="12" t="e">
        <f t="shared" si="4"/>
        <v>#REF!</v>
      </c>
      <c r="I126" s="94"/>
    </row>
    <row r="127" spans="1:9">
      <c r="A127" s="71" t="e">
        <f>'【3-2】大区&amp;运营中心填-房间模型价'!#REF!</f>
        <v>#REF!</v>
      </c>
      <c r="B127" s="71" t="e">
        <f>'【3-2】大区&amp;运营中心填-房间模型价'!#REF!</f>
        <v>#REF!</v>
      </c>
      <c r="C127" s="91" t="e">
        <f>VLOOKUP(A127,'【3-2】大区&amp;运营中心填-房间模型价'!H:J,3,0)</f>
        <v>#REF!</v>
      </c>
      <c r="D127" s="12"/>
      <c r="E127" s="12"/>
      <c r="F127" s="12"/>
      <c r="G127" s="12"/>
      <c r="H127" s="12" t="e">
        <f t="shared" si="4"/>
        <v>#REF!</v>
      </c>
      <c r="I127" s="94"/>
    </row>
    <row r="128" spans="1:9">
      <c r="A128" s="71" t="e">
        <f>'【3-2】大区&amp;运营中心填-房间模型价'!#REF!</f>
        <v>#REF!</v>
      </c>
      <c r="B128" s="71" t="e">
        <f>'【3-2】大区&amp;运营中心填-房间模型价'!#REF!</f>
        <v>#REF!</v>
      </c>
      <c r="C128" s="91" t="e">
        <f>VLOOKUP(A128,'【3-2】大区&amp;运营中心填-房间模型价'!H:J,3,0)</f>
        <v>#REF!</v>
      </c>
      <c r="D128" s="12"/>
      <c r="E128" s="12"/>
      <c r="F128" s="12"/>
      <c r="G128" s="12"/>
      <c r="H128" s="12" t="e">
        <f t="shared" si="4"/>
        <v>#REF!</v>
      </c>
      <c r="I128" s="94"/>
    </row>
    <row r="129" spans="1:9">
      <c r="A129" s="71" t="e">
        <f>'【3-2】大区&amp;运营中心填-房间模型价'!#REF!</f>
        <v>#REF!</v>
      </c>
      <c r="B129" s="71" t="e">
        <f>'【3-2】大区&amp;运营中心填-房间模型价'!#REF!</f>
        <v>#REF!</v>
      </c>
      <c r="C129" s="91" t="e">
        <f>VLOOKUP(A129,'【3-2】大区&amp;运营中心填-房间模型价'!H:J,3,0)</f>
        <v>#REF!</v>
      </c>
      <c r="D129" s="12"/>
      <c r="E129" s="12"/>
      <c r="F129" s="12"/>
      <c r="G129" s="12"/>
      <c r="H129" s="12" t="e">
        <f t="shared" si="4"/>
        <v>#REF!</v>
      </c>
      <c r="I129" s="94"/>
    </row>
    <row r="130" spans="1:9">
      <c r="A130" s="71" t="e">
        <f>'【3-2】大区&amp;运营中心填-房间模型价'!#REF!</f>
        <v>#REF!</v>
      </c>
      <c r="B130" s="71" t="e">
        <f>'【3-2】大区&amp;运营中心填-房间模型价'!#REF!</f>
        <v>#REF!</v>
      </c>
      <c r="C130" s="91" t="e">
        <f>VLOOKUP(A130,'【3-2】大区&amp;运营中心填-房间模型价'!H:J,3,0)</f>
        <v>#REF!</v>
      </c>
      <c r="D130" s="12"/>
      <c r="E130" s="12"/>
      <c r="F130" s="12"/>
      <c r="G130" s="12"/>
      <c r="H130" s="12" t="e">
        <f t="shared" si="4"/>
        <v>#REF!</v>
      </c>
      <c r="I130" s="94"/>
    </row>
    <row r="131" spans="1:9">
      <c r="A131" s="71" t="e">
        <f>'【3-2】大区&amp;运营中心填-房间模型价'!#REF!</f>
        <v>#REF!</v>
      </c>
      <c r="B131" s="71" t="e">
        <f>'【3-2】大区&amp;运营中心填-房间模型价'!#REF!</f>
        <v>#REF!</v>
      </c>
      <c r="C131" s="91" t="e">
        <f>VLOOKUP(A131,'【3-2】大区&amp;运营中心填-房间模型价'!H:J,3,0)</f>
        <v>#REF!</v>
      </c>
      <c r="D131" s="12"/>
      <c r="E131" s="12"/>
      <c r="F131" s="12"/>
      <c r="G131" s="12"/>
      <c r="H131" s="12" t="e">
        <f t="shared" si="4"/>
        <v>#REF!</v>
      </c>
      <c r="I131" s="94"/>
    </row>
    <row r="132" spans="1:9">
      <c r="A132" s="71" t="e">
        <f>'【3-2】大区&amp;运营中心填-房间模型价'!#REF!</f>
        <v>#REF!</v>
      </c>
      <c r="B132" s="71" t="e">
        <f>'【3-2】大区&amp;运营中心填-房间模型价'!#REF!</f>
        <v>#REF!</v>
      </c>
      <c r="C132" s="91" t="e">
        <f>VLOOKUP(A132,'【3-2】大区&amp;运营中心填-房间模型价'!H:J,3,0)</f>
        <v>#REF!</v>
      </c>
      <c r="D132" s="12"/>
      <c r="E132" s="12"/>
      <c r="F132" s="12"/>
      <c r="G132" s="12"/>
      <c r="H132" s="12" t="e">
        <f t="shared" si="4"/>
        <v>#REF!</v>
      </c>
      <c r="I132" s="94"/>
    </row>
    <row r="133" spans="1:9">
      <c r="A133" s="71" t="e">
        <f>'【3-2】大区&amp;运营中心填-房间模型价'!#REF!</f>
        <v>#REF!</v>
      </c>
      <c r="B133" s="71" t="e">
        <f>'【3-2】大区&amp;运营中心填-房间模型价'!#REF!</f>
        <v>#REF!</v>
      </c>
      <c r="C133" s="91" t="e">
        <f>VLOOKUP(A133,'【3-2】大区&amp;运营中心填-房间模型价'!H:J,3,0)</f>
        <v>#REF!</v>
      </c>
      <c r="D133" s="12"/>
      <c r="E133" s="12"/>
      <c r="F133" s="12"/>
      <c r="G133" s="12"/>
      <c r="H133" s="12" t="e">
        <f t="shared" si="4"/>
        <v>#REF!</v>
      </c>
      <c r="I133" s="94"/>
    </row>
    <row r="134" spans="1:9">
      <c r="A134" s="71" t="e">
        <f>'【3-2】大区&amp;运营中心填-房间模型价'!#REF!</f>
        <v>#REF!</v>
      </c>
      <c r="B134" s="71" t="e">
        <f>'【3-2】大区&amp;运营中心填-房间模型价'!#REF!</f>
        <v>#REF!</v>
      </c>
      <c r="C134" s="91" t="e">
        <f>VLOOKUP(A134,'【3-2】大区&amp;运营中心填-房间模型价'!H:J,3,0)</f>
        <v>#REF!</v>
      </c>
      <c r="D134" s="12"/>
      <c r="E134" s="12"/>
      <c r="F134" s="12"/>
      <c r="G134" s="12"/>
      <c r="H134" s="12" t="e">
        <f t="shared" si="4"/>
        <v>#REF!</v>
      </c>
      <c r="I134" s="94"/>
    </row>
    <row r="135" spans="1:9">
      <c r="A135" s="71" t="e">
        <f>'【3-2】大区&amp;运营中心填-房间模型价'!#REF!</f>
        <v>#REF!</v>
      </c>
      <c r="B135" s="71" t="e">
        <f>'【3-2】大区&amp;运营中心填-房间模型价'!#REF!</f>
        <v>#REF!</v>
      </c>
      <c r="C135" s="91" t="e">
        <f>VLOOKUP(A135,'【3-2】大区&amp;运营中心填-房间模型价'!H:J,3,0)</f>
        <v>#REF!</v>
      </c>
      <c r="D135" s="12"/>
      <c r="E135" s="12"/>
      <c r="F135" s="12"/>
      <c r="G135" s="12"/>
      <c r="H135" s="12" t="e">
        <f t="shared" si="4"/>
        <v>#REF!</v>
      </c>
      <c r="I135" s="94"/>
    </row>
    <row r="136" spans="1:9">
      <c r="A136" s="71" t="e">
        <f>'【3-2】大区&amp;运营中心填-房间模型价'!#REF!</f>
        <v>#REF!</v>
      </c>
      <c r="B136" s="71" t="e">
        <f>'【3-2】大区&amp;运营中心填-房间模型价'!#REF!</f>
        <v>#REF!</v>
      </c>
      <c r="C136" s="91" t="e">
        <f>VLOOKUP(A136,'【3-2】大区&amp;运营中心填-房间模型价'!H:J,3,0)</f>
        <v>#REF!</v>
      </c>
      <c r="D136" s="12"/>
      <c r="E136" s="12"/>
      <c r="F136" s="12"/>
      <c r="G136" s="12"/>
      <c r="H136" s="12" t="e">
        <f t="shared" si="4"/>
        <v>#REF!</v>
      </c>
      <c r="I136" s="94"/>
    </row>
    <row r="137" spans="1:9">
      <c r="A137" s="71" t="e">
        <f>'【3-2】大区&amp;运营中心填-房间模型价'!#REF!</f>
        <v>#REF!</v>
      </c>
      <c r="B137" s="71" t="e">
        <f>'【3-2】大区&amp;运营中心填-房间模型价'!#REF!</f>
        <v>#REF!</v>
      </c>
      <c r="C137" s="91" t="e">
        <f>VLOOKUP(A137,'【3-2】大区&amp;运营中心填-房间模型价'!H:J,3,0)</f>
        <v>#REF!</v>
      </c>
      <c r="D137" s="12"/>
      <c r="E137" s="12"/>
      <c r="F137" s="12"/>
      <c r="G137" s="12"/>
      <c r="H137" s="12" t="e">
        <f t="shared" si="4"/>
        <v>#REF!</v>
      </c>
      <c r="I137" s="94"/>
    </row>
    <row r="138" spans="1:9">
      <c r="A138" s="71" t="e">
        <f>'【3-2】大区&amp;运营中心填-房间模型价'!#REF!</f>
        <v>#REF!</v>
      </c>
      <c r="B138" s="71" t="e">
        <f>'【3-2】大区&amp;运营中心填-房间模型价'!#REF!</f>
        <v>#REF!</v>
      </c>
      <c r="C138" s="91" t="e">
        <f>VLOOKUP(A138,'【3-2】大区&amp;运营中心填-房间模型价'!H:J,3,0)</f>
        <v>#REF!</v>
      </c>
      <c r="D138" s="12"/>
      <c r="E138" s="12"/>
      <c r="F138" s="12"/>
      <c r="G138" s="12"/>
      <c r="H138" s="12" t="e">
        <f t="shared" si="4"/>
        <v>#REF!</v>
      </c>
      <c r="I138" s="94"/>
    </row>
    <row r="139" spans="1:9">
      <c r="A139" s="71" t="e">
        <f>'【3-2】大区&amp;运营中心填-房间模型价'!#REF!</f>
        <v>#REF!</v>
      </c>
      <c r="B139" s="71" t="e">
        <f>'【3-2】大区&amp;运营中心填-房间模型价'!#REF!</f>
        <v>#REF!</v>
      </c>
      <c r="C139" s="91" t="e">
        <f>VLOOKUP(A139,'【3-2】大区&amp;运营中心填-房间模型价'!H:J,3,0)</f>
        <v>#REF!</v>
      </c>
      <c r="D139" s="12"/>
      <c r="E139" s="12"/>
      <c r="F139" s="12"/>
      <c r="G139" s="12"/>
      <c r="H139" s="12" t="e">
        <f t="shared" si="4"/>
        <v>#REF!</v>
      </c>
      <c r="I139" s="94"/>
    </row>
    <row r="140" spans="1:9">
      <c r="A140" s="71" t="e">
        <f>'【3-2】大区&amp;运营中心填-房间模型价'!#REF!</f>
        <v>#REF!</v>
      </c>
      <c r="B140" s="71" t="e">
        <f>'【3-2】大区&amp;运营中心填-房间模型价'!#REF!</f>
        <v>#REF!</v>
      </c>
      <c r="C140" s="91" t="e">
        <f>VLOOKUP(A140,'【3-2】大区&amp;运营中心填-房间模型价'!H:J,3,0)</f>
        <v>#REF!</v>
      </c>
      <c r="D140" s="12"/>
      <c r="E140" s="12"/>
      <c r="F140" s="12"/>
      <c r="G140" s="12"/>
      <c r="H140" s="12" t="e">
        <f t="shared" si="4"/>
        <v>#REF!</v>
      </c>
      <c r="I140" s="94"/>
    </row>
    <row r="141" spans="1:9">
      <c r="A141" s="71" t="e">
        <f>'【3-2】大区&amp;运营中心填-房间模型价'!#REF!</f>
        <v>#REF!</v>
      </c>
      <c r="B141" s="71" t="e">
        <f>'【3-2】大区&amp;运营中心填-房间模型价'!#REF!</f>
        <v>#REF!</v>
      </c>
      <c r="C141" s="91" t="e">
        <f>VLOOKUP(A141,'【3-2】大区&amp;运营中心填-房间模型价'!H:J,3,0)</f>
        <v>#REF!</v>
      </c>
      <c r="D141" s="12"/>
      <c r="E141" s="12"/>
      <c r="F141" s="12"/>
      <c r="G141" s="12"/>
      <c r="H141" s="12" t="e">
        <f t="shared" si="4"/>
        <v>#REF!</v>
      </c>
      <c r="I141" s="94"/>
    </row>
    <row r="142" spans="1:9">
      <c r="A142" s="71" t="e">
        <f>'【3-2】大区&amp;运营中心填-房间模型价'!#REF!</f>
        <v>#REF!</v>
      </c>
      <c r="B142" s="71" t="e">
        <f>'【3-2】大区&amp;运营中心填-房间模型价'!#REF!</f>
        <v>#REF!</v>
      </c>
      <c r="C142" s="91" t="e">
        <f>VLOOKUP(A142,'【3-2】大区&amp;运营中心填-房间模型价'!H:J,3,0)</f>
        <v>#REF!</v>
      </c>
      <c r="D142" s="12"/>
      <c r="E142" s="12"/>
      <c r="F142" s="12"/>
      <c r="G142" s="12"/>
      <c r="H142" s="12" t="e">
        <f t="shared" si="4"/>
        <v>#REF!</v>
      </c>
      <c r="I142" s="94"/>
    </row>
    <row r="143" spans="1:9">
      <c r="A143" s="71" t="e">
        <f>'【3-2】大区&amp;运营中心填-房间模型价'!#REF!</f>
        <v>#REF!</v>
      </c>
      <c r="B143" s="71" t="e">
        <f>'【3-2】大区&amp;运营中心填-房间模型价'!#REF!</f>
        <v>#REF!</v>
      </c>
      <c r="C143" s="91" t="e">
        <f>VLOOKUP(A143,'【3-2】大区&amp;运营中心填-房间模型价'!H:J,3,0)</f>
        <v>#REF!</v>
      </c>
      <c r="D143" s="12"/>
      <c r="E143" s="12"/>
      <c r="F143" s="12"/>
      <c r="G143" s="12"/>
      <c r="H143" s="12" t="e">
        <f t="shared" si="4"/>
        <v>#REF!</v>
      </c>
      <c r="I143" s="94"/>
    </row>
    <row r="144" spans="1:9">
      <c r="A144" s="71" t="e">
        <f>'【3-2】大区&amp;运营中心填-房间模型价'!#REF!</f>
        <v>#REF!</v>
      </c>
      <c r="B144" s="71" t="e">
        <f>'【3-2】大区&amp;运营中心填-房间模型价'!#REF!</f>
        <v>#REF!</v>
      </c>
      <c r="C144" s="91" t="e">
        <f>VLOOKUP(A144,'【3-2】大区&amp;运营中心填-房间模型价'!H:J,3,0)</f>
        <v>#REF!</v>
      </c>
      <c r="D144" s="12"/>
      <c r="E144" s="12"/>
      <c r="F144" s="12"/>
      <c r="G144" s="12"/>
      <c r="H144" s="12" t="e">
        <f t="shared" si="4"/>
        <v>#REF!</v>
      </c>
      <c r="I144" s="94"/>
    </row>
    <row r="145" spans="1:9">
      <c r="A145" s="71" t="e">
        <f>'【3-2】大区&amp;运营中心填-房间模型价'!#REF!</f>
        <v>#REF!</v>
      </c>
      <c r="B145" s="71" t="e">
        <f>'【3-2】大区&amp;运营中心填-房间模型价'!#REF!</f>
        <v>#REF!</v>
      </c>
      <c r="C145" s="91" t="e">
        <f>VLOOKUP(A145,'【3-2】大区&amp;运营中心填-房间模型价'!H:J,3,0)</f>
        <v>#REF!</v>
      </c>
      <c r="D145" s="12"/>
      <c r="E145" s="12"/>
      <c r="F145" s="12"/>
      <c r="G145" s="12"/>
      <c r="H145" s="12" t="e">
        <f t="shared" ref="H145:H176" si="5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94"/>
    </row>
    <row r="146" spans="1:9">
      <c r="A146" s="71" t="e">
        <f>'【3-2】大区&amp;运营中心填-房间模型价'!#REF!</f>
        <v>#REF!</v>
      </c>
      <c r="B146" s="71" t="e">
        <f>'【3-2】大区&amp;运营中心填-房间模型价'!#REF!</f>
        <v>#REF!</v>
      </c>
      <c r="C146" s="91" t="e">
        <f>VLOOKUP(A146,'【3-2】大区&amp;运营中心填-房间模型价'!H:J,3,0)</f>
        <v>#REF!</v>
      </c>
      <c r="D146" s="12"/>
      <c r="E146" s="12"/>
      <c r="F146" s="12"/>
      <c r="G146" s="12"/>
      <c r="H146" s="12" t="e">
        <f t="shared" si="5"/>
        <v>#REF!</v>
      </c>
      <c r="I146" s="94"/>
    </row>
    <row r="147" spans="1:9">
      <c r="A147" s="71" t="e">
        <f>'【3-2】大区&amp;运营中心填-房间模型价'!#REF!</f>
        <v>#REF!</v>
      </c>
      <c r="B147" s="71" t="e">
        <f>'【3-2】大区&amp;运营中心填-房间模型价'!#REF!</f>
        <v>#REF!</v>
      </c>
      <c r="C147" s="91" t="e">
        <f>VLOOKUP(A147,'【3-2】大区&amp;运营中心填-房间模型价'!H:J,3,0)</f>
        <v>#REF!</v>
      </c>
      <c r="D147" s="12"/>
      <c r="E147" s="12"/>
      <c r="F147" s="12"/>
      <c r="G147" s="12"/>
      <c r="H147" s="12" t="e">
        <f t="shared" si="5"/>
        <v>#REF!</v>
      </c>
      <c r="I147" s="94"/>
    </row>
    <row r="148" spans="1:9">
      <c r="A148" s="71" t="e">
        <f>'【3-2】大区&amp;运营中心填-房间模型价'!#REF!</f>
        <v>#REF!</v>
      </c>
      <c r="B148" s="71" t="e">
        <f>'【3-2】大区&amp;运营中心填-房间模型价'!#REF!</f>
        <v>#REF!</v>
      </c>
      <c r="C148" s="91" t="e">
        <f>VLOOKUP(A148,'【3-2】大区&amp;运营中心填-房间模型价'!H:J,3,0)</f>
        <v>#REF!</v>
      </c>
      <c r="D148" s="12"/>
      <c r="E148" s="12"/>
      <c r="F148" s="12"/>
      <c r="G148" s="12"/>
      <c r="H148" s="12" t="e">
        <f t="shared" si="5"/>
        <v>#REF!</v>
      </c>
      <c r="I148" s="94"/>
    </row>
    <row r="149" spans="1:9">
      <c r="A149" s="71" t="e">
        <f>'【3-2】大区&amp;运营中心填-房间模型价'!#REF!</f>
        <v>#REF!</v>
      </c>
      <c r="B149" s="71" t="e">
        <f>'【3-2】大区&amp;运营中心填-房间模型价'!#REF!</f>
        <v>#REF!</v>
      </c>
      <c r="C149" s="91" t="e">
        <f>VLOOKUP(A149,'【3-2】大区&amp;运营中心填-房间模型价'!H:J,3,0)</f>
        <v>#REF!</v>
      </c>
      <c r="D149" s="12"/>
      <c r="E149" s="12"/>
      <c r="F149" s="12"/>
      <c r="G149" s="12"/>
      <c r="H149" s="12" t="e">
        <f t="shared" si="5"/>
        <v>#REF!</v>
      </c>
      <c r="I149" s="94"/>
    </row>
    <row r="150" spans="1:9">
      <c r="A150" s="71" t="e">
        <f>'【3-2】大区&amp;运营中心填-房间模型价'!#REF!</f>
        <v>#REF!</v>
      </c>
      <c r="B150" s="71" t="e">
        <f>'【3-2】大区&amp;运营中心填-房间模型价'!#REF!</f>
        <v>#REF!</v>
      </c>
      <c r="C150" s="91" t="e">
        <f>VLOOKUP(A150,'【3-2】大区&amp;运营中心填-房间模型价'!H:J,3,0)</f>
        <v>#REF!</v>
      </c>
      <c r="D150" s="12"/>
      <c r="E150" s="12"/>
      <c r="F150" s="12"/>
      <c r="G150" s="12"/>
      <c r="H150" s="12" t="e">
        <f t="shared" si="5"/>
        <v>#REF!</v>
      </c>
      <c r="I150" s="94"/>
    </row>
    <row r="151" spans="1:9">
      <c r="A151" s="71" t="e">
        <f>'【3-2】大区&amp;运营中心填-房间模型价'!#REF!</f>
        <v>#REF!</v>
      </c>
      <c r="B151" s="71" t="e">
        <f>'【3-2】大区&amp;运营中心填-房间模型价'!#REF!</f>
        <v>#REF!</v>
      </c>
      <c r="C151" s="91" t="e">
        <f>VLOOKUP(A151,'【3-2】大区&amp;运营中心填-房间模型价'!H:J,3,0)</f>
        <v>#REF!</v>
      </c>
      <c r="D151" s="12"/>
      <c r="E151" s="12"/>
      <c r="F151" s="12"/>
      <c r="G151" s="12"/>
      <c r="H151" s="12" t="e">
        <f t="shared" si="5"/>
        <v>#REF!</v>
      </c>
      <c r="I151" s="94"/>
    </row>
    <row r="152" spans="1:9">
      <c r="A152" s="71" t="e">
        <f>'【3-2】大区&amp;运营中心填-房间模型价'!#REF!</f>
        <v>#REF!</v>
      </c>
      <c r="B152" s="71" t="e">
        <f>'【3-2】大区&amp;运营中心填-房间模型价'!#REF!</f>
        <v>#REF!</v>
      </c>
      <c r="C152" s="91" t="e">
        <f>VLOOKUP(A152,'【3-2】大区&amp;运营中心填-房间模型价'!H:J,3,0)</f>
        <v>#REF!</v>
      </c>
      <c r="D152" s="12"/>
      <c r="E152" s="12"/>
      <c r="F152" s="12"/>
      <c r="G152" s="12"/>
      <c r="H152" s="12" t="e">
        <f t="shared" si="5"/>
        <v>#REF!</v>
      </c>
      <c r="I152" s="94"/>
    </row>
    <row r="153" spans="1:9">
      <c r="A153" s="71" t="e">
        <f>'【3-2】大区&amp;运营中心填-房间模型价'!#REF!</f>
        <v>#REF!</v>
      </c>
      <c r="B153" s="71" t="e">
        <f>'【3-2】大区&amp;运营中心填-房间模型价'!#REF!</f>
        <v>#REF!</v>
      </c>
      <c r="C153" s="91" t="e">
        <f>VLOOKUP(A153,'【3-2】大区&amp;运营中心填-房间模型价'!H:J,3,0)</f>
        <v>#REF!</v>
      </c>
      <c r="D153" s="12"/>
      <c r="E153" s="12"/>
      <c r="F153" s="12"/>
      <c r="G153" s="12"/>
      <c r="H153" s="12" t="e">
        <f t="shared" si="5"/>
        <v>#REF!</v>
      </c>
      <c r="I153" s="94"/>
    </row>
    <row r="154" spans="1:9">
      <c r="A154" s="71" t="e">
        <f>'【3-2】大区&amp;运营中心填-房间模型价'!#REF!</f>
        <v>#REF!</v>
      </c>
      <c r="B154" s="71" t="e">
        <f>'【3-2】大区&amp;运营中心填-房间模型价'!#REF!</f>
        <v>#REF!</v>
      </c>
      <c r="C154" s="91" t="e">
        <f>VLOOKUP(A154,'【3-2】大区&amp;运营中心填-房间模型价'!H:J,3,0)</f>
        <v>#REF!</v>
      </c>
      <c r="D154" s="12"/>
      <c r="E154" s="12"/>
      <c r="F154" s="12"/>
      <c r="G154" s="12"/>
      <c r="H154" s="12" t="e">
        <f t="shared" si="5"/>
        <v>#REF!</v>
      </c>
      <c r="I154" s="94"/>
    </row>
    <row r="155" spans="1:9">
      <c r="A155" s="71" t="e">
        <f>'【3-2】大区&amp;运营中心填-房间模型价'!#REF!</f>
        <v>#REF!</v>
      </c>
      <c r="B155" s="71" t="e">
        <f>'【3-2】大区&amp;运营中心填-房间模型价'!#REF!</f>
        <v>#REF!</v>
      </c>
      <c r="C155" s="91" t="e">
        <f>VLOOKUP(A155,'【3-2】大区&amp;运营中心填-房间模型价'!H:J,3,0)</f>
        <v>#REF!</v>
      </c>
      <c r="D155" s="12"/>
      <c r="E155" s="12"/>
      <c r="F155" s="12"/>
      <c r="G155" s="12"/>
      <c r="H155" s="12" t="e">
        <f t="shared" si="5"/>
        <v>#REF!</v>
      </c>
      <c r="I155" s="94"/>
    </row>
    <row r="156" spans="1:9">
      <c r="A156" s="71" t="e">
        <f>'【3-2】大区&amp;运营中心填-房间模型价'!#REF!</f>
        <v>#REF!</v>
      </c>
      <c r="B156" s="71" t="e">
        <f>'【3-2】大区&amp;运营中心填-房间模型价'!#REF!</f>
        <v>#REF!</v>
      </c>
      <c r="C156" s="91" t="e">
        <f>VLOOKUP(A156,'【3-2】大区&amp;运营中心填-房间模型价'!H:J,3,0)</f>
        <v>#REF!</v>
      </c>
      <c r="D156" s="12"/>
      <c r="E156" s="12"/>
      <c r="F156" s="12"/>
      <c r="G156" s="12"/>
      <c r="H156" s="12" t="e">
        <f t="shared" si="5"/>
        <v>#REF!</v>
      </c>
      <c r="I156" s="94"/>
    </row>
    <row r="157" spans="1:9">
      <c r="A157" s="71" t="e">
        <f>'【3-2】大区&amp;运营中心填-房间模型价'!#REF!</f>
        <v>#REF!</v>
      </c>
      <c r="B157" s="71" t="e">
        <f>'【3-2】大区&amp;运营中心填-房间模型价'!#REF!</f>
        <v>#REF!</v>
      </c>
      <c r="C157" s="91" t="e">
        <f>VLOOKUP(A157,'【3-2】大区&amp;运营中心填-房间模型价'!H:J,3,0)</f>
        <v>#REF!</v>
      </c>
      <c r="D157" s="12"/>
      <c r="E157" s="12"/>
      <c r="F157" s="12"/>
      <c r="G157" s="12"/>
      <c r="H157" s="12" t="e">
        <f t="shared" si="5"/>
        <v>#REF!</v>
      </c>
      <c r="I157" s="94"/>
    </row>
    <row r="158" spans="1:9">
      <c r="A158" s="71" t="e">
        <f>'【3-2】大区&amp;运营中心填-房间模型价'!#REF!</f>
        <v>#REF!</v>
      </c>
      <c r="B158" s="71" t="e">
        <f>'【3-2】大区&amp;运营中心填-房间模型价'!#REF!</f>
        <v>#REF!</v>
      </c>
      <c r="C158" s="91" t="e">
        <f>VLOOKUP(A158,'【3-2】大区&amp;运营中心填-房间模型价'!H:J,3,0)</f>
        <v>#REF!</v>
      </c>
      <c r="D158" s="12"/>
      <c r="E158" s="12"/>
      <c r="F158" s="12"/>
      <c r="G158" s="12"/>
      <c r="H158" s="12" t="e">
        <f t="shared" si="5"/>
        <v>#REF!</v>
      </c>
      <c r="I158" s="94"/>
    </row>
    <row r="159" spans="1:9">
      <c r="A159" s="71" t="e">
        <f>'【3-2】大区&amp;运营中心填-房间模型价'!#REF!</f>
        <v>#REF!</v>
      </c>
      <c r="B159" s="71" t="e">
        <f>'【3-2】大区&amp;运营中心填-房间模型价'!#REF!</f>
        <v>#REF!</v>
      </c>
      <c r="C159" s="91" t="e">
        <f>VLOOKUP(A159,'【3-2】大区&amp;运营中心填-房间模型价'!H:J,3,0)</f>
        <v>#REF!</v>
      </c>
      <c r="D159" s="12"/>
      <c r="E159" s="12"/>
      <c r="F159" s="12"/>
      <c r="G159" s="12"/>
      <c r="H159" s="12" t="e">
        <f t="shared" si="5"/>
        <v>#REF!</v>
      </c>
      <c r="I159" s="94"/>
    </row>
    <row r="160" spans="1:9">
      <c r="A160" s="71" t="e">
        <f>'【3-2】大区&amp;运营中心填-房间模型价'!#REF!</f>
        <v>#REF!</v>
      </c>
      <c r="B160" s="71" t="e">
        <f>'【3-2】大区&amp;运营中心填-房间模型价'!#REF!</f>
        <v>#REF!</v>
      </c>
      <c r="C160" s="91" t="e">
        <f>VLOOKUP(A160,'【3-2】大区&amp;运营中心填-房间模型价'!H:J,3,0)</f>
        <v>#REF!</v>
      </c>
      <c r="D160" s="12"/>
      <c r="E160" s="12"/>
      <c r="F160" s="12"/>
      <c r="G160" s="12"/>
      <c r="H160" s="12" t="e">
        <f t="shared" si="5"/>
        <v>#REF!</v>
      </c>
      <c r="I160" s="94"/>
    </row>
    <row r="161" spans="1:9">
      <c r="A161" s="71" t="e">
        <f>'【3-2】大区&amp;运营中心填-房间模型价'!#REF!</f>
        <v>#REF!</v>
      </c>
      <c r="B161" s="71" t="e">
        <f>'【3-2】大区&amp;运营中心填-房间模型价'!#REF!</f>
        <v>#REF!</v>
      </c>
      <c r="C161" s="91" t="e">
        <f>VLOOKUP(A161,'【3-2】大区&amp;运营中心填-房间模型价'!H:J,3,0)</f>
        <v>#REF!</v>
      </c>
      <c r="D161" s="12"/>
      <c r="E161" s="12"/>
      <c r="F161" s="12"/>
      <c r="G161" s="12"/>
      <c r="H161" s="12" t="e">
        <f t="shared" si="5"/>
        <v>#REF!</v>
      </c>
      <c r="I161" s="94"/>
    </row>
    <row r="162" spans="1:9">
      <c r="A162" s="71" t="e">
        <f>'【3-2】大区&amp;运营中心填-房间模型价'!#REF!</f>
        <v>#REF!</v>
      </c>
      <c r="B162" s="71" t="e">
        <f>'【3-2】大区&amp;运营中心填-房间模型价'!#REF!</f>
        <v>#REF!</v>
      </c>
      <c r="C162" s="91" t="e">
        <f>VLOOKUP(A162,'【3-2】大区&amp;运营中心填-房间模型价'!H:J,3,0)</f>
        <v>#REF!</v>
      </c>
      <c r="D162" s="12"/>
      <c r="E162" s="12"/>
      <c r="F162" s="12"/>
      <c r="G162" s="12"/>
      <c r="H162" s="12" t="e">
        <f t="shared" si="5"/>
        <v>#REF!</v>
      </c>
      <c r="I162" s="94"/>
    </row>
    <row r="163" spans="1:9">
      <c r="A163" s="71" t="e">
        <f>'【3-2】大区&amp;运营中心填-房间模型价'!#REF!</f>
        <v>#REF!</v>
      </c>
      <c r="B163" s="71" t="e">
        <f>'【3-2】大区&amp;运营中心填-房间模型价'!#REF!</f>
        <v>#REF!</v>
      </c>
      <c r="C163" s="91" t="e">
        <f>VLOOKUP(A163,'【3-2】大区&amp;运营中心填-房间模型价'!H:J,3,0)</f>
        <v>#REF!</v>
      </c>
      <c r="D163" s="12"/>
      <c r="E163" s="12"/>
      <c r="F163" s="12"/>
      <c r="G163" s="12"/>
      <c r="H163" s="12" t="e">
        <f t="shared" si="5"/>
        <v>#REF!</v>
      </c>
      <c r="I163" s="94"/>
    </row>
    <row r="164" spans="1:9">
      <c r="A164" s="71" t="e">
        <f>'【3-2】大区&amp;运营中心填-房间模型价'!#REF!</f>
        <v>#REF!</v>
      </c>
      <c r="B164" s="71" t="e">
        <f>'【3-2】大区&amp;运营中心填-房间模型价'!#REF!</f>
        <v>#REF!</v>
      </c>
      <c r="C164" s="91" t="e">
        <f>VLOOKUP(A164,'【3-2】大区&amp;运营中心填-房间模型价'!H:J,3,0)</f>
        <v>#REF!</v>
      </c>
      <c r="D164" s="12"/>
      <c r="E164" s="12"/>
      <c r="F164" s="12"/>
      <c r="G164" s="12"/>
      <c r="H164" s="12" t="e">
        <f t="shared" si="5"/>
        <v>#REF!</v>
      </c>
      <c r="I164" s="94"/>
    </row>
    <row r="165" spans="1:9">
      <c r="A165" s="71" t="e">
        <f>'【3-2】大区&amp;运营中心填-房间模型价'!#REF!</f>
        <v>#REF!</v>
      </c>
      <c r="B165" s="71" t="e">
        <f>'【3-2】大区&amp;运营中心填-房间模型价'!#REF!</f>
        <v>#REF!</v>
      </c>
      <c r="C165" s="91" t="e">
        <f>VLOOKUP(A165,'【3-2】大区&amp;运营中心填-房间模型价'!H:J,3,0)</f>
        <v>#REF!</v>
      </c>
      <c r="D165" s="12"/>
      <c r="E165" s="12"/>
      <c r="F165" s="12"/>
      <c r="G165" s="12"/>
      <c r="H165" s="12" t="e">
        <f t="shared" si="5"/>
        <v>#REF!</v>
      </c>
      <c r="I165" s="94"/>
    </row>
    <row r="166" spans="1:9">
      <c r="A166" s="71" t="e">
        <f>'【3-2】大区&amp;运营中心填-房间模型价'!#REF!</f>
        <v>#REF!</v>
      </c>
      <c r="B166" s="71" t="e">
        <f>'【3-2】大区&amp;运营中心填-房间模型价'!#REF!</f>
        <v>#REF!</v>
      </c>
      <c r="C166" s="91" t="e">
        <f>VLOOKUP(A166,'【3-2】大区&amp;运营中心填-房间模型价'!H:J,3,0)</f>
        <v>#REF!</v>
      </c>
      <c r="D166" s="12"/>
      <c r="E166" s="12"/>
      <c r="F166" s="12"/>
      <c r="G166" s="12"/>
      <c r="H166" s="12" t="e">
        <f t="shared" si="5"/>
        <v>#REF!</v>
      </c>
      <c r="I166" s="94"/>
    </row>
    <row r="167" spans="1:9">
      <c r="A167" s="71" t="e">
        <f>'【3-2】大区&amp;运营中心填-房间模型价'!#REF!</f>
        <v>#REF!</v>
      </c>
      <c r="B167" s="71" t="e">
        <f>'【3-2】大区&amp;运营中心填-房间模型价'!#REF!</f>
        <v>#REF!</v>
      </c>
      <c r="C167" s="91" t="e">
        <f>VLOOKUP(A167,'【3-2】大区&amp;运营中心填-房间模型价'!H:J,3,0)</f>
        <v>#REF!</v>
      </c>
      <c r="D167" s="12"/>
      <c r="E167" s="12"/>
      <c r="F167" s="12"/>
      <c r="G167" s="12"/>
      <c r="H167" s="12" t="e">
        <f t="shared" si="5"/>
        <v>#REF!</v>
      </c>
      <c r="I167" s="94"/>
    </row>
    <row r="168" spans="1:9">
      <c r="A168" s="71" t="e">
        <f>'【3-2】大区&amp;运营中心填-房间模型价'!#REF!</f>
        <v>#REF!</v>
      </c>
      <c r="B168" s="71" t="e">
        <f>'【3-2】大区&amp;运营中心填-房间模型价'!#REF!</f>
        <v>#REF!</v>
      </c>
      <c r="C168" s="91" t="e">
        <f>VLOOKUP(A168,'【3-2】大区&amp;运营中心填-房间模型价'!H:J,3,0)</f>
        <v>#REF!</v>
      </c>
      <c r="D168" s="12"/>
      <c r="E168" s="12"/>
      <c r="F168" s="12"/>
      <c r="G168" s="12"/>
      <c r="H168" s="12" t="e">
        <f t="shared" si="5"/>
        <v>#REF!</v>
      </c>
      <c r="I168" s="94"/>
    </row>
    <row r="169" spans="1:9">
      <c r="A169" s="71" t="e">
        <f>'【3-2】大区&amp;运营中心填-房间模型价'!#REF!</f>
        <v>#REF!</v>
      </c>
      <c r="B169" s="71" t="e">
        <f>'【3-2】大区&amp;运营中心填-房间模型价'!#REF!</f>
        <v>#REF!</v>
      </c>
      <c r="C169" s="91" t="e">
        <f>VLOOKUP(A169,'【3-2】大区&amp;运营中心填-房间模型价'!H:J,3,0)</f>
        <v>#REF!</v>
      </c>
      <c r="D169" s="12"/>
      <c r="E169" s="12"/>
      <c r="F169" s="12"/>
      <c r="G169" s="12"/>
      <c r="H169" s="12" t="e">
        <f t="shared" si="5"/>
        <v>#REF!</v>
      </c>
      <c r="I169" s="94"/>
    </row>
    <row r="170" spans="1:9">
      <c r="A170" s="71" t="e">
        <f>'【3-2】大区&amp;运营中心填-房间模型价'!#REF!</f>
        <v>#REF!</v>
      </c>
      <c r="B170" s="71" t="e">
        <f>'【3-2】大区&amp;运营中心填-房间模型价'!#REF!</f>
        <v>#REF!</v>
      </c>
      <c r="C170" s="91" t="e">
        <f>VLOOKUP(A170,'【3-2】大区&amp;运营中心填-房间模型价'!H:J,3,0)</f>
        <v>#REF!</v>
      </c>
      <c r="D170" s="12"/>
      <c r="E170" s="12"/>
      <c r="F170" s="12"/>
      <c r="G170" s="12"/>
      <c r="H170" s="12" t="e">
        <f t="shared" si="5"/>
        <v>#REF!</v>
      </c>
      <c r="I170" s="94"/>
    </row>
    <row r="171" spans="1:9">
      <c r="A171" s="71" t="e">
        <f>'【3-2】大区&amp;运营中心填-房间模型价'!#REF!</f>
        <v>#REF!</v>
      </c>
      <c r="B171" s="71" t="e">
        <f>'【3-2】大区&amp;运营中心填-房间模型价'!#REF!</f>
        <v>#REF!</v>
      </c>
      <c r="C171" s="91" t="e">
        <f>VLOOKUP(A171,'【3-2】大区&amp;运营中心填-房间模型价'!H:J,3,0)</f>
        <v>#REF!</v>
      </c>
      <c r="D171" s="12"/>
      <c r="E171" s="12"/>
      <c r="F171" s="12"/>
      <c r="G171" s="12"/>
      <c r="H171" s="12" t="e">
        <f t="shared" si="5"/>
        <v>#REF!</v>
      </c>
      <c r="I171" s="94"/>
    </row>
    <row r="172" spans="1:9">
      <c r="A172" s="71" t="e">
        <f>'【3-2】大区&amp;运营中心填-房间模型价'!#REF!</f>
        <v>#REF!</v>
      </c>
      <c r="B172" s="71" t="e">
        <f>'【3-2】大区&amp;运营中心填-房间模型价'!#REF!</f>
        <v>#REF!</v>
      </c>
      <c r="C172" s="91" t="e">
        <f>VLOOKUP(A172,'【3-2】大区&amp;运营中心填-房间模型价'!H:J,3,0)</f>
        <v>#REF!</v>
      </c>
      <c r="D172" s="12"/>
      <c r="E172" s="12"/>
      <c r="F172" s="12"/>
      <c r="G172" s="12"/>
      <c r="H172" s="12" t="e">
        <f t="shared" si="5"/>
        <v>#REF!</v>
      </c>
      <c r="I172" s="94"/>
    </row>
    <row r="173" spans="1:9">
      <c r="A173" s="71" t="e">
        <f>'【3-2】大区&amp;运营中心填-房间模型价'!#REF!</f>
        <v>#REF!</v>
      </c>
      <c r="B173" s="71" t="e">
        <f>'【3-2】大区&amp;运营中心填-房间模型价'!#REF!</f>
        <v>#REF!</v>
      </c>
      <c r="C173" s="91" t="e">
        <f>VLOOKUP(A173,'【3-2】大区&amp;运营中心填-房间模型价'!H:J,3,0)</f>
        <v>#REF!</v>
      </c>
      <c r="D173" s="12"/>
      <c r="E173" s="12"/>
      <c r="F173" s="12"/>
      <c r="G173" s="12"/>
      <c r="H173" s="12" t="e">
        <f t="shared" si="5"/>
        <v>#REF!</v>
      </c>
      <c r="I173" s="94"/>
    </row>
    <row r="174" spans="1:9">
      <c r="A174" s="71" t="e">
        <f>'【3-2】大区&amp;运营中心填-房间模型价'!#REF!</f>
        <v>#REF!</v>
      </c>
      <c r="B174" s="71" t="e">
        <f>'【3-2】大区&amp;运营中心填-房间模型价'!#REF!</f>
        <v>#REF!</v>
      </c>
      <c r="C174" s="91" t="e">
        <f>VLOOKUP(A174,'【3-2】大区&amp;运营中心填-房间模型价'!H:J,3,0)</f>
        <v>#REF!</v>
      </c>
      <c r="D174" s="12"/>
      <c r="E174" s="12"/>
      <c r="F174" s="12"/>
      <c r="G174" s="12"/>
      <c r="H174" s="12" t="e">
        <f t="shared" si="5"/>
        <v>#REF!</v>
      </c>
      <c r="I174" s="94"/>
    </row>
    <row r="175" spans="1:9">
      <c r="A175" s="71" t="e">
        <f>'【3-2】大区&amp;运营中心填-房间模型价'!#REF!</f>
        <v>#REF!</v>
      </c>
      <c r="B175" s="71" t="e">
        <f>'【3-2】大区&amp;运营中心填-房间模型价'!#REF!</f>
        <v>#REF!</v>
      </c>
      <c r="C175" s="91" t="e">
        <f>VLOOKUP(A175,'【3-2】大区&amp;运营中心填-房间模型价'!H:J,3,0)</f>
        <v>#REF!</v>
      </c>
      <c r="D175" s="12"/>
      <c r="E175" s="12"/>
      <c r="F175" s="12"/>
      <c r="G175" s="12"/>
      <c r="H175" s="12" t="e">
        <f t="shared" si="5"/>
        <v>#REF!</v>
      </c>
      <c r="I175" s="94"/>
    </row>
    <row r="176" spans="1:9">
      <c r="A176" s="71" t="e">
        <f>'【3-2】大区&amp;运营中心填-房间模型价'!#REF!</f>
        <v>#REF!</v>
      </c>
      <c r="B176" s="71" t="e">
        <f>'【3-2】大区&amp;运营中心填-房间模型价'!#REF!</f>
        <v>#REF!</v>
      </c>
      <c r="C176" s="91" t="e">
        <f>VLOOKUP(A176,'【3-2】大区&amp;运营中心填-房间模型价'!H:J,3,0)</f>
        <v>#REF!</v>
      </c>
      <c r="D176" s="12"/>
      <c r="E176" s="12"/>
      <c r="F176" s="12"/>
      <c r="G176" s="12"/>
      <c r="H176" s="12" t="e">
        <f t="shared" si="5"/>
        <v>#REF!</v>
      </c>
      <c r="I176" s="94"/>
    </row>
    <row r="177" spans="1:9">
      <c r="A177" s="71" t="e">
        <f>'【3-2】大区&amp;运营中心填-房间模型价'!#REF!</f>
        <v>#REF!</v>
      </c>
      <c r="B177" s="71" t="e">
        <f>'【3-2】大区&amp;运营中心填-房间模型价'!#REF!</f>
        <v>#REF!</v>
      </c>
      <c r="C177" s="91" t="e">
        <f>VLOOKUP(A177,'【3-2】大区&amp;运营中心填-房间模型价'!H:J,3,0)</f>
        <v>#REF!</v>
      </c>
      <c r="D177" s="12"/>
      <c r="E177" s="12"/>
      <c r="F177" s="12"/>
      <c r="G177" s="12"/>
      <c r="H177" s="12" t="e">
        <f t="shared" ref="H177:H200" si="6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94"/>
    </row>
    <row r="178" spans="1:9">
      <c r="A178" s="71" t="e">
        <f>'【3-2】大区&amp;运营中心填-房间模型价'!#REF!</f>
        <v>#REF!</v>
      </c>
      <c r="B178" s="71" t="e">
        <f>'【3-2】大区&amp;运营中心填-房间模型价'!#REF!</f>
        <v>#REF!</v>
      </c>
      <c r="C178" s="91" t="e">
        <f>VLOOKUP(A178,'【3-2】大区&amp;运营中心填-房间模型价'!H:J,3,0)</f>
        <v>#REF!</v>
      </c>
      <c r="D178" s="12"/>
      <c r="E178" s="12"/>
      <c r="F178" s="12"/>
      <c r="G178" s="12"/>
      <c r="H178" s="12" t="e">
        <f t="shared" si="6"/>
        <v>#REF!</v>
      </c>
      <c r="I178" s="94"/>
    </row>
    <row r="179" spans="1:9">
      <c r="A179" s="71" t="e">
        <f>'【3-2】大区&amp;运营中心填-房间模型价'!#REF!</f>
        <v>#REF!</v>
      </c>
      <c r="B179" s="71" t="e">
        <f>'【3-2】大区&amp;运营中心填-房间模型价'!#REF!</f>
        <v>#REF!</v>
      </c>
      <c r="C179" s="91" t="e">
        <f>VLOOKUP(A179,'【3-2】大区&amp;运营中心填-房间模型价'!H:J,3,0)</f>
        <v>#REF!</v>
      </c>
      <c r="D179" s="12"/>
      <c r="E179" s="12"/>
      <c r="F179" s="12"/>
      <c r="G179" s="12"/>
      <c r="H179" s="12" t="e">
        <f t="shared" si="6"/>
        <v>#REF!</v>
      </c>
      <c r="I179" s="94"/>
    </row>
    <row r="180" spans="1:9">
      <c r="A180" s="71" t="e">
        <f>'【3-2】大区&amp;运营中心填-房间模型价'!#REF!</f>
        <v>#REF!</v>
      </c>
      <c r="B180" s="71" t="e">
        <f>'【3-2】大区&amp;运营中心填-房间模型价'!#REF!</f>
        <v>#REF!</v>
      </c>
      <c r="C180" s="91" t="e">
        <f>VLOOKUP(A180,'【3-2】大区&amp;运营中心填-房间模型价'!H:J,3,0)</f>
        <v>#REF!</v>
      </c>
      <c r="D180" s="12"/>
      <c r="E180" s="12"/>
      <c r="F180" s="12"/>
      <c r="G180" s="12"/>
      <c r="H180" s="12" t="e">
        <f t="shared" si="6"/>
        <v>#REF!</v>
      </c>
      <c r="I180" s="94"/>
    </row>
    <row r="181" spans="1:9">
      <c r="A181" s="71" t="e">
        <f>'【3-2】大区&amp;运营中心填-房间模型价'!#REF!</f>
        <v>#REF!</v>
      </c>
      <c r="B181" s="71" t="e">
        <f>'【3-2】大区&amp;运营中心填-房间模型价'!#REF!</f>
        <v>#REF!</v>
      </c>
      <c r="C181" s="91" t="e">
        <f>VLOOKUP(A181,'【3-2】大区&amp;运营中心填-房间模型价'!H:J,3,0)</f>
        <v>#REF!</v>
      </c>
      <c r="D181" s="12"/>
      <c r="E181" s="12"/>
      <c r="F181" s="12"/>
      <c r="G181" s="12"/>
      <c r="H181" s="12" t="e">
        <f t="shared" si="6"/>
        <v>#REF!</v>
      </c>
      <c r="I181" s="94"/>
    </row>
    <row r="182" spans="1:9">
      <c r="A182" s="71" t="e">
        <f>'【3-2】大区&amp;运营中心填-房间模型价'!#REF!</f>
        <v>#REF!</v>
      </c>
      <c r="B182" s="71" t="e">
        <f>'【3-2】大区&amp;运营中心填-房间模型价'!#REF!</f>
        <v>#REF!</v>
      </c>
      <c r="C182" s="91" t="e">
        <f>VLOOKUP(A182,'【3-2】大区&amp;运营中心填-房间模型价'!H:J,3,0)</f>
        <v>#REF!</v>
      </c>
      <c r="D182" s="12"/>
      <c r="E182" s="12"/>
      <c r="F182" s="12"/>
      <c r="G182" s="12"/>
      <c r="H182" s="12" t="e">
        <f t="shared" si="6"/>
        <v>#REF!</v>
      </c>
      <c r="I182" s="94"/>
    </row>
    <row r="183" spans="1:9">
      <c r="A183" s="71" t="e">
        <f>'【3-2】大区&amp;运营中心填-房间模型价'!#REF!</f>
        <v>#REF!</v>
      </c>
      <c r="B183" s="71" t="e">
        <f>'【3-2】大区&amp;运营中心填-房间模型价'!#REF!</f>
        <v>#REF!</v>
      </c>
      <c r="C183" s="91" t="e">
        <f>VLOOKUP(A183,'【3-2】大区&amp;运营中心填-房间模型价'!H:J,3,0)</f>
        <v>#REF!</v>
      </c>
      <c r="D183" s="12"/>
      <c r="E183" s="12"/>
      <c r="F183" s="12"/>
      <c r="G183" s="12"/>
      <c r="H183" s="12" t="e">
        <f t="shared" si="6"/>
        <v>#REF!</v>
      </c>
      <c r="I183" s="94"/>
    </row>
    <row r="184" spans="1:9">
      <c r="A184" s="71" t="e">
        <f>'【3-2】大区&amp;运营中心填-房间模型价'!#REF!</f>
        <v>#REF!</v>
      </c>
      <c r="B184" s="71" t="e">
        <f>'【3-2】大区&amp;运营中心填-房间模型价'!#REF!</f>
        <v>#REF!</v>
      </c>
      <c r="C184" s="91" t="e">
        <f>VLOOKUP(A184,'【3-2】大区&amp;运营中心填-房间模型价'!H:J,3,0)</f>
        <v>#REF!</v>
      </c>
      <c r="D184" s="12"/>
      <c r="E184" s="12"/>
      <c r="F184" s="12"/>
      <c r="G184" s="12"/>
      <c r="H184" s="12" t="e">
        <f t="shared" si="6"/>
        <v>#REF!</v>
      </c>
      <c r="I184" s="94"/>
    </row>
    <row r="185" spans="1:9">
      <c r="A185" s="71" t="e">
        <f>'【3-2】大区&amp;运营中心填-房间模型价'!#REF!</f>
        <v>#REF!</v>
      </c>
      <c r="B185" s="71" t="e">
        <f>'【3-2】大区&amp;运营中心填-房间模型价'!#REF!</f>
        <v>#REF!</v>
      </c>
      <c r="C185" s="91" t="e">
        <f>VLOOKUP(A185,'【3-2】大区&amp;运营中心填-房间模型价'!H:J,3,0)</f>
        <v>#REF!</v>
      </c>
      <c r="D185" s="12"/>
      <c r="E185" s="12"/>
      <c r="F185" s="12"/>
      <c r="G185" s="12"/>
      <c r="H185" s="12" t="e">
        <f t="shared" si="6"/>
        <v>#REF!</v>
      </c>
      <c r="I185" s="94"/>
    </row>
    <row r="186" spans="1:9">
      <c r="A186" s="71" t="e">
        <f>'【3-2】大区&amp;运营中心填-房间模型价'!#REF!</f>
        <v>#REF!</v>
      </c>
      <c r="B186" s="71" t="e">
        <f>'【3-2】大区&amp;运营中心填-房间模型价'!#REF!</f>
        <v>#REF!</v>
      </c>
      <c r="C186" s="91" t="e">
        <f>VLOOKUP(A186,'【3-2】大区&amp;运营中心填-房间模型价'!H:J,3,0)</f>
        <v>#REF!</v>
      </c>
      <c r="D186" s="12"/>
      <c r="E186" s="12"/>
      <c r="F186" s="12"/>
      <c r="G186" s="12"/>
      <c r="H186" s="12" t="e">
        <f t="shared" si="6"/>
        <v>#REF!</v>
      </c>
      <c r="I186" s="94"/>
    </row>
    <row r="187" spans="1:9">
      <c r="A187" s="71" t="e">
        <f>'【3-2】大区&amp;运营中心填-房间模型价'!#REF!</f>
        <v>#REF!</v>
      </c>
      <c r="B187" s="71" t="e">
        <f>'【3-2】大区&amp;运营中心填-房间模型价'!#REF!</f>
        <v>#REF!</v>
      </c>
      <c r="C187" s="91" t="e">
        <f>VLOOKUP(A187,'【3-2】大区&amp;运营中心填-房间模型价'!H:J,3,0)</f>
        <v>#REF!</v>
      </c>
      <c r="D187" s="12"/>
      <c r="E187" s="12"/>
      <c r="F187" s="12"/>
      <c r="G187" s="12"/>
      <c r="H187" s="12" t="e">
        <f t="shared" si="6"/>
        <v>#REF!</v>
      </c>
      <c r="I187" s="94"/>
    </row>
    <row r="188" spans="1:9">
      <c r="A188" s="71" t="e">
        <f>'【3-2】大区&amp;运营中心填-房间模型价'!#REF!</f>
        <v>#REF!</v>
      </c>
      <c r="B188" s="71" t="e">
        <f>'【3-2】大区&amp;运营中心填-房间模型价'!#REF!</f>
        <v>#REF!</v>
      </c>
      <c r="C188" s="91" t="e">
        <f>VLOOKUP(A188,'【3-2】大区&amp;运营中心填-房间模型价'!H:J,3,0)</f>
        <v>#REF!</v>
      </c>
      <c r="D188" s="12"/>
      <c r="E188" s="12"/>
      <c r="F188" s="12"/>
      <c r="G188" s="12"/>
      <c r="H188" s="12" t="e">
        <f t="shared" si="6"/>
        <v>#REF!</v>
      </c>
      <c r="I188" s="94"/>
    </row>
    <row r="189" spans="1:9">
      <c r="A189" s="71" t="e">
        <f>'【3-2】大区&amp;运营中心填-房间模型价'!#REF!</f>
        <v>#REF!</v>
      </c>
      <c r="B189" s="71" t="e">
        <f>'【3-2】大区&amp;运营中心填-房间模型价'!#REF!</f>
        <v>#REF!</v>
      </c>
      <c r="C189" s="91" t="e">
        <f>VLOOKUP(A189,'【3-2】大区&amp;运营中心填-房间模型价'!H:J,3,0)</f>
        <v>#REF!</v>
      </c>
      <c r="D189" s="12"/>
      <c r="E189" s="12"/>
      <c r="F189" s="12"/>
      <c r="G189" s="12"/>
      <c r="H189" s="12" t="e">
        <f t="shared" si="6"/>
        <v>#REF!</v>
      </c>
      <c r="I189" s="94"/>
    </row>
    <row r="190" spans="1:9">
      <c r="A190" s="71" t="e">
        <f>'【3-2】大区&amp;运营中心填-房间模型价'!#REF!</f>
        <v>#REF!</v>
      </c>
      <c r="B190" s="71" t="e">
        <f>'【3-2】大区&amp;运营中心填-房间模型价'!#REF!</f>
        <v>#REF!</v>
      </c>
      <c r="C190" s="91" t="e">
        <f>VLOOKUP(A190,'【3-2】大区&amp;运营中心填-房间模型价'!H:J,3,0)</f>
        <v>#REF!</v>
      </c>
      <c r="D190" s="12"/>
      <c r="E190" s="12"/>
      <c r="F190" s="12"/>
      <c r="G190" s="12"/>
      <c r="H190" s="12" t="e">
        <f t="shared" si="6"/>
        <v>#REF!</v>
      </c>
      <c r="I190" s="94"/>
    </row>
    <row r="191" spans="1:9">
      <c r="A191" s="71" t="e">
        <f>'【3-2】大区&amp;运营中心填-房间模型价'!#REF!</f>
        <v>#REF!</v>
      </c>
      <c r="B191" s="71" t="e">
        <f>'【3-2】大区&amp;运营中心填-房间模型价'!#REF!</f>
        <v>#REF!</v>
      </c>
      <c r="C191" s="91" t="e">
        <f>VLOOKUP(A191,'【3-2】大区&amp;运营中心填-房间模型价'!H:J,3,0)</f>
        <v>#REF!</v>
      </c>
      <c r="D191" s="12"/>
      <c r="E191" s="12"/>
      <c r="F191" s="12"/>
      <c r="G191" s="12"/>
      <c r="H191" s="12" t="e">
        <f t="shared" si="6"/>
        <v>#REF!</v>
      </c>
      <c r="I191" s="94"/>
    </row>
    <row r="192" spans="1:9">
      <c r="A192" s="71" t="e">
        <f>'【3-2】大区&amp;运营中心填-房间模型价'!#REF!</f>
        <v>#REF!</v>
      </c>
      <c r="B192" s="71" t="e">
        <f>'【3-2】大区&amp;运营中心填-房间模型价'!#REF!</f>
        <v>#REF!</v>
      </c>
      <c r="C192" s="91" t="e">
        <f>VLOOKUP(A192,'【3-2】大区&amp;运营中心填-房间模型价'!H:J,3,0)</f>
        <v>#REF!</v>
      </c>
      <c r="D192" s="12"/>
      <c r="E192" s="12"/>
      <c r="F192" s="12"/>
      <c r="G192" s="12"/>
      <c r="H192" s="12" t="e">
        <f t="shared" si="6"/>
        <v>#REF!</v>
      </c>
      <c r="I192" s="94"/>
    </row>
    <row r="193" spans="1:9">
      <c r="A193" s="71" t="e">
        <f>'【3-2】大区&amp;运营中心填-房间模型价'!#REF!</f>
        <v>#REF!</v>
      </c>
      <c r="B193" s="71" t="e">
        <f>'【3-2】大区&amp;运营中心填-房间模型价'!#REF!</f>
        <v>#REF!</v>
      </c>
      <c r="C193" s="91" t="e">
        <f>VLOOKUP(A193,'【3-2】大区&amp;运营中心填-房间模型价'!H:J,3,0)</f>
        <v>#REF!</v>
      </c>
      <c r="D193" s="12"/>
      <c r="E193" s="12"/>
      <c r="F193" s="12"/>
      <c r="G193" s="12"/>
      <c r="H193" s="12" t="e">
        <f t="shared" si="6"/>
        <v>#REF!</v>
      </c>
      <c r="I193" s="94"/>
    </row>
    <row r="194" spans="1:9">
      <c r="A194" s="71" t="e">
        <f>'【3-2】大区&amp;运营中心填-房间模型价'!#REF!</f>
        <v>#REF!</v>
      </c>
      <c r="B194" s="71" t="e">
        <f>'【3-2】大区&amp;运营中心填-房间模型价'!#REF!</f>
        <v>#REF!</v>
      </c>
      <c r="C194" s="91" t="e">
        <f>VLOOKUP(A194,'【3-2】大区&amp;运营中心填-房间模型价'!H:J,3,0)</f>
        <v>#REF!</v>
      </c>
      <c r="D194" s="12"/>
      <c r="E194" s="12"/>
      <c r="F194" s="12"/>
      <c r="G194" s="12"/>
      <c r="H194" s="12" t="e">
        <f t="shared" si="6"/>
        <v>#REF!</v>
      </c>
      <c r="I194" s="94"/>
    </row>
    <row r="195" spans="1:9">
      <c r="A195" s="71" t="e">
        <f>'【3-2】大区&amp;运营中心填-房间模型价'!#REF!</f>
        <v>#REF!</v>
      </c>
      <c r="B195" s="71" t="e">
        <f>'【3-2】大区&amp;运营中心填-房间模型价'!#REF!</f>
        <v>#REF!</v>
      </c>
      <c r="C195" s="91" t="e">
        <f>VLOOKUP(A195,'【3-2】大区&amp;运营中心填-房间模型价'!H:J,3,0)</f>
        <v>#REF!</v>
      </c>
      <c r="D195" s="12"/>
      <c r="E195" s="12"/>
      <c r="F195" s="12"/>
      <c r="G195" s="12"/>
      <c r="H195" s="12" t="e">
        <f t="shared" si="6"/>
        <v>#REF!</v>
      </c>
      <c r="I195" s="94"/>
    </row>
    <row r="196" spans="1:9">
      <c r="A196" s="71" t="e">
        <f>'【3-2】大区&amp;运营中心填-房间模型价'!#REF!</f>
        <v>#REF!</v>
      </c>
      <c r="B196" s="71" t="e">
        <f>'【3-2】大区&amp;运营中心填-房间模型价'!#REF!</f>
        <v>#REF!</v>
      </c>
      <c r="C196" s="91" t="e">
        <f>VLOOKUP(A196,'【3-2】大区&amp;运营中心填-房间模型价'!H:J,3,0)</f>
        <v>#REF!</v>
      </c>
      <c r="D196" s="12"/>
      <c r="E196" s="12"/>
      <c r="F196" s="12"/>
      <c r="G196" s="12"/>
      <c r="H196" s="12" t="e">
        <f t="shared" si="6"/>
        <v>#REF!</v>
      </c>
      <c r="I196" s="94"/>
    </row>
    <row r="197" spans="1:9">
      <c r="A197" s="71" t="e">
        <f>'【3-2】大区&amp;运营中心填-房间模型价'!#REF!</f>
        <v>#REF!</v>
      </c>
      <c r="B197" s="71" t="e">
        <f>'【3-2】大区&amp;运营中心填-房间模型价'!#REF!</f>
        <v>#REF!</v>
      </c>
      <c r="C197" s="91" t="e">
        <f>VLOOKUP(A197,'【3-2】大区&amp;运营中心填-房间模型价'!H:J,3,0)</f>
        <v>#REF!</v>
      </c>
      <c r="D197" s="12"/>
      <c r="E197" s="12"/>
      <c r="F197" s="12"/>
      <c r="G197" s="12"/>
      <c r="H197" s="12" t="e">
        <f t="shared" si="6"/>
        <v>#REF!</v>
      </c>
      <c r="I197" s="94"/>
    </row>
    <row r="198" spans="1:9">
      <c r="A198" s="71" t="e">
        <f>'【3-2】大区&amp;运营中心填-房间模型价'!#REF!</f>
        <v>#REF!</v>
      </c>
      <c r="B198" s="71" t="e">
        <f>'【3-2】大区&amp;运营中心填-房间模型价'!#REF!</f>
        <v>#REF!</v>
      </c>
      <c r="C198" s="91" t="e">
        <f>VLOOKUP(A198,'【3-2】大区&amp;运营中心填-房间模型价'!H:J,3,0)</f>
        <v>#REF!</v>
      </c>
      <c r="D198" s="12"/>
      <c r="E198" s="12"/>
      <c r="F198" s="12"/>
      <c r="G198" s="12"/>
      <c r="H198" s="12" t="e">
        <f t="shared" si="6"/>
        <v>#REF!</v>
      </c>
      <c r="I198" s="94"/>
    </row>
    <row r="199" spans="1:9">
      <c r="A199" s="71" t="e">
        <f>'【3-2】大区&amp;运营中心填-房间模型价'!#REF!</f>
        <v>#REF!</v>
      </c>
      <c r="B199" s="71" t="e">
        <f>'【3-2】大区&amp;运营中心填-房间模型价'!#REF!</f>
        <v>#REF!</v>
      </c>
      <c r="C199" s="91" t="e">
        <f>VLOOKUP(A199,'【3-2】大区&amp;运营中心填-房间模型价'!H:J,3,0)</f>
        <v>#REF!</v>
      </c>
      <c r="D199" s="12"/>
      <c r="E199" s="12"/>
      <c r="F199" s="12"/>
      <c r="G199" s="12"/>
      <c r="H199" s="12" t="e">
        <f t="shared" si="6"/>
        <v>#REF!</v>
      </c>
      <c r="I199" s="94"/>
    </row>
    <row r="200" spans="1:9">
      <c r="A200" s="71" t="e">
        <f>'【3-2】大区&amp;运营中心填-房间模型价'!#REF!</f>
        <v>#REF!</v>
      </c>
      <c r="B200" s="71" t="e">
        <f>'【3-2】大区&amp;运营中心填-房间模型价'!#REF!</f>
        <v>#REF!</v>
      </c>
      <c r="C200" s="91" t="e">
        <f>VLOOKUP(A200,'【3-2】大区&amp;运营中心填-房间模型价'!H:J,3,0)</f>
        <v>#REF!</v>
      </c>
      <c r="D200" s="12"/>
      <c r="E200" s="12"/>
      <c r="F200" s="12"/>
      <c r="G200" s="12"/>
      <c r="H200" s="12" t="e">
        <f t="shared" si="6"/>
        <v>#REF!</v>
      </c>
      <c r="I200" s="94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3"/>
  <sheetViews>
    <sheetView tabSelected="1" workbookViewId="0">
      <pane xSplit="8" topLeftCell="I1" activePane="topRight" state="frozen"/>
      <selection/>
      <selection pane="topRight" activeCell="AP19" sqref="AP19"/>
    </sheetView>
  </sheetViews>
  <sheetFormatPr defaultColWidth="8.5" defaultRowHeight="14"/>
  <cols>
    <col min="1" max="1" width="17.625" style="67" customWidth="1"/>
    <col min="2" max="7" width="10.625" style="67" hidden="1" customWidth="1"/>
    <col min="8" max="8" width="10.625" style="67" customWidth="1"/>
    <col min="9" max="9" width="14" style="67" customWidth="1"/>
    <col min="10" max="10" width="11.625" style="67" customWidth="1"/>
    <col min="11" max="11" width="11.625" style="67" hidden="1" customWidth="1"/>
    <col min="12" max="12" width="14.375" style="68" customWidth="1"/>
    <col min="13" max="14" width="13.375" style="67" hidden="1" customWidth="1" outlineLevel="1"/>
    <col min="15" max="15" width="9.625" hidden="1" customWidth="1" outlineLevel="1"/>
    <col min="16" max="16" width="11.375" style="8" hidden="1" customWidth="1" outlineLevel="1"/>
    <col min="17" max="17" width="9.625" style="8" hidden="1" customWidth="1" outlineLevel="1"/>
    <col min="18" max="18" width="12.625" style="8" hidden="1" customWidth="1" outlineLevel="1"/>
    <col min="19" max="19" width="9.625" hidden="1" customWidth="1" outlineLevel="1"/>
    <col min="20" max="20" width="12.625" hidden="1" customWidth="1" outlineLevel="1"/>
    <col min="21" max="29" width="9.625" hidden="1" customWidth="1" outlineLevel="1"/>
    <col min="30" max="30" width="25.125" hidden="1" customWidth="1" outlineLevel="1"/>
    <col min="31" max="31" width="17.75" hidden="1" customWidth="1" outlineLevel="1"/>
    <col min="32" max="32" width="25.125" hidden="1" customWidth="1" outlineLevel="1"/>
    <col min="33" max="33" width="9.625" hidden="1" customWidth="1" outlineLevel="1"/>
    <col min="34" max="34" width="25.125" hidden="1" customWidth="1" outlineLevel="1"/>
    <col min="35" max="35" width="20" hidden="1" customWidth="1" outlineLevel="1"/>
    <col min="36" max="36" width="13.625" hidden="1" customWidth="1" outlineLevel="1"/>
    <col min="37" max="37" width="9.625" hidden="1" customWidth="1" outlineLevel="1"/>
    <col min="38" max="38" width="11.625" style="11" customWidth="1" collapsed="1"/>
    <col min="39" max="39" width="11" style="8" customWidth="1"/>
    <col min="40" max="40" width="8.75"/>
  </cols>
  <sheetData>
    <row r="1" ht="16.15" customHeight="1" spans="1:40">
      <c r="A1" s="69" t="s">
        <v>417</v>
      </c>
      <c r="B1" s="69" t="s">
        <v>443</v>
      </c>
      <c r="C1" s="69" t="s">
        <v>444</v>
      </c>
      <c r="D1" s="69" t="s">
        <v>445</v>
      </c>
      <c r="E1" s="69" t="s">
        <v>446</v>
      </c>
      <c r="F1" s="69" t="s">
        <v>447</v>
      </c>
      <c r="G1" s="69" t="s">
        <v>448</v>
      </c>
      <c r="H1" s="69" t="s">
        <v>423</v>
      </c>
      <c r="I1" s="69" t="s">
        <v>336</v>
      </c>
      <c r="J1" s="69" t="s">
        <v>36</v>
      </c>
      <c r="K1" s="69" t="s">
        <v>248</v>
      </c>
      <c r="L1" s="70" t="s">
        <v>421</v>
      </c>
      <c r="M1" s="71" t="s">
        <v>57</v>
      </c>
      <c r="N1" s="71" t="s">
        <v>449</v>
      </c>
      <c r="O1" s="71" t="s">
        <v>419</v>
      </c>
      <c r="P1" s="71" t="s">
        <v>67</v>
      </c>
      <c r="Q1" s="71" t="s">
        <v>420</v>
      </c>
      <c r="R1" s="71" t="s">
        <v>68</v>
      </c>
      <c r="S1" s="71" t="s">
        <v>450</v>
      </c>
      <c r="T1" s="71" t="s">
        <v>104</v>
      </c>
      <c r="U1" s="71" t="s">
        <v>451</v>
      </c>
      <c r="V1" s="71" t="s">
        <v>452</v>
      </c>
      <c r="W1" s="71" t="s">
        <v>453</v>
      </c>
      <c r="X1" s="71" t="s">
        <v>454</v>
      </c>
      <c r="Y1" s="71" t="s">
        <v>455</v>
      </c>
      <c r="Z1" s="71" t="s">
        <v>456</v>
      </c>
      <c r="AA1" s="71" t="s">
        <v>457</v>
      </c>
      <c r="AB1" s="71" t="s">
        <v>458</v>
      </c>
      <c r="AC1" s="71" t="s">
        <v>459</v>
      </c>
      <c r="AD1" s="71" t="str">
        <f>【1】定价因子!$C$35</f>
        <v>功能配置（开间）</v>
      </c>
      <c r="AE1" s="71" t="s">
        <v>460</v>
      </c>
      <c r="AF1" s="71" t="str">
        <f>【1】定价因子!$C$47</f>
        <v>功能配置（一居）</v>
      </c>
      <c r="AG1" s="72" t="s">
        <v>461</v>
      </c>
      <c r="AH1" s="71" t="str">
        <f>【1】定价因子!$C$54</f>
        <v>功能配置（二居）</v>
      </c>
      <c r="AI1" s="72" t="s">
        <v>462</v>
      </c>
      <c r="AJ1" s="73" t="s">
        <v>119</v>
      </c>
      <c r="AK1" s="71" t="s">
        <v>463</v>
      </c>
      <c r="AL1" s="74" t="s">
        <v>464</v>
      </c>
      <c r="AM1" s="75" t="s">
        <v>465</v>
      </c>
      <c r="AN1" s="76" t="s">
        <v>466</v>
      </c>
    </row>
    <row r="2" ht="16.9" customHeight="1" spans="1:40">
      <c r="A2" s="77" t="str">
        <f>'【2】运营中心填-基本信息&amp;审核标准'!$E$2</f>
        <v>兴围中6-20栋</v>
      </c>
      <c r="B2" s="12">
        <f>INT(H2/100)</f>
        <v>1</v>
      </c>
      <c r="C2" s="12">
        <f t="shared" ref="C2:C43" si="0">COUNTIF($B$2:$B$43,B2)</f>
        <v>6</v>
      </c>
      <c r="D2" s="12">
        <f t="shared" ref="D2:D43" si="1">COUNTIF(C$2:C$43,C2)</f>
        <v>42</v>
      </c>
      <c r="E2" s="12">
        <f>MAX(D2:D43)</f>
        <v>42</v>
      </c>
      <c r="F2" s="12">
        <f>IF(D2=$E$2,C2,"")</f>
        <v>6</v>
      </c>
      <c r="G2" s="12">
        <f>MAX(F2:F43)</f>
        <v>6</v>
      </c>
      <c r="H2" s="78">
        <v>101</v>
      </c>
      <c r="I2" s="79" t="s">
        <v>467</v>
      </c>
      <c r="J2" s="79" t="s">
        <v>43</v>
      </c>
      <c r="K2" s="12" t="str">
        <f t="array" ref="K2">IFERROR(INDEX($J$2:$J$43,MATCH(0,IF(ISBLANK($J$2:$J$43),1,COUNTIF($K$1:K1,$J$2:$J$43)),0)),"")</f>
        <v>一居室</v>
      </c>
      <c r="L2" s="80">
        <f>VLOOKUP(J2,'【3】大区填-楼栋基准格局定价'!B:H,7,0)</f>
        <v>2329.056</v>
      </c>
      <c r="M2" s="81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81">
        <v>20.15</v>
      </c>
      <c r="O2" s="72">
        <f>VLOOKUP($M$1&amp;M2,【1】定价因子!E:F,2,0)</f>
        <v>0.95</v>
      </c>
      <c r="P2" s="72" t="str">
        <f>IF(COUNTIFS(户型资产表!D:D,I2,户型资产表!G:G,"阳台门")&gt;0,"有","无")</f>
        <v>无</v>
      </c>
      <c r="Q2" s="72">
        <f>VLOOKUP($P$1&amp;P2,【1】定价因子!E:F,2,0)</f>
        <v>1</v>
      </c>
      <c r="R2" s="72" t="str">
        <f>IF('【2】运营中心填-基本信息&amp;审核标准'!$C$4="是","无",IF(INT(H2/100)&gt;9,"9F",INT(H2/100)&amp;"F"))</f>
        <v>1F</v>
      </c>
      <c r="S2" s="72">
        <f>VLOOKUP(R2,【1】定价因子!D:F,3,0)</f>
        <v>0.91</v>
      </c>
      <c r="T2" s="72" t="str">
        <f>IF('【2】运营中心填-基本信息&amp;审核标准'!$C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72">
        <f>VLOOKUP($T$1&amp;T2,【1】定价因子!E:F,2,0)</f>
        <v>1</v>
      </c>
      <c r="V2" s="72" t="str">
        <f>IF(COUNTIFS(户型资产表!D:D,I2,户型资产表!G:G,"操作台")&gt;0,"有","无")</f>
        <v>有</v>
      </c>
      <c r="W2" s="72" t="str">
        <f>IF(COUNTIFS(户型资产表!D:D,I2,户型资产表!G:G,"书桌")&gt;0,"有","无")</f>
        <v>无</v>
      </c>
      <c r="X2" s="72" t="str">
        <f>IF(COUNTIFS(户型资产表!D:D,I2,户型资产表!H:H,"单人沙发02")&gt;0,"有","无")</f>
        <v>无</v>
      </c>
      <c r="Y2" s="72" t="str">
        <f>IF(COUNTIFS(户型资产表!D:D,I2,户型资产表!H:H,"双人沙发01")&gt;0,"有","无")</f>
        <v>无</v>
      </c>
      <c r="Z2" s="72" t="str">
        <f>IF(COUNTIFS(户型资产表!D:D,I2,户型资产表!G:G,"餐桌")&gt;0,"有","无")</f>
        <v>有</v>
      </c>
      <c r="AA2" s="72" t="str">
        <f>IF(COUNTIFS(户型资产表!D:D,I2,户型资产表!G:G,"吸油烟机")&gt;0,"有","无")</f>
        <v>无</v>
      </c>
      <c r="AB2" s="72" t="str">
        <f>IF(COUNTIFS(户型资产表!D:D,I2,户型资产表!G:G,"冰箱")&gt;0,"有","无")</f>
        <v>无</v>
      </c>
      <c r="AC2" s="72" t="str">
        <f>IF(COUNTIFS(户型资产表!D:D,I2,户型资产表!G:G,"电视柜")&gt;0,"有","无")</f>
        <v>无</v>
      </c>
      <c r="AD2" s="81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72">
        <f>VLOOKUP($AD$1&amp;AD2,【1】定价因子!E:F,2,0)</f>
        <v>1</v>
      </c>
      <c r="AF2" s="81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缺失（操作台/双人沙发）</v>
      </c>
      <c r="AG2" s="72">
        <f>VLOOKUP($AF$1&amp;AF2,【1】定价因子!$E:$F,2,0)</f>
        <v>0.96</v>
      </c>
      <c r="AH2" s="81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72">
        <f>VLOOKUP($AH$1&amp;AH2,【1】定价因子!$E:$F,2,0)</f>
        <v>1</v>
      </c>
      <c r="AJ2" s="72" t="str">
        <f>VLOOKUP(H2,'【3-1】大区填-采光基本要素'!A:H,8,0)</f>
        <v>4</v>
      </c>
      <c r="AK2" s="72">
        <f>VLOOKUP($AJ$1&amp;AJ2,【1】定价因子!$E:$F,2,0)</f>
        <v>1.03</v>
      </c>
      <c r="AL2" s="82">
        <f>L2*PRODUCT(AG2,AK2,AE2,U2,S2,Q2,O2)</f>
        <v>1990.9180601856</v>
      </c>
      <c r="AM2" s="10">
        <v>1920</v>
      </c>
      <c r="AN2" s="83">
        <f>AM2/AL2-1</f>
        <v>-0.0356207829964578</v>
      </c>
    </row>
    <row r="3" spans="1:40">
      <c r="A3" s="77" t="str">
        <f>'【2】运营中心填-基本信息&amp;审核标准'!$E$2</f>
        <v>兴围中6-20栋</v>
      </c>
      <c r="B3" s="12">
        <f t="shared" ref="B3:B34" si="2">INT(H3/100)</f>
        <v>1</v>
      </c>
      <c r="C3" s="12">
        <f t="shared" si="0"/>
        <v>6</v>
      </c>
      <c r="D3" s="12">
        <f t="shared" si="1"/>
        <v>42</v>
      </c>
      <c r="E3" s="12"/>
      <c r="F3" s="12">
        <f t="shared" ref="F3:F34" si="3">IF(D3=$E$2,C3,"")</f>
        <v>6</v>
      </c>
      <c r="G3" s="12"/>
      <c r="H3" s="78">
        <v>102</v>
      </c>
      <c r="I3" s="79" t="s">
        <v>468</v>
      </c>
      <c r="J3" s="79" t="s">
        <v>40</v>
      </c>
      <c r="K3" s="12" t="str">
        <f t="array" ref="K3">IFERROR(INDEX($J$2:$J$43,MATCH(0,IF(ISBLANK($J$2:$J$43),1,COUNTIF($K$1:K2,$J$2:$J$43)),0)),"")</f>
        <v>开间</v>
      </c>
      <c r="L3" s="80">
        <f>VLOOKUP(J3,'【3】大区填-楼栋基准格局定价'!B:H,7,0)</f>
        <v>1569.408</v>
      </c>
      <c r="M3" s="81" t="str">
        <f t="shared" ref="M3:M34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81">
        <v>13.04</v>
      </c>
      <c r="O3" s="72">
        <f>VLOOKUP($M$1&amp;M3,【1】定价因子!E:F,2,0)</f>
        <v>1</v>
      </c>
      <c r="P3" s="72" t="str">
        <f>IF(COUNTIFS(户型资产表!D:D,I3,户型资产表!G:G,"阳台门")&gt;0,"有","无")</f>
        <v>无</v>
      </c>
      <c r="Q3" s="72">
        <f>VLOOKUP($P$1&amp;P3,【1】定价因子!E:F,2,0)</f>
        <v>1</v>
      </c>
      <c r="R3" s="72" t="str">
        <f>IF('【2】运营中心填-基本信息&amp;审核标准'!$C$4="是","无",IF(INT(H3/100)&gt;9,"9F",INT(H3/100)&amp;"F"))</f>
        <v>1F</v>
      </c>
      <c r="S3" s="72">
        <f>VLOOKUP(R3,【1】定价因子!D:F,3,0)</f>
        <v>0.91</v>
      </c>
      <c r="T3" s="72" t="str">
        <f>IF('【2】运营中心填-基本信息&amp;审核标准'!$C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72">
        <f>VLOOKUP($T$1&amp;T3,【1】定价因子!E:F,2,0)</f>
        <v>1</v>
      </c>
      <c r="V3" s="72" t="str">
        <f>IF(COUNTIFS(户型资产表!D:D,I3,户型资产表!G:G,"操作台")&gt;0,"有","无")</f>
        <v>有</v>
      </c>
      <c r="W3" s="72" t="str">
        <f>IF(COUNTIFS(户型资产表!D:D,I3,户型资产表!G:G,"书桌")&gt;0,"有","无")</f>
        <v>有</v>
      </c>
      <c r="X3" s="72" t="str">
        <f>IF(COUNTIFS(户型资产表!D:D,I3,户型资产表!H:H,"单人沙发02")&gt;0,"有","无")</f>
        <v>无</v>
      </c>
      <c r="Y3" s="72" t="str">
        <f>IF(COUNTIFS(户型资产表!D:D,I3,户型资产表!H:H,"双人沙发01")&gt;0,"有","无")</f>
        <v>无</v>
      </c>
      <c r="Z3" s="72" t="str">
        <f>IF(COUNTIFS(户型资产表!D:D,I3,户型资产表!G:G,"餐桌")&gt;0,"有","无")</f>
        <v>无</v>
      </c>
      <c r="AA3" s="72" t="str">
        <f>IF(COUNTIFS(户型资产表!D:D,I3,户型资产表!G:G,"吸油烟机")&gt;0,"有","无")</f>
        <v>无</v>
      </c>
      <c r="AB3" s="72" t="str">
        <f>IF(COUNTIFS(户型资产表!D:D,I3,户型资产表!G:G,"冰箱")&gt;0,"有","无")</f>
        <v>无</v>
      </c>
      <c r="AC3" s="72" t="str">
        <f>IF(COUNTIFS(户型资产表!D:D,I3,户型资产表!G:G,"电视柜")&gt;0,"有","无")</f>
        <v>无</v>
      </c>
      <c r="AD3" s="81" t="str">
        <f t="shared" ref="AD3:AD34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72">
        <f>VLOOKUP($AD$1&amp;AD3,【1】定价因子!E:F,2,0)</f>
        <v>1</v>
      </c>
      <c r="AF3" s="81" t="str">
        <f t="shared" ref="AF3:AF34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72">
        <f>VLOOKUP($AF$1&amp;AF3,【1】定价因子!$E:$F,2,0)</f>
        <v>1</v>
      </c>
      <c r="AH3" s="81" t="str">
        <f t="shared" ref="AH3:AH34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72">
        <f>VLOOKUP($AH$1&amp;AH3,【1】定价因子!$E:$F,2,0)</f>
        <v>1</v>
      </c>
      <c r="AJ3" s="72" t="str">
        <f>VLOOKUP(H3,'【3-1】大区填-采光基本要素'!A:H,8,0)</f>
        <v>1</v>
      </c>
      <c r="AK3" s="72">
        <f>VLOOKUP($AJ$1&amp;AJ3,【1】定价因子!$E:$F,2,0)</f>
        <v>0.91</v>
      </c>
      <c r="AL3" s="82">
        <f t="shared" ref="AL3:AL34" si="8">L3*PRODUCT(AG3,AK3,AE3,U3,S3,Q3,O3)</f>
        <v>1299.6267648</v>
      </c>
      <c r="AM3" s="84">
        <v>1200</v>
      </c>
      <c r="AN3" s="83">
        <f t="shared" ref="AN3:AN34" si="9">AM3/AL3-1</f>
        <v>-0.0766579817362654</v>
      </c>
    </row>
    <row r="4" spans="1:40">
      <c r="A4" s="77" t="str">
        <f>'【2】运营中心填-基本信息&amp;审核标准'!$E$2</f>
        <v>兴围中6-20栋</v>
      </c>
      <c r="B4" s="12">
        <f t="shared" si="2"/>
        <v>1</v>
      </c>
      <c r="C4" s="12">
        <f t="shared" si="0"/>
        <v>6</v>
      </c>
      <c r="D4" s="12">
        <f t="shared" si="1"/>
        <v>42</v>
      </c>
      <c r="E4" s="12"/>
      <c r="F4" s="12">
        <f t="shared" si="3"/>
        <v>6</v>
      </c>
      <c r="G4" s="12"/>
      <c r="H4" s="78">
        <v>103</v>
      </c>
      <c r="I4" s="79" t="s">
        <v>469</v>
      </c>
      <c r="J4" s="79" t="s">
        <v>40</v>
      </c>
      <c r="K4" s="12" t="str">
        <f t="array" ref="K4">IFERROR(INDEX($J$2:$J$43,MATCH(0,IF(ISBLANK($J$2:$J$43),1,COUNTIF($K$1:K3,$J$2:$J$43)),0)),"")</f>
        <v/>
      </c>
      <c r="L4" s="80">
        <f>VLOOKUP(J4,'【3】大区填-楼栋基准格局定价'!B:H,7,0)</f>
        <v>1569.408</v>
      </c>
      <c r="M4" s="81" t="str">
        <f t="shared" si="4"/>
        <v>适中</v>
      </c>
      <c r="N4" s="81">
        <v>13.28</v>
      </c>
      <c r="O4" s="72">
        <f>VLOOKUP($M$1&amp;M4,【1】定价因子!E:F,2,0)</f>
        <v>1</v>
      </c>
      <c r="P4" s="72" t="str">
        <f>IF(COUNTIFS(户型资产表!D:D,I4,户型资产表!G:G,"阳台门")&gt;0,"有","无")</f>
        <v>无</v>
      </c>
      <c r="Q4" s="72">
        <f>VLOOKUP($P$1&amp;P4,【1】定价因子!E:F,2,0)</f>
        <v>1</v>
      </c>
      <c r="R4" s="72" t="str">
        <f>IF('【2】运营中心填-基本信息&amp;审核标准'!$C$4="是","无",IF(INT(H4/100)&gt;9,"9F",INT(H4/100)&amp;"F"))</f>
        <v>1F</v>
      </c>
      <c r="S4" s="72">
        <f>VLOOKUP(R4,【1】定价因子!D:F,3,0)</f>
        <v>0.91</v>
      </c>
      <c r="T4" s="72" t="str">
        <f>IF('【2】运营中心填-基本信息&amp;审核标准'!$C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72">
        <f>VLOOKUP($T$1&amp;T4,【1】定价因子!E:F,2,0)</f>
        <v>1</v>
      </c>
      <c r="V4" s="72" t="str">
        <f>IF(COUNTIFS(户型资产表!D:D,I4,户型资产表!G:G,"操作台")&gt;0,"有","无")</f>
        <v>有</v>
      </c>
      <c r="W4" s="72" t="str">
        <f>IF(COUNTIFS(户型资产表!D:D,I4,户型资产表!G:G,"书桌")&gt;0,"有","无")</f>
        <v>有</v>
      </c>
      <c r="X4" s="72" t="str">
        <f>IF(COUNTIFS(户型资产表!D:D,I4,户型资产表!H:H,"单人沙发02")&gt;0,"有","无")</f>
        <v>无</v>
      </c>
      <c r="Y4" s="72" t="str">
        <f>IF(COUNTIFS(户型资产表!D:D,I4,户型资产表!H:H,"双人沙发01")&gt;0,"有","无")</f>
        <v>无</v>
      </c>
      <c r="Z4" s="72" t="str">
        <f>IF(COUNTIFS(户型资产表!D:D,I4,户型资产表!G:G,"餐桌")&gt;0,"有","无")</f>
        <v>无</v>
      </c>
      <c r="AA4" s="72" t="str">
        <f>IF(COUNTIFS(户型资产表!D:D,I4,户型资产表!G:G,"吸油烟机")&gt;0,"有","无")</f>
        <v>无</v>
      </c>
      <c r="AB4" s="72" t="str">
        <f>IF(COUNTIFS(户型资产表!D:D,I4,户型资产表!G:G,"冰箱")&gt;0,"有","无")</f>
        <v>无</v>
      </c>
      <c r="AC4" s="72" t="str">
        <f>IF(COUNTIFS(户型资产表!D:D,I4,户型资产表!G:G,"电视柜")&gt;0,"有","无")</f>
        <v>无</v>
      </c>
      <c r="AD4" s="81" t="str">
        <f t="shared" si="5"/>
        <v>适中</v>
      </c>
      <c r="AE4" s="72">
        <f>VLOOKUP($AD$1&amp;AD4,【1】定价因子!E:F,2,0)</f>
        <v>1</v>
      </c>
      <c r="AF4" s="81" t="str">
        <f t="shared" si="6"/>
        <v>适中</v>
      </c>
      <c r="AG4" s="72">
        <f>VLOOKUP($AF$1&amp;AF4,【1】定价因子!$E:$F,2,0)</f>
        <v>1</v>
      </c>
      <c r="AH4" s="81" t="str">
        <f t="shared" si="7"/>
        <v>适中</v>
      </c>
      <c r="AI4" s="72">
        <f>VLOOKUP($AH$1&amp;AH4,【1】定价因子!$E:$F,2,0)</f>
        <v>1</v>
      </c>
      <c r="AJ4" s="72" t="str">
        <f>VLOOKUP(H4,'【3-1】大区填-采光基本要素'!A:H,8,0)</f>
        <v>1</v>
      </c>
      <c r="AK4" s="72">
        <f>VLOOKUP($AJ$1&amp;AJ4,【1】定价因子!$E:$F,2,0)</f>
        <v>0.91</v>
      </c>
      <c r="AL4" s="82">
        <f t="shared" si="8"/>
        <v>1299.6267648</v>
      </c>
      <c r="AM4" s="84">
        <v>1200</v>
      </c>
      <c r="AN4" s="83">
        <f t="shared" si="9"/>
        <v>-0.0766579817362654</v>
      </c>
    </row>
    <row r="5" spans="1:40">
      <c r="A5" s="77" t="str">
        <f>'【2】运营中心填-基本信息&amp;审核标准'!$E$2</f>
        <v>兴围中6-20栋</v>
      </c>
      <c r="B5" s="12">
        <f t="shared" si="2"/>
        <v>1</v>
      </c>
      <c r="C5" s="12">
        <f t="shared" si="0"/>
        <v>6</v>
      </c>
      <c r="D5" s="12">
        <f t="shared" si="1"/>
        <v>42</v>
      </c>
      <c r="E5" s="12"/>
      <c r="F5" s="12">
        <f t="shared" si="3"/>
        <v>6</v>
      </c>
      <c r="G5" s="12"/>
      <c r="H5" s="78">
        <v>104</v>
      </c>
      <c r="I5" s="79" t="s">
        <v>469</v>
      </c>
      <c r="J5" s="79" t="s">
        <v>40</v>
      </c>
      <c r="K5" s="12" t="str">
        <f t="array" ref="K5">IFERROR(INDEX($J$2:$J$43,MATCH(0,IF(ISBLANK($J$2:$J$43),1,COUNTIF($K$1:K4,$J$2:$J$43)),0)),"")</f>
        <v/>
      </c>
      <c r="L5" s="80">
        <f>VLOOKUP(J5,'【3】大区填-楼栋基准格局定价'!B:H,7,0)</f>
        <v>1569.408</v>
      </c>
      <c r="M5" s="81" t="str">
        <f t="shared" si="4"/>
        <v>适中</v>
      </c>
      <c r="N5" s="81">
        <v>13.04</v>
      </c>
      <c r="O5" s="72">
        <f>VLOOKUP($M$1&amp;M5,【1】定价因子!E:F,2,0)</f>
        <v>1</v>
      </c>
      <c r="P5" s="72" t="str">
        <f>IF(COUNTIFS(户型资产表!D:D,I5,户型资产表!G:G,"阳台门")&gt;0,"有","无")</f>
        <v>无</v>
      </c>
      <c r="Q5" s="72">
        <f>VLOOKUP($P$1&amp;P5,【1】定价因子!E:F,2,0)</f>
        <v>1</v>
      </c>
      <c r="R5" s="72" t="str">
        <f>IF('【2】运营中心填-基本信息&amp;审核标准'!$C$4="是","无",IF(INT(H5/100)&gt;9,"9F",INT(H5/100)&amp;"F"))</f>
        <v>1F</v>
      </c>
      <c r="S5" s="72">
        <f>VLOOKUP(R5,【1】定价因子!D:F,3,0)</f>
        <v>0.91</v>
      </c>
      <c r="T5" s="72" t="str">
        <f>IF('【2】运营中心填-基本信息&amp;审核标准'!$C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72">
        <f>VLOOKUP($T$1&amp;T5,【1】定价因子!E:F,2,0)</f>
        <v>1</v>
      </c>
      <c r="V5" s="72" t="str">
        <f>IF(COUNTIFS(户型资产表!D:D,I5,户型资产表!G:G,"操作台")&gt;0,"有","无")</f>
        <v>有</v>
      </c>
      <c r="W5" s="72" t="str">
        <f>IF(COUNTIFS(户型资产表!D:D,I5,户型资产表!G:G,"书桌")&gt;0,"有","无")</f>
        <v>有</v>
      </c>
      <c r="X5" s="72" t="str">
        <f>IF(COUNTIFS(户型资产表!D:D,I5,户型资产表!H:H,"单人沙发02")&gt;0,"有","无")</f>
        <v>无</v>
      </c>
      <c r="Y5" s="72" t="str">
        <f>IF(COUNTIFS(户型资产表!D:D,I5,户型资产表!H:H,"双人沙发01")&gt;0,"有","无")</f>
        <v>无</v>
      </c>
      <c r="Z5" s="72" t="str">
        <f>IF(COUNTIFS(户型资产表!D:D,I5,户型资产表!G:G,"餐桌")&gt;0,"有","无")</f>
        <v>无</v>
      </c>
      <c r="AA5" s="72" t="str">
        <f>IF(COUNTIFS(户型资产表!D:D,I5,户型资产表!G:G,"吸油烟机")&gt;0,"有","无")</f>
        <v>无</v>
      </c>
      <c r="AB5" s="72" t="str">
        <f>IF(COUNTIFS(户型资产表!D:D,I5,户型资产表!G:G,"冰箱")&gt;0,"有","无")</f>
        <v>无</v>
      </c>
      <c r="AC5" s="72" t="str">
        <f>IF(COUNTIFS(户型资产表!D:D,I5,户型资产表!G:G,"电视柜")&gt;0,"有","无")</f>
        <v>无</v>
      </c>
      <c r="AD5" s="81" t="str">
        <f t="shared" si="5"/>
        <v>适中</v>
      </c>
      <c r="AE5" s="72">
        <f>VLOOKUP($AD$1&amp;AD5,【1】定价因子!E:F,2,0)</f>
        <v>1</v>
      </c>
      <c r="AF5" s="81" t="str">
        <f t="shared" si="6"/>
        <v>适中</v>
      </c>
      <c r="AG5" s="72">
        <f>VLOOKUP($AF$1&amp;AF5,【1】定价因子!$E:$F,2,0)</f>
        <v>1</v>
      </c>
      <c r="AH5" s="81" t="str">
        <f t="shared" si="7"/>
        <v>适中</v>
      </c>
      <c r="AI5" s="72">
        <f>VLOOKUP($AH$1&amp;AH5,【1】定价因子!$E:$F,2,0)</f>
        <v>1</v>
      </c>
      <c r="AJ5" s="72" t="str">
        <f>VLOOKUP(H5,'【3-1】大区填-采光基本要素'!A:H,8,0)</f>
        <v>1</v>
      </c>
      <c r="AK5" s="72">
        <f>VLOOKUP($AJ$1&amp;AJ5,【1】定价因子!$E:$F,2,0)</f>
        <v>0.91</v>
      </c>
      <c r="AL5" s="82">
        <f t="shared" si="8"/>
        <v>1299.6267648</v>
      </c>
      <c r="AM5" s="84">
        <v>1200</v>
      </c>
      <c r="AN5" s="83">
        <f t="shared" si="9"/>
        <v>-0.0766579817362654</v>
      </c>
    </row>
    <row r="6" spans="1:40">
      <c r="A6" s="77" t="str">
        <f>'【2】运营中心填-基本信息&amp;审核标准'!$E$2</f>
        <v>兴围中6-20栋</v>
      </c>
      <c r="B6" s="12">
        <f t="shared" si="2"/>
        <v>1</v>
      </c>
      <c r="C6" s="12">
        <f t="shared" si="0"/>
        <v>6</v>
      </c>
      <c r="D6" s="12">
        <f t="shared" si="1"/>
        <v>42</v>
      </c>
      <c r="E6" s="12"/>
      <c r="F6" s="12">
        <f t="shared" si="3"/>
        <v>6</v>
      </c>
      <c r="G6" s="12"/>
      <c r="H6" s="78">
        <v>105</v>
      </c>
      <c r="I6" s="79" t="s">
        <v>468</v>
      </c>
      <c r="J6" s="79" t="s">
        <v>40</v>
      </c>
      <c r="K6" s="12" t="str">
        <f t="array" ref="K6">IFERROR(INDEX($J$2:$J$43,MATCH(0,IF(ISBLANK($J$2:$J$43),1,COUNTIF($K$1:K5,$J$2:$J$43)),0)),"")</f>
        <v/>
      </c>
      <c r="L6" s="80">
        <f>VLOOKUP(J6,'【3】大区填-楼栋基准格局定价'!B:H,7,0)</f>
        <v>1569.408</v>
      </c>
      <c r="M6" s="81" t="str">
        <f t="shared" si="4"/>
        <v>适中</v>
      </c>
      <c r="N6" s="81">
        <v>13.33</v>
      </c>
      <c r="O6" s="72">
        <f>VLOOKUP($M$1&amp;M6,【1】定价因子!E:F,2,0)</f>
        <v>1</v>
      </c>
      <c r="P6" s="72" t="str">
        <f>IF(COUNTIFS(户型资产表!D:D,I6,户型资产表!G:G,"阳台门")&gt;0,"有","无")</f>
        <v>无</v>
      </c>
      <c r="Q6" s="72">
        <f>VLOOKUP($P$1&amp;P6,【1】定价因子!E:F,2,0)</f>
        <v>1</v>
      </c>
      <c r="R6" s="72" t="str">
        <f>IF('【2】运营中心填-基本信息&amp;审核标准'!$C$4="是","无",IF(INT(H6/100)&gt;9,"9F",INT(H6/100)&amp;"F"))</f>
        <v>1F</v>
      </c>
      <c r="S6" s="72">
        <f>VLOOKUP(R6,【1】定价因子!D:F,3,0)</f>
        <v>0.91</v>
      </c>
      <c r="T6" s="72" t="str">
        <f>IF('【2】运营中心填-基本信息&amp;审核标准'!$C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72">
        <f>VLOOKUP($T$1&amp;T6,【1】定价因子!E:F,2,0)</f>
        <v>1</v>
      </c>
      <c r="V6" s="72" t="str">
        <f>IF(COUNTIFS(户型资产表!D:D,I6,户型资产表!G:G,"操作台")&gt;0,"有","无")</f>
        <v>有</v>
      </c>
      <c r="W6" s="72" t="str">
        <f>IF(COUNTIFS(户型资产表!D:D,I6,户型资产表!G:G,"书桌")&gt;0,"有","无")</f>
        <v>有</v>
      </c>
      <c r="X6" s="72" t="str">
        <f>IF(COUNTIFS(户型资产表!D:D,I6,户型资产表!H:H,"单人沙发02")&gt;0,"有","无")</f>
        <v>无</v>
      </c>
      <c r="Y6" s="72" t="str">
        <f>IF(COUNTIFS(户型资产表!D:D,I6,户型资产表!H:H,"双人沙发01")&gt;0,"有","无")</f>
        <v>无</v>
      </c>
      <c r="Z6" s="72" t="str">
        <f>IF(COUNTIFS(户型资产表!D:D,I6,户型资产表!G:G,"餐桌")&gt;0,"有","无")</f>
        <v>无</v>
      </c>
      <c r="AA6" s="72" t="str">
        <f>IF(COUNTIFS(户型资产表!D:D,I6,户型资产表!G:G,"吸油烟机")&gt;0,"有","无")</f>
        <v>无</v>
      </c>
      <c r="AB6" s="72" t="str">
        <f>IF(COUNTIFS(户型资产表!D:D,I6,户型资产表!G:G,"冰箱")&gt;0,"有","无")</f>
        <v>无</v>
      </c>
      <c r="AC6" s="72" t="str">
        <f>IF(COUNTIFS(户型资产表!D:D,I6,户型资产表!G:G,"电视柜")&gt;0,"有","无")</f>
        <v>无</v>
      </c>
      <c r="AD6" s="81" t="str">
        <f t="shared" si="5"/>
        <v>适中</v>
      </c>
      <c r="AE6" s="72">
        <f>VLOOKUP($AD$1&amp;AD6,【1】定价因子!E:F,2,0)</f>
        <v>1</v>
      </c>
      <c r="AF6" s="81" t="str">
        <f t="shared" si="6"/>
        <v>适中</v>
      </c>
      <c r="AG6" s="72">
        <f>VLOOKUP($AF$1&amp;AF6,【1】定价因子!$E:$F,2,0)</f>
        <v>1</v>
      </c>
      <c r="AH6" s="81" t="str">
        <f t="shared" si="7"/>
        <v>适中</v>
      </c>
      <c r="AI6" s="72">
        <f>VLOOKUP($AH$1&amp;AH6,【1】定价因子!$E:$F,2,0)</f>
        <v>1</v>
      </c>
      <c r="AJ6" s="72" t="str">
        <f>VLOOKUP(H6,'【3-1】大区填-采光基本要素'!A:H,8,0)</f>
        <v>1</v>
      </c>
      <c r="AK6" s="72">
        <f>VLOOKUP($AJ$1&amp;AJ6,【1】定价因子!$E:$F,2,0)</f>
        <v>0.91</v>
      </c>
      <c r="AL6" s="82">
        <f t="shared" si="8"/>
        <v>1299.6267648</v>
      </c>
      <c r="AM6" s="84">
        <v>1200</v>
      </c>
      <c r="AN6" s="83">
        <f t="shared" si="9"/>
        <v>-0.0766579817362654</v>
      </c>
    </row>
    <row r="7" spans="1:40">
      <c r="A7" s="77" t="str">
        <f>'【2】运营中心填-基本信息&amp;审核标准'!$E$2</f>
        <v>兴围中6-20栋</v>
      </c>
      <c r="B7" s="12">
        <f t="shared" si="2"/>
        <v>1</v>
      </c>
      <c r="C7" s="12">
        <f t="shared" si="0"/>
        <v>6</v>
      </c>
      <c r="D7" s="12">
        <f t="shared" si="1"/>
        <v>42</v>
      </c>
      <c r="E7" s="12"/>
      <c r="F7" s="12">
        <f t="shared" si="3"/>
        <v>6</v>
      </c>
      <c r="G7" s="12"/>
      <c r="H7" s="78">
        <v>106</v>
      </c>
      <c r="I7" s="79" t="s">
        <v>467</v>
      </c>
      <c r="J7" s="79" t="s">
        <v>43</v>
      </c>
      <c r="K7" s="12" t="str">
        <f t="array" ref="K7">IFERROR(INDEX($J$2:$J$43,MATCH(0,IF(ISBLANK($J$2:$J$43),1,COUNTIF($K$1:K6,$J$2:$J$43)),0)),"")</f>
        <v/>
      </c>
      <c r="L7" s="80">
        <f>VLOOKUP(J7,'【3】大区填-楼栋基准格局定价'!B:H,7,0)</f>
        <v>2329.056</v>
      </c>
      <c r="M7" s="81" t="str">
        <f t="shared" si="4"/>
        <v>较狭小</v>
      </c>
      <c r="N7" s="81">
        <v>20.59</v>
      </c>
      <c r="O7" s="72">
        <f>VLOOKUP($M$1&amp;M7,【1】定价因子!E:F,2,0)</f>
        <v>0.95</v>
      </c>
      <c r="P7" s="72" t="str">
        <f>IF(COUNTIFS(户型资产表!D:D,I7,户型资产表!G:G,"阳台门")&gt;0,"有","无")</f>
        <v>无</v>
      </c>
      <c r="Q7" s="72">
        <f>VLOOKUP($P$1&amp;P7,【1】定价因子!E:F,2,0)</f>
        <v>1</v>
      </c>
      <c r="R7" s="72" t="str">
        <f>IF('【2】运营中心填-基本信息&amp;审核标准'!$C$4="是","无",IF(INT(H7/100)&gt;9,"9F",INT(H7/100)&amp;"F"))</f>
        <v>1F</v>
      </c>
      <c r="S7" s="72">
        <f>VLOOKUP(R7,【1】定价因子!D:F,3,0)</f>
        <v>0.91</v>
      </c>
      <c r="T7" s="72" t="str">
        <f>IF('【2】运营中心填-基本信息&amp;审核标准'!$C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72">
        <f>VLOOKUP($T$1&amp;T7,【1】定价因子!E:F,2,0)</f>
        <v>1</v>
      </c>
      <c r="V7" s="72" t="str">
        <f>IF(COUNTIFS(户型资产表!D:D,I7,户型资产表!G:G,"操作台")&gt;0,"有","无")</f>
        <v>有</v>
      </c>
      <c r="W7" s="72" t="str">
        <f>IF(COUNTIFS(户型资产表!D:D,I7,户型资产表!G:G,"书桌")&gt;0,"有","无")</f>
        <v>无</v>
      </c>
      <c r="X7" s="72" t="str">
        <f>IF(COUNTIFS(户型资产表!D:D,I7,户型资产表!H:H,"单人沙发02")&gt;0,"有","无")</f>
        <v>无</v>
      </c>
      <c r="Y7" s="72" t="str">
        <f>IF(COUNTIFS(户型资产表!D:D,I7,户型资产表!H:H,"双人沙发01")&gt;0,"有","无")</f>
        <v>无</v>
      </c>
      <c r="Z7" s="72" t="str">
        <f>IF(COUNTIFS(户型资产表!D:D,I7,户型资产表!G:G,"餐桌")&gt;0,"有","无")</f>
        <v>有</v>
      </c>
      <c r="AA7" s="72" t="str">
        <f>IF(COUNTIFS(户型资产表!D:D,I7,户型资产表!G:G,"吸油烟机")&gt;0,"有","无")</f>
        <v>无</v>
      </c>
      <c r="AB7" s="72" t="str">
        <f>IF(COUNTIFS(户型资产表!D:D,I7,户型资产表!G:G,"冰箱")&gt;0,"有","无")</f>
        <v>无</v>
      </c>
      <c r="AC7" s="72" t="str">
        <f>IF(COUNTIFS(户型资产表!D:D,I7,户型资产表!G:G,"电视柜")&gt;0,"有","无")</f>
        <v>无</v>
      </c>
      <c r="AD7" s="81" t="str">
        <f t="shared" si="5"/>
        <v>适中</v>
      </c>
      <c r="AE7" s="72">
        <f>VLOOKUP($AD$1&amp;AD7,【1】定价因子!E:F,2,0)</f>
        <v>1</v>
      </c>
      <c r="AF7" s="81" t="str">
        <f t="shared" si="6"/>
        <v>缺失（操作台/双人沙发）</v>
      </c>
      <c r="AG7" s="72">
        <f>VLOOKUP($AF$1&amp;AF7,【1】定价因子!$E:$F,2,0)</f>
        <v>0.96</v>
      </c>
      <c r="AH7" s="81" t="str">
        <f t="shared" si="7"/>
        <v>适中</v>
      </c>
      <c r="AI7" s="72">
        <f>VLOOKUP($AH$1&amp;AH7,【1】定价因子!$E:$F,2,0)</f>
        <v>1</v>
      </c>
      <c r="AJ7" s="72" t="str">
        <f>VLOOKUP(H7,'【3-1】大区填-采光基本要素'!A:H,8,0)</f>
        <v>1</v>
      </c>
      <c r="AK7" s="72">
        <f>VLOOKUP($AJ$1&amp;AJ7,【1】定价因子!$E:$F,2,0)</f>
        <v>0.91</v>
      </c>
      <c r="AL7" s="82">
        <f t="shared" si="8"/>
        <v>1758.9664415232</v>
      </c>
      <c r="AM7" s="10">
        <v>1720</v>
      </c>
      <c r="AN7" s="83">
        <f t="shared" si="9"/>
        <v>-0.0221530329421501</v>
      </c>
    </row>
    <row r="8" spans="1:40">
      <c r="A8" s="77" t="str">
        <f>'【2】运营中心填-基本信息&amp;审核标准'!$E$2</f>
        <v>兴围中6-20栋</v>
      </c>
      <c r="B8" s="12">
        <f t="shared" si="2"/>
        <v>2</v>
      </c>
      <c r="C8" s="12">
        <f t="shared" si="0"/>
        <v>6</v>
      </c>
      <c r="D8" s="12">
        <f t="shared" si="1"/>
        <v>42</v>
      </c>
      <c r="E8" s="12"/>
      <c r="F8" s="12">
        <f t="shared" si="3"/>
        <v>6</v>
      </c>
      <c r="G8" s="12"/>
      <c r="H8" s="78">
        <v>201</v>
      </c>
      <c r="I8" s="79" t="s">
        <v>470</v>
      </c>
      <c r="J8" s="79" t="s">
        <v>43</v>
      </c>
      <c r="K8" s="12" t="str">
        <f t="array" ref="K8">IFERROR(INDEX($J$2:$J$43,MATCH(0,IF(ISBLANK($J$2:$J$43),1,COUNTIF($K$1:K7,$J$2:$J$43)),0)),"")</f>
        <v/>
      </c>
      <c r="L8" s="80">
        <f>VLOOKUP(J8,'【3】大区填-楼栋基准格局定价'!B:H,7,0)</f>
        <v>2329.056</v>
      </c>
      <c r="M8" s="81" t="str">
        <f t="shared" si="4"/>
        <v>较狭小</v>
      </c>
      <c r="N8" s="81">
        <v>20.42</v>
      </c>
      <c r="O8" s="72">
        <f>VLOOKUP($M$1&amp;M8,【1】定价因子!E:F,2,0)</f>
        <v>0.95</v>
      </c>
      <c r="P8" s="72" t="str">
        <f>IF(COUNTIFS(户型资产表!D:D,I8,户型资产表!G:G,"阳台门")&gt;0,"有","无")</f>
        <v>无</v>
      </c>
      <c r="Q8" s="72">
        <f>VLOOKUP($P$1&amp;P8,【1】定价因子!E:F,2,0)</f>
        <v>1</v>
      </c>
      <c r="R8" s="72" t="str">
        <f>IF('【2】运营中心填-基本信息&amp;审核标准'!$C$4="是","无",IF(INT(H8/100)&gt;9,"9F",INT(H8/100)&amp;"F"))</f>
        <v>2F</v>
      </c>
      <c r="S8" s="72">
        <f>VLOOKUP(R8,【1】定价因子!D:F,3,0)</f>
        <v>1.02</v>
      </c>
      <c r="T8" s="72" t="str">
        <f>IF('【2】运营中心填-基本信息&amp;审核标准'!$C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72">
        <f>VLOOKUP($T$1&amp;T8,【1】定价因子!E:F,2,0)</f>
        <v>1</v>
      </c>
      <c r="V8" s="72" t="str">
        <f>IF(COUNTIFS(户型资产表!D:D,I8,户型资产表!G:G,"操作台")&gt;0,"有","无")</f>
        <v>有</v>
      </c>
      <c r="W8" s="72" t="str">
        <f>IF(COUNTIFS(户型资产表!D:D,I8,户型资产表!G:G,"书桌")&gt;0,"有","无")</f>
        <v>无</v>
      </c>
      <c r="X8" s="72" t="str">
        <f>IF(COUNTIFS(户型资产表!D:D,I8,户型资产表!H:H,"单人沙发02")&gt;0,"有","无")</f>
        <v>无</v>
      </c>
      <c r="Y8" s="72" t="str">
        <f>IF(COUNTIFS(户型资产表!D:D,I8,户型资产表!H:H,"双人沙发01")&gt;0,"有","无")</f>
        <v>无</v>
      </c>
      <c r="Z8" s="72" t="str">
        <f>IF(COUNTIFS(户型资产表!D:D,I8,户型资产表!G:G,"餐桌")&gt;0,"有","无")</f>
        <v>有</v>
      </c>
      <c r="AA8" s="72" t="str">
        <f>IF(COUNTIFS(户型资产表!D:D,I8,户型资产表!G:G,"吸油烟机")&gt;0,"有","无")</f>
        <v>无</v>
      </c>
      <c r="AB8" s="72" t="str">
        <f>IF(COUNTIFS(户型资产表!D:D,I8,户型资产表!G:G,"冰箱")&gt;0,"有","无")</f>
        <v>无</v>
      </c>
      <c r="AC8" s="72" t="str">
        <f>IF(COUNTIFS(户型资产表!D:D,I8,户型资产表!G:G,"电视柜")&gt;0,"有","无")</f>
        <v>无</v>
      </c>
      <c r="AD8" s="81" t="str">
        <f t="shared" si="5"/>
        <v>适中</v>
      </c>
      <c r="AE8" s="72">
        <f>VLOOKUP($AD$1&amp;AD8,【1】定价因子!E:F,2,0)</f>
        <v>1</v>
      </c>
      <c r="AF8" s="81" t="str">
        <f t="shared" si="6"/>
        <v>缺失（操作台/双人沙发）</v>
      </c>
      <c r="AG8" s="72">
        <f>VLOOKUP($AF$1&amp;AF8,【1】定价因子!$E:$F,2,0)</f>
        <v>0.96</v>
      </c>
      <c r="AH8" s="81" t="str">
        <f t="shared" si="7"/>
        <v>适中</v>
      </c>
      <c r="AI8" s="72">
        <f>VLOOKUP($AH$1&amp;AH8,【1】定价因子!$E:$F,2,0)</f>
        <v>1</v>
      </c>
      <c r="AJ8" s="72" t="str">
        <f>VLOOKUP(H8,'【3-1】大区填-采光基本要素'!A:H,8,0)</f>
        <v>4</v>
      </c>
      <c r="AK8" s="72">
        <f>VLOOKUP($AJ$1&amp;AJ8,【1】定价因子!$E:$F,2,0)</f>
        <v>1.03</v>
      </c>
      <c r="AL8" s="82">
        <f t="shared" si="8"/>
        <v>2231.5784850432</v>
      </c>
      <c r="AM8" s="10">
        <v>2120</v>
      </c>
      <c r="AN8" s="83">
        <f t="shared" si="9"/>
        <v>-0.0499998031846234</v>
      </c>
    </row>
    <row r="9" spans="1:40">
      <c r="A9" s="77" t="str">
        <f>'【2】运营中心填-基本信息&amp;审核标准'!$E$2</f>
        <v>兴围中6-20栋</v>
      </c>
      <c r="B9" s="12">
        <f t="shared" si="2"/>
        <v>2</v>
      </c>
      <c r="C9" s="12">
        <f t="shared" si="0"/>
        <v>6</v>
      </c>
      <c r="D9" s="12">
        <f t="shared" si="1"/>
        <v>42</v>
      </c>
      <c r="E9" s="12"/>
      <c r="F9" s="12">
        <f t="shared" si="3"/>
        <v>6</v>
      </c>
      <c r="G9" s="12"/>
      <c r="H9" s="78">
        <v>202</v>
      </c>
      <c r="I9" s="79" t="s">
        <v>471</v>
      </c>
      <c r="J9" s="79" t="s">
        <v>40</v>
      </c>
      <c r="K9" s="12" t="str">
        <f t="array" ref="K9">IFERROR(INDEX($J$2:$J$43,MATCH(0,IF(ISBLANK($J$2:$J$43),1,COUNTIF($K$1:K8,$J$2:$J$43)),0)),"")</f>
        <v/>
      </c>
      <c r="L9" s="80">
        <f>VLOOKUP(J9,'【3】大区填-楼栋基准格局定价'!B:H,7,0)</f>
        <v>1569.408</v>
      </c>
      <c r="M9" s="81" t="str">
        <f t="shared" si="4"/>
        <v>适中</v>
      </c>
      <c r="N9" s="81">
        <v>13.99</v>
      </c>
      <c r="O9" s="72">
        <f>VLOOKUP($M$1&amp;M9,【1】定价因子!E:F,2,0)</f>
        <v>1</v>
      </c>
      <c r="P9" s="72" t="str">
        <f>IF(COUNTIFS(户型资产表!D:D,I9,户型资产表!G:G,"阳台门")&gt;0,"有","无")</f>
        <v>无</v>
      </c>
      <c r="Q9" s="72">
        <f>VLOOKUP($P$1&amp;P9,【1】定价因子!E:F,2,0)</f>
        <v>1</v>
      </c>
      <c r="R9" s="72" t="str">
        <f>IF('【2】运营中心填-基本信息&amp;审核标准'!$C$4="是","无",IF(INT(H9/100)&gt;9,"9F",INT(H9/100)&amp;"F"))</f>
        <v>2F</v>
      </c>
      <c r="S9" s="72">
        <f>VLOOKUP(R9,【1】定价因子!D:F,3,0)</f>
        <v>1.02</v>
      </c>
      <c r="T9" s="72" t="str">
        <f>IF('【2】运营中心填-基本信息&amp;审核标准'!$C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72">
        <f>VLOOKUP($T$1&amp;T9,【1】定价因子!E:F,2,0)</f>
        <v>1</v>
      </c>
      <c r="V9" s="72" t="str">
        <f>IF(COUNTIFS(户型资产表!D:D,I9,户型资产表!G:G,"操作台")&gt;0,"有","无")</f>
        <v>有</v>
      </c>
      <c r="W9" s="72" t="str">
        <f>IF(COUNTIFS(户型资产表!D:D,I9,户型资产表!G:G,"书桌")&gt;0,"有","无")</f>
        <v>有</v>
      </c>
      <c r="X9" s="72" t="str">
        <f>IF(COUNTIFS(户型资产表!D:D,I9,户型资产表!H:H,"单人沙发02")&gt;0,"有","无")</f>
        <v>无</v>
      </c>
      <c r="Y9" s="72" t="str">
        <f>IF(COUNTIFS(户型资产表!D:D,I9,户型资产表!H:H,"双人沙发01")&gt;0,"有","无")</f>
        <v>无</v>
      </c>
      <c r="Z9" s="72" t="str">
        <f>IF(COUNTIFS(户型资产表!D:D,I9,户型资产表!G:G,"餐桌")&gt;0,"有","无")</f>
        <v>无</v>
      </c>
      <c r="AA9" s="72" t="str">
        <f>IF(COUNTIFS(户型资产表!D:D,I9,户型资产表!G:G,"吸油烟机")&gt;0,"有","无")</f>
        <v>无</v>
      </c>
      <c r="AB9" s="72" t="str">
        <f>IF(COUNTIFS(户型资产表!D:D,I9,户型资产表!G:G,"冰箱")&gt;0,"有","无")</f>
        <v>无</v>
      </c>
      <c r="AC9" s="72" t="str">
        <f>IF(COUNTIFS(户型资产表!D:D,I9,户型资产表!G:G,"电视柜")&gt;0,"有","无")</f>
        <v>无</v>
      </c>
      <c r="AD9" s="81" t="str">
        <f t="shared" si="5"/>
        <v>适中</v>
      </c>
      <c r="AE9" s="72">
        <f>VLOOKUP($AD$1&amp;AD9,【1】定价因子!E:F,2,0)</f>
        <v>1</v>
      </c>
      <c r="AF9" s="81" t="str">
        <f t="shared" si="6"/>
        <v>适中</v>
      </c>
      <c r="AG9" s="72">
        <f>VLOOKUP($AF$1&amp;AF9,【1】定价因子!$E:$F,2,0)</f>
        <v>1</v>
      </c>
      <c r="AH9" s="81" t="str">
        <f t="shared" si="7"/>
        <v>适中</v>
      </c>
      <c r="AI9" s="72">
        <f>VLOOKUP($AH$1&amp;AH9,【1】定价因子!$E:$F,2,0)</f>
        <v>1</v>
      </c>
      <c r="AJ9" s="72" t="str">
        <f>VLOOKUP(H9,'【3-1】大区填-采光基本要素'!A:H,8,0)</f>
        <v>3</v>
      </c>
      <c r="AK9" s="72">
        <f>VLOOKUP($AJ$1&amp;AJ9,【1】定价因子!$E:$F,2,0)</f>
        <v>1</v>
      </c>
      <c r="AL9" s="82">
        <f t="shared" si="8"/>
        <v>1600.79616</v>
      </c>
      <c r="AM9" s="10">
        <v>1560</v>
      </c>
      <c r="AN9" s="83">
        <f t="shared" si="9"/>
        <v>-0.0254849187044526</v>
      </c>
    </row>
    <row r="10" spans="1:40">
      <c r="A10" s="77" t="str">
        <f>'【2】运营中心填-基本信息&amp;审核标准'!$E$2</f>
        <v>兴围中6-20栋</v>
      </c>
      <c r="B10" s="12">
        <f t="shared" si="2"/>
        <v>2</v>
      </c>
      <c r="C10" s="12">
        <f t="shared" si="0"/>
        <v>6</v>
      </c>
      <c r="D10" s="12">
        <f t="shared" si="1"/>
        <v>42</v>
      </c>
      <c r="E10" s="12"/>
      <c r="F10" s="12">
        <f t="shared" si="3"/>
        <v>6</v>
      </c>
      <c r="G10" s="12"/>
      <c r="H10" s="78">
        <v>203</v>
      </c>
      <c r="I10" s="79" t="s">
        <v>472</v>
      </c>
      <c r="J10" s="79" t="s">
        <v>40</v>
      </c>
      <c r="K10" s="12" t="str">
        <f t="array" ref="K10">IFERROR(INDEX($J$2:$J$43,MATCH(0,IF(ISBLANK($J$2:$J$43),1,COUNTIF($K$1:K9,$J$2:$J$43)),0)),"")</f>
        <v/>
      </c>
      <c r="L10" s="80">
        <f>VLOOKUP(J10,'【3】大区填-楼栋基准格局定价'!B:H,7,0)</f>
        <v>1569.408</v>
      </c>
      <c r="M10" s="81" t="str">
        <f t="shared" si="4"/>
        <v>较狭小</v>
      </c>
      <c r="N10" s="81">
        <v>12.35</v>
      </c>
      <c r="O10" s="72">
        <f>VLOOKUP($M$1&amp;M10,【1】定价因子!E:F,2,0)</f>
        <v>0.95</v>
      </c>
      <c r="P10" s="72" t="str">
        <f>IF(COUNTIFS(户型资产表!D:D,I10,户型资产表!G:G,"阳台门")&gt;0,"有","无")</f>
        <v>无</v>
      </c>
      <c r="Q10" s="72">
        <f>VLOOKUP($P$1&amp;P10,【1】定价因子!E:F,2,0)</f>
        <v>1</v>
      </c>
      <c r="R10" s="72" t="str">
        <f>IF('【2】运营中心填-基本信息&amp;审核标准'!$C$4="是","无",IF(INT(H10/100)&gt;9,"9F",INT(H10/100)&amp;"F"))</f>
        <v>2F</v>
      </c>
      <c r="S10" s="72">
        <f>VLOOKUP(R10,【1】定价因子!D:F,3,0)</f>
        <v>1.02</v>
      </c>
      <c r="T10" s="72" t="str">
        <f>IF('【2】运营中心填-基本信息&amp;审核标准'!$C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72">
        <f>VLOOKUP($T$1&amp;T10,【1】定价因子!E:F,2,0)</f>
        <v>1</v>
      </c>
      <c r="V10" s="72" t="str">
        <f>IF(COUNTIFS(户型资产表!D:D,I10,户型资产表!G:G,"操作台")&gt;0,"有","无")</f>
        <v>有</v>
      </c>
      <c r="W10" s="72" t="str">
        <f>IF(COUNTIFS(户型资产表!D:D,I10,户型资产表!G:G,"书桌")&gt;0,"有","无")</f>
        <v>有</v>
      </c>
      <c r="X10" s="72" t="str">
        <f>IF(COUNTIFS(户型资产表!D:D,I10,户型资产表!H:H,"单人沙发02")&gt;0,"有","无")</f>
        <v>无</v>
      </c>
      <c r="Y10" s="72" t="str">
        <f>IF(COUNTIFS(户型资产表!D:D,I10,户型资产表!H:H,"双人沙发01")&gt;0,"有","无")</f>
        <v>无</v>
      </c>
      <c r="Z10" s="72" t="str">
        <f>IF(COUNTIFS(户型资产表!D:D,I10,户型资产表!G:G,"餐桌")&gt;0,"有","无")</f>
        <v>无</v>
      </c>
      <c r="AA10" s="72" t="str">
        <f>IF(COUNTIFS(户型资产表!D:D,I10,户型资产表!G:G,"吸油烟机")&gt;0,"有","无")</f>
        <v>无</v>
      </c>
      <c r="AB10" s="72" t="str">
        <f>IF(COUNTIFS(户型资产表!D:D,I10,户型资产表!G:G,"冰箱")&gt;0,"有","无")</f>
        <v>无</v>
      </c>
      <c r="AC10" s="72" t="str">
        <f>IF(COUNTIFS(户型资产表!D:D,I10,户型资产表!G:G,"电视柜")&gt;0,"有","无")</f>
        <v>无</v>
      </c>
      <c r="AD10" s="81" t="str">
        <f t="shared" si="5"/>
        <v>适中</v>
      </c>
      <c r="AE10" s="72">
        <f>VLOOKUP($AD$1&amp;AD10,【1】定价因子!E:F,2,0)</f>
        <v>1</v>
      </c>
      <c r="AF10" s="81" t="str">
        <f t="shared" si="6"/>
        <v>适中</v>
      </c>
      <c r="AG10" s="72">
        <f>VLOOKUP($AF$1&amp;AF10,【1】定价因子!$E:$F,2,0)</f>
        <v>1</v>
      </c>
      <c r="AH10" s="81" t="str">
        <f t="shared" si="7"/>
        <v>适中</v>
      </c>
      <c r="AI10" s="72">
        <f>VLOOKUP($AH$1&amp;AH10,【1】定价因子!$E:$F,2,0)</f>
        <v>1</v>
      </c>
      <c r="AJ10" s="72" t="str">
        <f>VLOOKUP(H10,'【3-1】大区填-采光基本要素'!A:H,8,0)</f>
        <v>1</v>
      </c>
      <c r="AK10" s="72">
        <f>VLOOKUP($AJ$1&amp;AJ10,【1】定价因子!$E:$F,2,0)</f>
        <v>0.91</v>
      </c>
      <c r="AL10" s="82">
        <f t="shared" si="8"/>
        <v>1383.88828032</v>
      </c>
      <c r="AM10" s="10">
        <v>1370</v>
      </c>
      <c r="AN10" s="83">
        <f t="shared" si="9"/>
        <v>-0.0100356947287599</v>
      </c>
    </row>
    <row r="11" spans="1:40">
      <c r="A11" s="77" t="str">
        <f>'【2】运营中心填-基本信息&amp;审核标准'!$E$2</f>
        <v>兴围中6-20栋</v>
      </c>
      <c r="B11" s="12">
        <f t="shared" si="2"/>
        <v>2</v>
      </c>
      <c r="C11" s="12">
        <f t="shared" si="0"/>
        <v>6</v>
      </c>
      <c r="D11" s="12">
        <f t="shared" si="1"/>
        <v>42</v>
      </c>
      <c r="E11" s="12"/>
      <c r="F11" s="12">
        <f t="shared" si="3"/>
        <v>6</v>
      </c>
      <c r="G11" s="12"/>
      <c r="H11" s="78">
        <v>204</v>
      </c>
      <c r="I11" s="79" t="s">
        <v>472</v>
      </c>
      <c r="J11" s="79" t="s">
        <v>40</v>
      </c>
      <c r="K11" s="12"/>
      <c r="L11" s="80">
        <f>VLOOKUP(J11,'【3】大区填-楼栋基准格局定价'!B:H,7,0)</f>
        <v>1569.408</v>
      </c>
      <c r="M11" s="81" t="str">
        <f t="shared" si="4"/>
        <v>较狭小</v>
      </c>
      <c r="N11" s="81">
        <v>12.14</v>
      </c>
      <c r="O11" s="72">
        <f>VLOOKUP($M$1&amp;M11,【1】定价因子!E:F,2,0)</f>
        <v>0.95</v>
      </c>
      <c r="P11" s="72" t="str">
        <f>IF(COUNTIFS(户型资产表!D:D,I11,户型资产表!G:G,"阳台门")&gt;0,"有","无")</f>
        <v>无</v>
      </c>
      <c r="Q11" s="72">
        <f>VLOOKUP($P$1&amp;P11,【1】定价因子!E:F,2,0)</f>
        <v>1</v>
      </c>
      <c r="R11" s="72" t="str">
        <f>IF('【2】运营中心填-基本信息&amp;审核标准'!$C$4="是","无",IF(INT(H11/100)&gt;9,"9F",INT(H11/100)&amp;"F"))</f>
        <v>2F</v>
      </c>
      <c r="S11" s="72">
        <f>VLOOKUP(R11,【1】定价因子!D:F,3,0)</f>
        <v>1.02</v>
      </c>
      <c r="T11" s="72" t="str">
        <f>IF('【2】运营中心填-基本信息&amp;审核标准'!$C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72">
        <f>VLOOKUP($T$1&amp;T11,【1】定价因子!E:F,2,0)</f>
        <v>1</v>
      </c>
      <c r="V11" s="72" t="str">
        <f>IF(COUNTIFS(户型资产表!D:D,I11,户型资产表!G:G,"操作台")&gt;0,"有","无")</f>
        <v>有</v>
      </c>
      <c r="W11" s="72" t="str">
        <f>IF(COUNTIFS(户型资产表!D:D,I11,户型资产表!G:G,"书桌")&gt;0,"有","无")</f>
        <v>有</v>
      </c>
      <c r="X11" s="72" t="str">
        <f>IF(COUNTIFS(户型资产表!D:D,I11,户型资产表!H:H,"单人沙发02")&gt;0,"有","无")</f>
        <v>无</v>
      </c>
      <c r="Y11" s="72" t="str">
        <f>IF(COUNTIFS(户型资产表!D:D,I11,户型资产表!H:H,"双人沙发01")&gt;0,"有","无")</f>
        <v>无</v>
      </c>
      <c r="Z11" s="72" t="str">
        <f>IF(COUNTIFS(户型资产表!D:D,I11,户型资产表!G:G,"餐桌")&gt;0,"有","无")</f>
        <v>无</v>
      </c>
      <c r="AA11" s="72" t="str">
        <f>IF(COUNTIFS(户型资产表!D:D,I11,户型资产表!G:G,"吸油烟机")&gt;0,"有","无")</f>
        <v>无</v>
      </c>
      <c r="AB11" s="72" t="str">
        <f>IF(COUNTIFS(户型资产表!D:D,I11,户型资产表!G:G,"冰箱")&gt;0,"有","无")</f>
        <v>无</v>
      </c>
      <c r="AC11" s="72" t="str">
        <f>IF(COUNTIFS(户型资产表!D:D,I11,户型资产表!G:G,"电视柜")&gt;0,"有","无")</f>
        <v>无</v>
      </c>
      <c r="AD11" s="81" t="str">
        <f t="shared" si="5"/>
        <v>适中</v>
      </c>
      <c r="AE11" s="72">
        <f>VLOOKUP($AD$1&amp;AD11,【1】定价因子!E:F,2,0)</f>
        <v>1</v>
      </c>
      <c r="AF11" s="81" t="str">
        <f t="shared" si="6"/>
        <v>适中</v>
      </c>
      <c r="AG11" s="72">
        <f>VLOOKUP($AF$1&amp;AF11,【1】定价因子!$E:$F,2,0)</f>
        <v>1</v>
      </c>
      <c r="AH11" s="81" t="str">
        <f t="shared" si="7"/>
        <v>适中</v>
      </c>
      <c r="AI11" s="72">
        <f>VLOOKUP($AH$1&amp;AH11,【1】定价因子!$E:$F,2,0)</f>
        <v>1</v>
      </c>
      <c r="AJ11" s="72" t="str">
        <f>VLOOKUP(H11,'【3-1】大区填-采光基本要素'!A:H,8,0)</f>
        <v>1</v>
      </c>
      <c r="AK11" s="72">
        <f>VLOOKUP($AJ$1&amp;AJ11,【1】定价因子!$E:$F,2,0)</f>
        <v>0.91</v>
      </c>
      <c r="AL11" s="82">
        <f t="shared" si="8"/>
        <v>1383.88828032</v>
      </c>
      <c r="AM11" s="10">
        <v>1370</v>
      </c>
      <c r="AN11" s="83">
        <f t="shared" si="9"/>
        <v>-0.0100356947287599</v>
      </c>
    </row>
    <row r="12" spans="1:40">
      <c r="A12" s="77" t="str">
        <f>'【2】运营中心填-基本信息&amp;审核标准'!$E$2</f>
        <v>兴围中6-20栋</v>
      </c>
      <c r="B12" s="12">
        <f t="shared" si="2"/>
        <v>2</v>
      </c>
      <c r="C12" s="12">
        <f t="shared" si="0"/>
        <v>6</v>
      </c>
      <c r="D12" s="12">
        <f t="shared" si="1"/>
        <v>42</v>
      </c>
      <c r="E12" s="12"/>
      <c r="F12" s="12">
        <f t="shared" si="3"/>
        <v>6</v>
      </c>
      <c r="G12" s="12"/>
      <c r="H12" s="78">
        <v>205</v>
      </c>
      <c r="I12" s="79" t="s">
        <v>471</v>
      </c>
      <c r="J12" s="79" t="s">
        <v>40</v>
      </c>
      <c r="K12" s="12"/>
      <c r="L12" s="80">
        <f>VLOOKUP(J12,'【3】大区填-楼栋基准格局定价'!B:H,7,0)</f>
        <v>1569.408</v>
      </c>
      <c r="M12" s="81" t="str">
        <f t="shared" si="4"/>
        <v>适中</v>
      </c>
      <c r="N12" s="81">
        <v>14.5</v>
      </c>
      <c r="O12" s="72">
        <f>VLOOKUP($M$1&amp;M12,【1】定价因子!E:F,2,0)</f>
        <v>1</v>
      </c>
      <c r="P12" s="72" t="str">
        <f>IF(COUNTIFS(户型资产表!D:D,I12,户型资产表!G:G,"阳台门")&gt;0,"有","无")</f>
        <v>无</v>
      </c>
      <c r="Q12" s="72">
        <f>VLOOKUP($P$1&amp;P12,【1】定价因子!E:F,2,0)</f>
        <v>1</v>
      </c>
      <c r="R12" s="72" t="str">
        <f>IF('【2】运营中心填-基本信息&amp;审核标准'!$C$4="是","无",IF(INT(H12/100)&gt;9,"9F",INT(H12/100)&amp;"F"))</f>
        <v>2F</v>
      </c>
      <c r="S12" s="72">
        <f>VLOOKUP(R12,【1】定价因子!D:F,3,0)</f>
        <v>1.02</v>
      </c>
      <c r="T12" s="72" t="str">
        <f>IF('【2】运营中心填-基本信息&amp;审核标准'!$C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72">
        <f>VLOOKUP($T$1&amp;T12,【1】定价因子!E:F,2,0)</f>
        <v>1</v>
      </c>
      <c r="V12" s="72" t="str">
        <f>IF(COUNTIFS(户型资产表!D:D,I12,户型资产表!G:G,"操作台")&gt;0,"有","无")</f>
        <v>有</v>
      </c>
      <c r="W12" s="72" t="str">
        <f>IF(COUNTIFS(户型资产表!D:D,I12,户型资产表!G:G,"书桌")&gt;0,"有","无")</f>
        <v>有</v>
      </c>
      <c r="X12" s="72" t="str">
        <f>IF(COUNTIFS(户型资产表!D:D,I12,户型资产表!H:H,"单人沙发02")&gt;0,"有","无")</f>
        <v>无</v>
      </c>
      <c r="Y12" s="72" t="str">
        <f>IF(COUNTIFS(户型资产表!D:D,I12,户型资产表!H:H,"双人沙发01")&gt;0,"有","无")</f>
        <v>无</v>
      </c>
      <c r="Z12" s="72" t="str">
        <f>IF(COUNTIFS(户型资产表!D:D,I12,户型资产表!G:G,"餐桌")&gt;0,"有","无")</f>
        <v>无</v>
      </c>
      <c r="AA12" s="72" t="str">
        <f>IF(COUNTIFS(户型资产表!D:D,I12,户型资产表!G:G,"吸油烟机")&gt;0,"有","无")</f>
        <v>无</v>
      </c>
      <c r="AB12" s="72" t="str">
        <f>IF(COUNTIFS(户型资产表!D:D,I12,户型资产表!G:G,"冰箱")&gt;0,"有","无")</f>
        <v>无</v>
      </c>
      <c r="AC12" s="72" t="str">
        <f>IF(COUNTIFS(户型资产表!D:D,I12,户型资产表!G:G,"电视柜")&gt;0,"有","无")</f>
        <v>无</v>
      </c>
      <c r="AD12" s="81" t="str">
        <f t="shared" si="5"/>
        <v>适中</v>
      </c>
      <c r="AE12" s="72">
        <f>VLOOKUP($AD$1&amp;AD12,【1】定价因子!E:F,2,0)</f>
        <v>1</v>
      </c>
      <c r="AF12" s="81" t="str">
        <f t="shared" si="6"/>
        <v>适中</v>
      </c>
      <c r="AG12" s="72">
        <f>VLOOKUP($AF$1&amp;AF12,【1】定价因子!$E:$F,2,0)</f>
        <v>1</v>
      </c>
      <c r="AH12" s="81" t="str">
        <f t="shared" si="7"/>
        <v>适中</v>
      </c>
      <c r="AI12" s="72">
        <f>VLOOKUP($AH$1&amp;AH12,【1】定价因子!$E:$F,2,0)</f>
        <v>1</v>
      </c>
      <c r="AJ12" s="72" t="str">
        <f>VLOOKUP(H12,'【3-1】大区填-采光基本要素'!A:H,8,0)</f>
        <v>1</v>
      </c>
      <c r="AK12" s="72">
        <f>VLOOKUP($AJ$1&amp;AJ12,【1】定价因子!$E:$F,2,0)</f>
        <v>0.91</v>
      </c>
      <c r="AL12" s="82">
        <f t="shared" si="8"/>
        <v>1456.7245056</v>
      </c>
      <c r="AM12" s="10">
        <v>1430</v>
      </c>
      <c r="AN12" s="83">
        <f t="shared" si="9"/>
        <v>-0.0183456140795768</v>
      </c>
    </row>
    <row r="13" spans="1:40">
      <c r="A13" s="77" t="str">
        <f>'【2】运营中心填-基本信息&amp;审核标准'!$E$2</f>
        <v>兴围中6-20栋</v>
      </c>
      <c r="B13" s="12">
        <f t="shared" si="2"/>
        <v>2</v>
      </c>
      <c r="C13" s="12">
        <f t="shared" si="0"/>
        <v>6</v>
      </c>
      <c r="D13" s="12">
        <f t="shared" si="1"/>
        <v>42</v>
      </c>
      <c r="E13" s="12"/>
      <c r="F13" s="12">
        <f t="shared" si="3"/>
        <v>6</v>
      </c>
      <c r="G13" s="12"/>
      <c r="H13" s="78">
        <v>206</v>
      </c>
      <c r="I13" s="79" t="s">
        <v>470</v>
      </c>
      <c r="J13" s="79" t="s">
        <v>43</v>
      </c>
      <c r="K13" s="12"/>
      <c r="L13" s="80">
        <f>VLOOKUP(J13,'【3】大区填-楼栋基准格局定价'!B:H,7,0)</f>
        <v>2329.056</v>
      </c>
      <c r="M13" s="81" t="str">
        <f t="shared" si="4"/>
        <v>较狭小</v>
      </c>
      <c r="N13" s="81">
        <v>20.12</v>
      </c>
      <c r="O13" s="72">
        <f>VLOOKUP($M$1&amp;M13,【1】定价因子!E:F,2,0)</f>
        <v>0.95</v>
      </c>
      <c r="P13" s="72" t="str">
        <f>IF(COUNTIFS(户型资产表!D:D,I13,户型资产表!G:G,"阳台门")&gt;0,"有","无")</f>
        <v>无</v>
      </c>
      <c r="Q13" s="72">
        <f>VLOOKUP($P$1&amp;P13,【1】定价因子!E:F,2,0)</f>
        <v>1</v>
      </c>
      <c r="R13" s="72" t="str">
        <f>IF('【2】运营中心填-基本信息&amp;审核标准'!$C$4="是","无",IF(INT(H13/100)&gt;9,"9F",INT(H13/100)&amp;"F"))</f>
        <v>2F</v>
      </c>
      <c r="S13" s="72">
        <f>VLOOKUP(R13,【1】定价因子!D:F,3,0)</f>
        <v>1.02</v>
      </c>
      <c r="T13" s="72" t="str">
        <f>IF('【2】运营中心填-基本信息&amp;审核标准'!$C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72">
        <f>VLOOKUP($T$1&amp;T13,【1】定价因子!E:F,2,0)</f>
        <v>1</v>
      </c>
      <c r="V13" s="72" t="str">
        <f>IF(COUNTIFS(户型资产表!D:D,I13,户型资产表!G:G,"操作台")&gt;0,"有","无")</f>
        <v>有</v>
      </c>
      <c r="W13" s="72" t="str">
        <f>IF(COUNTIFS(户型资产表!D:D,I13,户型资产表!G:G,"书桌")&gt;0,"有","无")</f>
        <v>无</v>
      </c>
      <c r="X13" s="72" t="str">
        <f>IF(COUNTIFS(户型资产表!D:D,I13,户型资产表!H:H,"单人沙发02")&gt;0,"有","无")</f>
        <v>无</v>
      </c>
      <c r="Y13" s="72" t="str">
        <f>IF(COUNTIFS(户型资产表!D:D,I13,户型资产表!H:H,"双人沙发01")&gt;0,"有","无")</f>
        <v>无</v>
      </c>
      <c r="Z13" s="72" t="str">
        <f>IF(COUNTIFS(户型资产表!D:D,I13,户型资产表!G:G,"餐桌")&gt;0,"有","无")</f>
        <v>有</v>
      </c>
      <c r="AA13" s="72" t="str">
        <f>IF(COUNTIFS(户型资产表!D:D,I13,户型资产表!G:G,"吸油烟机")&gt;0,"有","无")</f>
        <v>无</v>
      </c>
      <c r="AB13" s="72" t="str">
        <f>IF(COUNTIFS(户型资产表!D:D,I13,户型资产表!G:G,"冰箱")&gt;0,"有","无")</f>
        <v>无</v>
      </c>
      <c r="AC13" s="72" t="str">
        <f>IF(COUNTIFS(户型资产表!D:D,I13,户型资产表!G:G,"电视柜")&gt;0,"有","无")</f>
        <v>无</v>
      </c>
      <c r="AD13" s="81" t="str">
        <f t="shared" si="5"/>
        <v>适中</v>
      </c>
      <c r="AE13" s="72">
        <f>VLOOKUP($AD$1&amp;AD13,【1】定价因子!E:F,2,0)</f>
        <v>1</v>
      </c>
      <c r="AF13" s="81" t="str">
        <f t="shared" si="6"/>
        <v>缺失（操作台/双人沙发）</v>
      </c>
      <c r="AG13" s="72">
        <f>VLOOKUP($AF$1&amp;AF13,【1】定价因子!$E:$F,2,0)</f>
        <v>0.96</v>
      </c>
      <c r="AH13" s="81" t="str">
        <f t="shared" si="7"/>
        <v>适中</v>
      </c>
      <c r="AI13" s="72">
        <f>VLOOKUP($AH$1&amp;AH13,【1】定价因子!$E:$F,2,0)</f>
        <v>1</v>
      </c>
      <c r="AJ13" s="72" t="str">
        <f>VLOOKUP(H13,'【3-1】大区填-采光基本要素'!A:H,8,0)</f>
        <v>4</v>
      </c>
      <c r="AK13" s="72">
        <f>VLOOKUP($AJ$1&amp;AJ13,【1】定价因子!$E:$F,2,0)</f>
        <v>1.03</v>
      </c>
      <c r="AL13" s="82">
        <f t="shared" si="8"/>
        <v>2231.5784850432</v>
      </c>
      <c r="AM13" s="10">
        <v>2120</v>
      </c>
      <c r="AN13" s="83">
        <f t="shared" si="9"/>
        <v>-0.0499998031846234</v>
      </c>
    </row>
    <row r="14" spans="1:40">
      <c r="A14" s="77" t="str">
        <f>'【2】运营中心填-基本信息&amp;审核标准'!$E$2</f>
        <v>兴围中6-20栋</v>
      </c>
      <c r="B14" s="12">
        <f t="shared" si="2"/>
        <v>3</v>
      </c>
      <c r="C14" s="12">
        <f t="shared" si="0"/>
        <v>6</v>
      </c>
      <c r="D14" s="12">
        <f t="shared" si="1"/>
        <v>42</v>
      </c>
      <c r="E14" s="12"/>
      <c r="F14" s="12">
        <f t="shared" si="3"/>
        <v>6</v>
      </c>
      <c r="G14" s="12"/>
      <c r="H14" s="78">
        <v>301</v>
      </c>
      <c r="I14" s="79" t="s">
        <v>470</v>
      </c>
      <c r="J14" s="79" t="s">
        <v>43</v>
      </c>
      <c r="K14" s="12"/>
      <c r="L14" s="80">
        <f>VLOOKUP(J14,'【3】大区填-楼栋基准格局定价'!B:H,7,0)</f>
        <v>2329.056</v>
      </c>
      <c r="M14" s="81" t="str">
        <f t="shared" si="4"/>
        <v>较狭小</v>
      </c>
      <c r="N14" s="81">
        <v>20.42</v>
      </c>
      <c r="O14" s="72">
        <f>VLOOKUP($M$1&amp;M14,【1】定价因子!E:F,2,0)</f>
        <v>0.95</v>
      </c>
      <c r="P14" s="72" t="str">
        <f>IF(COUNTIFS(户型资产表!D:D,I14,户型资产表!G:G,"阳台门")&gt;0,"有","无")</f>
        <v>无</v>
      </c>
      <c r="Q14" s="72">
        <f>VLOOKUP($P$1&amp;P14,【1】定价因子!E:F,2,0)</f>
        <v>1</v>
      </c>
      <c r="R14" s="72" t="str">
        <f>IF('【2】运营中心填-基本信息&amp;审核标准'!$C$4="是","无",IF(INT(H14/100)&gt;9,"9F",INT(H14/100)&amp;"F"))</f>
        <v>3F</v>
      </c>
      <c r="S14" s="72">
        <f>VLOOKUP(R14,【1】定价因子!D:F,3,0)</f>
        <v>1.01</v>
      </c>
      <c r="T14" s="72" t="str">
        <f>IF('【2】运营中心填-基本信息&amp;审核标准'!$C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72">
        <f>VLOOKUP($T$1&amp;T14,【1】定价因子!E:F,2,0)</f>
        <v>1</v>
      </c>
      <c r="V14" s="72" t="str">
        <f>IF(COUNTIFS(户型资产表!D:D,I14,户型资产表!G:G,"操作台")&gt;0,"有","无")</f>
        <v>有</v>
      </c>
      <c r="W14" s="72" t="str">
        <f>IF(COUNTIFS(户型资产表!D:D,I14,户型资产表!G:G,"书桌")&gt;0,"有","无")</f>
        <v>无</v>
      </c>
      <c r="X14" s="72" t="str">
        <f>IF(COUNTIFS(户型资产表!D:D,I14,户型资产表!H:H,"单人沙发02")&gt;0,"有","无")</f>
        <v>无</v>
      </c>
      <c r="Y14" s="72" t="str">
        <f>IF(COUNTIFS(户型资产表!D:D,I14,户型资产表!H:H,"双人沙发01")&gt;0,"有","无")</f>
        <v>无</v>
      </c>
      <c r="Z14" s="72" t="str">
        <f>IF(COUNTIFS(户型资产表!D:D,I14,户型资产表!G:G,"餐桌")&gt;0,"有","无")</f>
        <v>有</v>
      </c>
      <c r="AA14" s="72" t="str">
        <f>IF(COUNTIFS(户型资产表!D:D,I14,户型资产表!G:G,"吸油烟机")&gt;0,"有","无")</f>
        <v>无</v>
      </c>
      <c r="AB14" s="72" t="str">
        <f>IF(COUNTIFS(户型资产表!D:D,I14,户型资产表!G:G,"冰箱")&gt;0,"有","无")</f>
        <v>无</v>
      </c>
      <c r="AC14" s="72" t="str">
        <f>IF(COUNTIFS(户型资产表!D:D,I14,户型资产表!G:G,"电视柜")&gt;0,"有","无")</f>
        <v>无</v>
      </c>
      <c r="AD14" s="81" t="str">
        <f t="shared" si="5"/>
        <v>适中</v>
      </c>
      <c r="AE14" s="72">
        <f>VLOOKUP($AD$1&amp;AD14,【1】定价因子!E:F,2,0)</f>
        <v>1</v>
      </c>
      <c r="AF14" s="81" t="str">
        <f t="shared" si="6"/>
        <v>缺失（操作台/双人沙发）</v>
      </c>
      <c r="AG14" s="72">
        <f>VLOOKUP($AF$1&amp;AF14,【1】定价因子!$E:$F,2,0)</f>
        <v>0.96</v>
      </c>
      <c r="AH14" s="81" t="str">
        <f t="shared" si="7"/>
        <v>适中</v>
      </c>
      <c r="AI14" s="72">
        <f>VLOOKUP($AH$1&amp;AH14,【1】定价因子!$E:$F,2,0)</f>
        <v>1</v>
      </c>
      <c r="AJ14" s="72" t="str">
        <f>VLOOKUP(H14,'【3-1】大区填-采光基本要素'!A:H,8,0)</f>
        <v>4</v>
      </c>
      <c r="AK14" s="72">
        <f>VLOOKUP($AJ$1&amp;AJ14,【1】定价因子!$E:$F,2,0)</f>
        <v>1.03</v>
      </c>
      <c r="AL14" s="82">
        <f t="shared" si="8"/>
        <v>2209.7002646016</v>
      </c>
      <c r="AM14" s="10">
        <v>2120</v>
      </c>
      <c r="AN14" s="83">
        <f t="shared" si="9"/>
        <v>-0.0405938606418969</v>
      </c>
    </row>
    <row r="15" spans="1:40">
      <c r="A15" s="77" t="str">
        <f>'【2】运营中心填-基本信息&amp;审核标准'!$E$2</f>
        <v>兴围中6-20栋</v>
      </c>
      <c r="B15" s="12">
        <f t="shared" si="2"/>
        <v>3</v>
      </c>
      <c r="C15" s="12">
        <f t="shared" si="0"/>
        <v>6</v>
      </c>
      <c r="D15" s="12">
        <f t="shared" si="1"/>
        <v>42</v>
      </c>
      <c r="E15" s="12"/>
      <c r="F15" s="12">
        <f t="shared" si="3"/>
        <v>6</v>
      </c>
      <c r="G15" s="12"/>
      <c r="H15" s="78">
        <v>302</v>
      </c>
      <c r="I15" s="79" t="s">
        <v>471</v>
      </c>
      <c r="J15" s="79" t="s">
        <v>40</v>
      </c>
      <c r="K15" s="12"/>
      <c r="L15" s="80">
        <f>VLOOKUP(J15,'【3】大区填-楼栋基准格局定价'!B:H,7,0)</f>
        <v>1569.408</v>
      </c>
      <c r="M15" s="81" t="str">
        <f t="shared" si="4"/>
        <v>适中</v>
      </c>
      <c r="N15" s="81">
        <v>13.99</v>
      </c>
      <c r="O15" s="72">
        <f>VLOOKUP($M$1&amp;M15,【1】定价因子!E:F,2,0)</f>
        <v>1</v>
      </c>
      <c r="P15" s="72" t="str">
        <f>IF(COUNTIFS(户型资产表!D:D,I15,户型资产表!G:G,"阳台门")&gt;0,"有","无")</f>
        <v>无</v>
      </c>
      <c r="Q15" s="72">
        <f>VLOOKUP($P$1&amp;P15,【1】定价因子!E:F,2,0)</f>
        <v>1</v>
      </c>
      <c r="R15" s="72" t="str">
        <f>IF('【2】运营中心填-基本信息&amp;审核标准'!$C$4="是","无",IF(INT(H15/100)&gt;9,"9F",INT(H15/100)&amp;"F"))</f>
        <v>3F</v>
      </c>
      <c r="S15" s="72">
        <f>VLOOKUP(R15,【1】定价因子!D:F,3,0)</f>
        <v>1.01</v>
      </c>
      <c r="T15" s="72" t="str">
        <f>IF('【2】运营中心填-基本信息&amp;审核标准'!$C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72">
        <f>VLOOKUP($T$1&amp;T15,【1】定价因子!E:F,2,0)</f>
        <v>1</v>
      </c>
      <c r="V15" s="72" t="str">
        <f>IF(COUNTIFS(户型资产表!D:D,I15,户型资产表!G:G,"操作台")&gt;0,"有","无")</f>
        <v>有</v>
      </c>
      <c r="W15" s="72" t="str">
        <f>IF(COUNTIFS(户型资产表!D:D,I15,户型资产表!G:G,"书桌")&gt;0,"有","无")</f>
        <v>有</v>
      </c>
      <c r="X15" s="72" t="str">
        <f>IF(COUNTIFS(户型资产表!D:D,I15,户型资产表!H:H,"单人沙发02")&gt;0,"有","无")</f>
        <v>无</v>
      </c>
      <c r="Y15" s="72" t="str">
        <f>IF(COUNTIFS(户型资产表!D:D,I15,户型资产表!H:H,"双人沙发01")&gt;0,"有","无")</f>
        <v>无</v>
      </c>
      <c r="Z15" s="72" t="str">
        <f>IF(COUNTIFS(户型资产表!D:D,I15,户型资产表!G:G,"餐桌")&gt;0,"有","无")</f>
        <v>无</v>
      </c>
      <c r="AA15" s="72" t="str">
        <f>IF(COUNTIFS(户型资产表!D:D,I15,户型资产表!G:G,"吸油烟机")&gt;0,"有","无")</f>
        <v>无</v>
      </c>
      <c r="AB15" s="72" t="str">
        <f>IF(COUNTIFS(户型资产表!D:D,I15,户型资产表!G:G,"冰箱")&gt;0,"有","无")</f>
        <v>无</v>
      </c>
      <c r="AC15" s="72" t="str">
        <f>IF(COUNTIFS(户型资产表!D:D,I15,户型资产表!G:G,"电视柜")&gt;0,"有","无")</f>
        <v>无</v>
      </c>
      <c r="AD15" s="81" t="str">
        <f t="shared" si="5"/>
        <v>适中</v>
      </c>
      <c r="AE15" s="72">
        <f>VLOOKUP($AD$1&amp;AD15,【1】定价因子!E:F,2,0)</f>
        <v>1</v>
      </c>
      <c r="AF15" s="81" t="str">
        <f t="shared" si="6"/>
        <v>适中</v>
      </c>
      <c r="AG15" s="72">
        <f>VLOOKUP($AF$1&amp;AF15,【1】定价因子!$E:$F,2,0)</f>
        <v>1</v>
      </c>
      <c r="AH15" s="81" t="str">
        <f t="shared" si="7"/>
        <v>适中</v>
      </c>
      <c r="AI15" s="72">
        <f>VLOOKUP($AH$1&amp;AH15,【1】定价因子!$E:$F,2,0)</f>
        <v>1</v>
      </c>
      <c r="AJ15" s="72" t="str">
        <f>VLOOKUP(H15,'【3-1】大区填-采光基本要素'!A:H,8,0)</f>
        <v>3</v>
      </c>
      <c r="AK15" s="72">
        <f>VLOOKUP($AJ$1&amp;AJ15,【1】定价因子!$E:$F,2,0)</f>
        <v>1</v>
      </c>
      <c r="AL15" s="82">
        <f t="shared" si="8"/>
        <v>1585.10208</v>
      </c>
      <c r="AM15" s="10">
        <v>1550</v>
      </c>
      <c r="AN15" s="83">
        <f t="shared" si="9"/>
        <v>-0.0221449964913299</v>
      </c>
    </row>
    <row r="16" spans="1:40">
      <c r="A16" s="77" t="str">
        <f>'【2】运营中心填-基本信息&amp;审核标准'!$E$2</f>
        <v>兴围中6-20栋</v>
      </c>
      <c r="B16" s="12">
        <f t="shared" si="2"/>
        <v>3</v>
      </c>
      <c r="C16" s="12">
        <f t="shared" si="0"/>
        <v>6</v>
      </c>
      <c r="D16" s="12">
        <f t="shared" si="1"/>
        <v>42</v>
      </c>
      <c r="E16" s="12"/>
      <c r="F16" s="12">
        <f t="shared" si="3"/>
        <v>6</v>
      </c>
      <c r="G16" s="12"/>
      <c r="H16" s="78">
        <v>303</v>
      </c>
      <c r="I16" s="79" t="s">
        <v>472</v>
      </c>
      <c r="J16" s="79" t="s">
        <v>40</v>
      </c>
      <c r="K16" s="12"/>
      <c r="L16" s="80">
        <f>VLOOKUP(J16,'【3】大区填-楼栋基准格局定价'!B:H,7,0)</f>
        <v>1569.408</v>
      </c>
      <c r="M16" s="81" t="str">
        <f t="shared" si="4"/>
        <v>较狭小</v>
      </c>
      <c r="N16" s="81">
        <v>12.35</v>
      </c>
      <c r="O16" s="72">
        <f>VLOOKUP($M$1&amp;M16,【1】定价因子!E:F,2,0)</f>
        <v>0.95</v>
      </c>
      <c r="P16" s="72" t="str">
        <f>IF(COUNTIFS(户型资产表!D:D,I16,户型资产表!G:G,"阳台门")&gt;0,"有","无")</f>
        <v>无</v>
      </c>
      <c r="Q16" s="72">
        <f>VLOOKUP($P$1&amp;P16,【1】定价因子!E:F,2,0)</f>
        <v>1</v>
      </c>
      <c r="R16" s="72" t="str">
        <f>IF('【2】运营中心填-基本信息&amp;审核标准'!$C$4="是","无",IF(INT(H16/100)&gt;9,"9F",INT(H16/100)&amp;"F"))</f>
        <v>3F</v>
      </c>
      <c r="S16" s="72">
        <f>VLOOKUP(R16,【1】定价因子!D:F,3,0)</f>
        <v>1.01</v>
      </c>
      <c r="T16" s="72" t="str">
        <f>IF('【2】运营中心填-基本信息&amp;审核标准'!$C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72">
        <f>VLOOKUP($T$1&amp;T16,【1】定价因子!E:F,2,0)</f>
        <v>1</v>
      </c>
      <c r="V16" s="72" t="str">
        <f>IF(COUNTIFS(户型资产表!D:D,I16,户型资产表!G:G,"操作台")&gt;0,"有","无")</f>
        <v>有</v>
      </c>
      <c r="W16" s="72" t="str">
        <f>IF(COUNTIFS(户型资产表!D:D,I16,户型资产表!G:G,"书桌")&gt;0,"有","无")</f>
        <v>有</v>
      </c>
      <c r="X16" s="72" t="str">
        <f>IF(COUNTIFS(户型资产表!D:D,I16,户型资产表!H:H,"单人沙发02")&gt;0,"有","无")</f>
        <v>无</v>
      </c>
      <c r="Y16" s="72" t="str">
        <f>IF(COUNTIFS(户型资产表!D:D,I16,户型资产表!H:H,"双人沙发01")&gt;0,"有","无")</f>
        <v>无</v>
      </c>
      <c r="Z16" s="72" t="str">
        <f>IF(COUNTIFS(户型资产表!D:D,I16,户型资产表!G:G,"餐桌")&gt;0,"有","无")</f>
        <v>无</v>
      </c>
      <c r="AA16" s="72" t="str">
        <f>IF(COUNTIFS(户型资产表!D:D,I16,户型资产表!G:G,"吸油烟机")&gt;0,"有","无")</f>
        <v>无</v>
      </c>
      <c r="AB16" s="72" t="str">
        <f>IF(COUNTIFS(户型资产表!D:D,I16,户型资产表!G:G,"冰箱")&gt;0,"有","无")</f>
        <v>无</v>
      </c>
      <c r="AC16" s="72" t="str">
        <f>IF(COUNTIFS(户型资产表!D:D,I16,户型资产表!G:G,"电视柜")&gt;0,"有","无")</f>
        <v>无</v>
      </c>
      <c r="AD16" s="81" t="str">
        <f t="shared" si="5"/>
        <v>适中</v>
      </c>
      <c r="AE16" s="72">
        <f>VLOOKUP($AD$1&amp;AD16,【1】定价因子!E:F,2,0)</f>
        <v>1</v>
      </c>
      <c r="AF16" s="81" t="str">
        <f t="shared" si="6"/>
        <v>适中</v>
      </c>
      <c r="AG16" s="72">
        <f>VLOOKUP($AF$1&amp;AF16,【1】定价因子!$E:$F,2,0)</f>
        <v>1</v>
      </c>
      <c r="AH16" s="81" t="str">
        <f t="shared" si="7"/>
        <v>适中</v>
      </c>
      <c r="AI16" s="72">
        <f>VLOOKUP($AH$1&amp;AH16,【1】定价因子!$E:$F,2,0)</f>
        <v>1</v>
      </c>
      <c r="AJ16" s="72" t="str">
        <f>VLOOKUP(H16,'【3-1】大区填-采光基本要素'!A:H,8,0)</f>
        <v>1</v>
      </c>
      <c r="AK16" s="72">
        <f>VLOOKUP($AJ$1&amp;AJ16,【1】定价因子!$E:$F,2,0)</f>
        <v>0.91</v>
      </c>
      <c r="AL16" s="82">
        <f t="shared" si="8"/>
        <v>1370.32074816</v>
      </c>
      <c r="AM16" s="10">
        <v>1360</v>
      </c>
      <c r="AN16" s="83">
        <f t="shared" si="9"/>
        <v>-0.00753162949175068</v>
      </c>
    </row>
    <row r="17" spans="1:40">
      <c r="A17" s="77" t="str">
        <f>'【2】运营中心填-基本信息&amp;审核标准'!$E$2</f>
        <v>兴围中6-20栋</v>
      </c>
      <c r="B17" s="12">
        <f t="shared" si="2"/>
        <v>3</v>
      </c>
      <c r="C17" s="12">
        <f t="shared" si="0"/>
        <v>6</v>
      </c>
      <c r="D17" s="12">
        <f t="shared" si="1"/>
        <v>42</v>
      </c>
      <c r="E17" s="12"/>
      <c r="F17" s="12">
        <f t="shared" si="3"/>
        <v>6</v>
      </c>
      <c r="G17" s="12"/>
      <c r="H17" s="78">
        <v>304</v>
      </c>
      <c r="I17" s="79" t="s">
        <v>472</v>
      </c>
      <c r="J17" s="79" t="s">
        <v>40</v>
      </c>
      <c r="K17" s="12"/>
      <c r="L17" s="80">
        <f>VLOOKUP(J17,'【3】大区填-楼栋基准格局定价'!B:H,7,0)</f>
        <v>1569.408</v>
      </c>
      <c r="M17" s="81" t="str">
        <f t="shared" si="4"/>
        <v>较狭小</v>
      </c>
      <c r="N17" s="81">
        <v>12.14</v>
      </c>
      <c r="O17" s="72">
        <f>VLOOKUP($M$1&amp;M17,【1】定价因子!E:F,2,0)</f>
        <v>0.95</v>
      </c>
      <c r="P17" s="72" t="str">
        <f>IF(COUNTIFS(户型资产表!D:D,I17,户型资产表!G:G,"阳台门")&gt;0,"有","无")</f>
        <v>无</v>
      </c>
      <c r="Q17" s="72">
        <f>VLOOKUP($P$1&amp;P17,【1】定价因子!E:F,2,0)</f>
        <v>1</v>
      </c>
      <c r="R17" s="72" t="str">
        <f>IF('【2】运营中心填-基本信息&amp;审核标准'!$C$4="是","无",IF(INT(H17/100)&gt;9,"9F",INT(H17/100)&amp;"F"))</f>
        <v>3F</v>
      </c>
      <c r="S17" s="72">
        <f>VLOOKUP(R17,【1】定价因子!D:F,3,0)</f>
        <v>1.01</v>
      </c>
      <c r="T17" s="72" t="str">
        <f>IF('【2】运营中心填-基本信息&amp;审核标准'!$C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72">
        <f>VLOOKUP($T$1&amp;T17,【1】定价因子!E:F,2,0)</f>
        <v>1</v>
      </c>
      <c r="V17" s="72" t="str">
        <f>IF(COUNTIFS(户型资产表!D:D,I17,户型资产表!G:G,"操作台")&gt;0,"有","无")</f>
        <v>有</v>
      </c>
      <c r="W17" s="72" t="str">
        <f>IF(COUNTIFS(户型资产表!D:D,I17,户型资产表!G:G,"书桌")&gt;0,"有","无")</f>
        <v>有</v>
      </c>
      <c r="X17" s="72" t="str">
        <f>IF(COUNTIFS(户型资产表!D:D,I17,户型资产表!H:H,"单人沙发02")&gt;0,"有","无")</f>
        <v>无</v>
      </c>
      <c r="Y17" s="72" t="str">
        <f>IF(COUNTIFS(户型资产表!D:D,I17,户型资产表!H:H,"双人沙发01")&gt;0,"有","无")</f>
        <v>无</v>
      </c>
      <c r="Z17" s="72" t="str">
        <f>IF(COUNTIFS(户型资产表!D:D,I17,户型资产表!G:G,"餐桌")&gt;0,"有","无")</f>
        <v>无</v>
      </c>
      <c r="AA17" s="72" t="str">
        <f>IF(COUNTIFS(户型资产表!D:D,I17,户型资产表!G:G,"吸油烟机")&gt;0,"有","无")</f>
        <v>无</v>
      </c>
      <c r="AB17" s="72" t="str">
        <f>IF(COUNTIFS(户型资产表!D:D,I17,户型资产表!G:G,"冰箱")&gt;0,"有","无")</f>
        <v>无</v>
      </c>
      <c r="AC17" s="72" t="str">
        <f>IF(COUNTIFS(户型资产表!D:D,I17,户型资产表!G:G,"电视柜")&gt;0,"有","无")</f>
        <v>无</v>
      </c>
      <c r="AD17" s="81" t="str">
        <f t="shared" si="5"/>
        <v>适中</v>
      </c>
      <c r="AE17" s="72">
        <f>VLOOKUP($AD$1&amp;AD17,【1】定价因子!E:F,2,0)</f>
        <v>1</v>
      </c>
      <c r="AF17" s="81" t="str">
        <f t="shared" si="6"/>
        <v>适中</v>
      </c>
      <c r="AG17" s="72">
        <f>VLOOKUP($AF$1&amp;AF17,【1】定价因子!$E:$F,2,0)</f>
        <v>1</v>
      </c>
      <c r="AH17" s="81" t="str">
        <f t="shared" si="7"/>
        <v>适中</v>
      </c>
      <c r="AI17" s="72">
        <f>VLOOKUP($AH$1&amp;AH17,【1】定价因子!$E:$F,2,0)</f>
        <v>1</v>
      </c>
      <c r="AJ17" s="72" t="str">
        <f>VLOOKUP(H17,'【3-1】大区填-采光基本要素'!A:H,8,0)</f>
        <v>1</v>
      </c>
      <c r="AK17" s="72">
        <f>VLOOKUP($AJ$1&amp;AJ17,【1】定价因子!$E:$F,2,0)</f>
        <v>0.91</v>
      </c>
      <c r="AL17" s="82">
        <f t="shared" si="8"/>
        <v>1370.32074816</v>
      </c>
      <c r="AM17" s="10">
        <v>1360</v>
      </c>
      <c r="AN17" s="83">
        <f t="shared" si="9"/>
        <v>-0.00753162949175068</v>
      </c>
    </row>
    <row r="18" spans="1:40">
      <c r="A18" s="77" t="str">
        <f>'【2】运营中心填-基本信息&amp;审核标准'!$E$2</f>
        <v>兴围中6-20栋</v>
      </c>
      <c r="B18" s="12">
        <f t="shared" si="2"/>
        <v>3</v>
      </c>
      <c r="C18" s="12">
        <f t="shared" si="0"/>
        <v>6</v>
      </c>
      <c r="D18" s="12">
        <f t="shared" si="1"/>
        <v>42</v>
      </c>
      <c r="E18" s="12"/>
      <c r="F18" s="12">
        <f t="shared" si="3"/>
        <v>6</v>
      </c>
      <c r="G18" s="12"/>
      <c r="H18" s="78">
        <v>305</v>
      </c>
      <c r="I18" s="79" t="s">
        <v>471</v>
      </c>
      <c r="J18" s="79" t="s">
        <v>40</v>
      </c>
      <c r="K18" s="12"/>
      <c r="L18" s="80">
        <f>VLOOKUP(J18,'【3】大区填-楼栋基准格局定价'!B:H,7,0)</f>
        <v>1569.408</v>
      </c>
      <c r="M18" s="81" t="str">
        <f t="shared" si="4"/>
        <v>适中</v>
      </c>
      <c r="N18" s="81">
        <v>14.5</v>
      </c>
      <c r="O18" s="72">
        <f>VLOOKUP($M$1&amp;M18,【1】定价因子!E:F,2,0)</f>
        <v>1</v>
      </c>
      <c r="P18" s="72" t="str">
        <f>IF(COUNTIFS(户型资产表!D:D,I18,户型资产表!G:G,"阳台门")&gt;0,"有","无")</f>
        <v>无</v>
      </c>
      <c r="Q18" s="72">
        <f>VLOOKUP($P$1&amp;P18,【1】定价因子!E:F,2,0)</f>
        <v>1</v>
      </c>
      <c r="R18" s="72" t="str">
        <f>IF('【2】运营中心填-基本信息&amp;审核标准'!$C$4="是","无",IF(INT(H18/100)&gt;9,"9F",INT(H18/100)&amp;"F"))</f>
        <v>3F</v>
      </c>
      <c r="S18" s="72">
        <f>VLOOKUP(R18,【1】定价因子!D:F,3,0)</f>
        <v>1.01</v>
      </c>
      <c r="T18" s="72" t="str">
        <f>IF('【2】运营中心填-基本信息&amp;审核标准'!$C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72">
        <f>VLOOKUP($T$1&amp;T18,【1】定价因子!E:F,2,0)</f>
        <v>1</v>
      </c>
      <c r="V18" s="72" t="str">
        <f>IF(COUNTIFS(户型资产表!D:D,I18,户型资产表!G:G,"操作台")&gt;0,"有","无")</f>
        <v>有</v>
      </c>
      <c r="W18" s="72" t="str">
        <f>IF(COUNTIFS(户型资产表!D:D,I18,户型资产表!G:G,"书桌")&gt;0,"有","无")</f>
        <v>有</v>
      </c>
      <c r="X18" s="72" t="str">
        <f>IF(COUNTIFS(户型资产表!D:D,I18,户型资产表!H:H,"单人沙发02")&gt;0,"有","无")</f>
        <v>无</v>
      </c>
      <c r="Y18" s="72" t="str">
        <f>IF(COUNTIFS(户型资产表!D:D,I18,户型资产表!H:H,"双人沙发01")&gt;0,"有","无")</f>
        <v>无</v>
      </c>
      <c r="Z18" s="72" t="str">
        <f>IF(COUNTIFS(户型资产表!D:D,I18,户型资产表!G:G,"餐桌")&gt;0,"有","无")</f>
        <v>无</v>
      </c>
      <c r="AA18" s="72" t="str">
        <f>IF(COUNTIFS(户型资产表!D:D,I18,户型资产表!G:G,"吸油烟机")&gt;0,"有","无")</f>
        <v>无</v>
      </c>
      <c r="AB18" s="72" t="str">
        <f>IF(COUNTIFS(户型资产表!D:D,I18,户型资产表!G:G,"冰箱")&gt;0,"有","无")</f>
        <v>无</v>
      </c>
      <c r="AC18" s="72" t="str">
        <f>IF(COUNTIFS(户型资产表!D:D,I18,户型资产表!G:G,"电视柜")&gt;0,"有","无")</f>
        <v>无</v>
      </c>
      <c r="AD18" s="81" t="str">
        <f t="shared" si="5"/>
        <v>适中</v>
      </c>
      <c r="AE18" s="72">
        <f>VLOOKUP($AD$1&amp;AD18,【1】定价因子!E:F,2,0)</f>
        <v>1</v>
      </c>
      <c r="AF18" s="81" t="str">
        <f t="shared" si="6"/>
        <v>适中</v>
      </c>
      <c r="AG18" s="72">
        <f>VLOOKUP($AF$1&amp;AF18,【1】定价因子!$E:$F,2,0)</f>
        <v>1</v>
      </c>
      <c r="AH18" s="81" t="str">
        <f t="shared" si="7"/>
        <v>适中</v>
      </c>
      <c r="AI18" s="72">
        <f>VLOOKUP($AH$1&amp;AH18,【1】定价因子!$E:$F,2,0)</f>
        <v>1</v>
      </c>
      <c r="AJ18" s="72" t="str">
        <f>VLOOKUP(H18,'【3-1】大区填-采光基本要素'!A:H,8,0)</f>
        <v>1</v>
      </c>
      <c r="AK18" s="72">
        <f>VLOOKUP($AJ$1&amp;AJ18,【1】定价因子!$E:$F,2,0)</f>
        <v>0.91</v>
      </c>
      <c r="AL18" s="82">
        <f t="shared" si="8"/>
        <v>1442.4428928</v>
      </c>
      <c r="AM18" s="10">
        <v>1420</v>
      </c>
      <c r="AN18" s="83">
        <f t="shared" si="9"/>
        <v>-0.0155589471943911</v>
      </c>
    </row>
    <row r="19" spans="1:40">
      <c r="A19" s="77" t="str">
        <f>'【2】运营中心填-基本信息&amp;审核标准'!$E$2</f>
        <v>兴围中6-20栋</v>
      </c>
      <c r="B19" s="12">
        <f t="shared" si="2"/>
        <v>3</v>
      </c>
      <c r="C19" s="12">
        <f t="shared" si="0"/>
        <v>6</v>
      </c>
      <c r="D19" s="12">
        <f t="shared" si="1"/>
        <v>42</v>
      </c>
      <c r="E19" s="12"/>
      <c r="F19" s="12">
        <f t="shared" si="3"/>
        <v>6</v>
      </c>
      <c r="G19" s="12"/>
      <c r="H19" s="78">
        <v>306</v>
      </c>
      <c r="I19" s="79" t="s">
        <v>470</v>
      </c>
      <c r="J19" s="79" t="s">
        <v>43</v>
      </c>
      <c r="K19" s="12"/>
      <c r="L19" s="80">
        <f>VLOOKUP(J19,'【3】大区填-楼栋基准格局定价'!B:H,7,0)</f>
        <v>2329.056</v>
      </c>
      <c r="M19" s="81" t="str">
        <f t="shared" si="4"/>
        <v>较狭小</v>
      </c>
      <c r="N19" s="81">
        <v>20.12</v>
      </c>
      <c r="O19" s="72">
        <f>VLOOKUP($M$1&amp;M19,【1】定价因子!E:F,2,0)</f>
        <v>0.95</v>
      </c>
      <c r="P19" s="72" t="str">
        <f>IF(COUNTIFS(户型资产表!D:D,I19,户型资产表!G:G,"阳台门")&gt;0,"有","无")</f>
        <v>无</v>
      </c>
      <c r="Q19" s="72">
        <f>VLOOKUP($P$1&amp;P19,【1】定价因子!E:F,2,0)</f>
        <v>1</v>
      </c>
      <c r="R19" s="72" t="str">
        <f>IF('【2】运营中心填-基本信息&amp;审核标准'!$C$4="是","无",IF(INT(H19/100)&gt;9,"9F",INT(H19/100)&amp;"F"))</f>
        <v>3F</v>
      </c>
      <c r="S19" s="72">
        <f>VLOOKUP(R19,【1】定价因子!D:F,3,0)</f>
        <v>1.01</v>
      </c>
      <c r="T19" s="72" t="str">
        <f>IF('【2】运营中心填-基本信息&amp;审核标准'!$C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72">
        <f>VLOOKUP($T$1&amp;T19,【1】定价因子!E:F,2,0)</f>
        <v>1</v>
      </c>
      <c r="V19" s="72" t="str">
        <f>IF(COUNTIFS(户型资产表!D:D,I19,户型资产表!G:G,"操作台")&gt;0,"有","无")</f>
        <v>有</v>
      </c>
      <c r="W19" s="72" t="str">
        <f>IF(COUNTIFS(户型资产表!D:D,I19,户型资产表!G:G,"书桌")&gt;0,"有","无")</f>
        <v>无</v>
      </c>
      <c r="X19" s="72" t="str">
        <f>IF(COUNTIFS(户型资产表!D:D,I19,户型资产表!H:H,"单人沙发02")&gt;0,"有","无")</f>
        <v>无</v>
      </c>
      <c r="Y19" s="72" t="str">
        <f>IF(COUNTIFS(户型资产表!D:D,I19,户型资产表!H:H,"双人沙发01")&gt;0,"有","无")</f>
        <v>无</v>
      </c>
      <c r="Z19" s="72" t="str">
        <f>IF(COUNTIFS(户型资产表!D:D,I19,户型资产表!G:G,"餐桌")&gt;0,"有","无")</f>
        <v>有</v>
      </c>
      <c r="AA19" s="72" t="str">
        <f>IF(COUNTIFS(户型资产表!D:D,I19,户型资产表!G:G,"吸油烟机")&gt;0,"有","无")</f>
        <v>无</v>
      </c>
      <c r="AB19" s="72" t="str">
        <f>IF(COUNTIFS(户型资产表!D:D,I19,户型资产表!G:G,"冰箱")&gt;0,"有","无")</f>
        <v>无</v>
      </c>
      <c r="AC19" s="72" t="str">
        <f>IF(COUNTIFS(户型资产表!D:D,I19,户型资产表!G:G,"电视柜")&gt;0,"有","无")</f>
        <v>无</v>
      </c>
      <c r="AD19" s="81" t="str">
        <f t="shared" si="5"/>
        <v>适中</v>
      </c>
      <c r="AE19" s="72">
        <f>VLOOKUP($AD$1&amp;AD19,【1】定价因子!E:F,2,0)</f>
        <v>1</v>
      </c>
      <c r="AF19" s="81" t="str">
        <f t="shared" si="6"/>
        <v>缺失（操作台/双人沙发）</v>
      </c>
      <c r="AG19" s="72">
        <f>VLOOKUP($AF$1&amp;AF19,【1】定价因子!$E:$F,2,0)</f>
        <v>0.96</v>
      </c>
      <c r="AH19" s="81" t="str">
        <f t="shared" si="7"/>
        <v>适中</v>
      </c>
      <c r="AI19" s="72">
        <f>VLOOKUP($AH$1&amp;AH19,【1】定价因子!$E:$F,2,0)</f>
        <v>1</v>
      </c>
      <c r="AJ19" s="72" t="str">
        <f>VLOOKUP(H19,'【3-1】大区填-采光基本要素'!A:H,8,0)</f>
        <v>4</v>
      </c>
      <c r="AK19" s="72">
        <f>VLOOKUP($AJ$1&amp;AJ19,【1】定价因子!$E:$F,2,0)</f>
        <v>1.03</v>
      </c>
      <c r="AL19" s="82">
        <f t="shared" si="8"/>
        <v>2209.7002646016</v>
      </c>
      <c r="AM19" s="10">
        <v>2120</v>
      </c>
      <c r="AN19" s="83">
        <f t="shared" si="9"/>
        <v>-0.0405938606418969</v>
      </c>
    </row>
    <row r="20" spans="1:40">
      <c r="A20" s="77" t="str">
        <f>'【2】运营中心填-基本信息&amp;审核标准'!$E$2</f>
        <v>兴围中6-20栋</v>
      </c>
      <c r="B20" s="12">
        <f t="shared" si="2"/>
        <v>4</v>
      </c>
      <c r="C20" s="12">
        <f t="shared" si="0"/>
        <v>6</v>
      </c>
      <c r="D20" s="12">
        <f t="shared" si="1"/>
        <v>42</v>
      </c>
      <c r="E20" s="12"/>
      <c r="F20" s="12">
        <f t="shared" si="3"/>
        <v>6</v>
      </c>
      <c r="G20" s="12"/>
      <c r="H20" s="78">
        <v>401</v>
      </c>
      <c r="I20" s="79" t="s">
        <v>470</v>
      </c>
      <c r="J20" s="79" t="s">
        <v>43</v>
      </c>
      <c r="K20" s="12"/>
      <c r="L20" s="80">
        <f>VLOOKUP(J20,'【3】大区填-楼栋基准格局定价'!B:H,7,0)</f>
        <v>2329.056</v>
      </c>
      <c r="M20" s="81" t="str">
        <f t="shared" si="4"/>
        <v>较狭小</v>
      </c>
      <c r="N20" s="81">
        <v>20.42</v>
      </c>
      <c r="O20" s="72">
        <f>VLOOKUP($M$1&amp;M20,【1】定价因子!E:F,2,0)</f>
        <v>0.95</v>
      </c>
      <c r="P20" s="72" t="str">
        <f>IF(COUNTIFS(户型资产表!D:D,I20,户型资产表!G:G,"阳台门")&gt;0,"有","无")</f>
        <v>无</v>
      </c>
      <c r="Q20" s="72">
        <f>VLOOKUP($P$1&amp;P20,【1】定价因子!E:F,2,0)</f>
        <v>1</v>
      </c>
      <c r="R20" s="72" t="str">
        <f>IF('【2】运营中心填-基本信息&amp;审核标准'!$C$4="是","无",IF(INT(H20/100)&gt;9,"9F",INT(H20/100)&amp;"F"))</f>
        <v>4F</v>
      </c>
      <c r="S20" s="72">
        <f>VLOOKUP(R20,【1】定价因子!D:F,3,0)</f>
        <v>1</v>
      </c>
      <c r="T20" s="72" t="str">
        <f>IF('【2】运营中心填-基本信息&amp;审核标准'!$C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72">
        <f>VLOOKUP($T$1&amp;T20,【1】定价因子!E:F,2,0)</f>
        <v>1</v>
      </c>
      <c r="V20" s="72" t="str">
        <f>IF(COUNTIFS(户型资产表!D:D,I20,户型资产表!G:G,"操作台")&gt;0,"有","无")</f>
        <v>有</v>
      </c>
      <c r="W20" s="72" t="str">
        <f>IF(COUNTIFS(户型资产表!D:D,I20,户型资产表!G:G,"书桌")&gt;0,"有","无")</f>
        <v>无</v>
      </c>
      <c r="X20" s="72" t="str">
        <f>IF(COUNTIFS(户型资产表!D:D,I20,户型资产表!H:H,"单人沙发02")&gt;0,"有","无")</f>
        <v>无</v>
      </c>
      <c r="Y20" s="72" t="str">
        <f>IF(COUNTIFS(户型资产表!D:D,I20,户型资产表!H:H,"双人沙发01")&gt;0,"有","无")</f>
        <v>无</v>
      </c>
      <c r="Z20" s="72" t="str">
        <f>IF(COUNTIFS(户型资产表!D:D,I20,户型资产表!G:G,"餐桌")&gt;0,"有","无")</f>
        <v>有</v>
      </c>
      <c r="AA20" s="72" t="str">
        <f>IF(COUNTIFS(户型资产表!D:D,I20,户型资产表!G:G,"吸油烟机")&gt;0,"有","无")</f>
        <v>无</v>
      </c>
      <c r="AB20" s="72" t="str">
        <f>IF(COUNTIFS(户型资产表!D:D,I20,户型资产表!G:G,"冰箱")&gt;0,"有","无")</f>
        <v>无</v>
      </c>
      <c r="AC20" s="72" t="str">
        <f>IF(COUNTIFS(户型资产表!D:D,I20,户型资产表!G:G,"电视柜")&gt;0,"有","无")</f>
        <v>无</v>
      </c>
      <c r="AD20" s="81" t="str">
        <f t="shared" si="5"/>
        <v>适中</v>
      </c>
      <c r="AE20" s="72">
        <f>VLOOKUP($AD$1&amp;AD20,【1】定价因子!E:F,2,0)</f>
        <v>1</v>
      </c>
      <c r="AF20" s="81" t="str">
        <f t="shared" si="6"/>
        <v>缺失（操作台/双人沙发）</v>
      </c>
      <c r="AG20" s="72">
        <f>VLOOKUP($AF$1&amp;AF20,【1】定价因子!$E:$F,2,0)</f>
        <v>0.96</v>
      </c>
      <c r="AH20" s="81" t="str">
        <f t="shared" si="7"/>
        <v>适中</v>
      </c>
      <c r="AI20" s="72">
        <f>VLOOKUP($AH$1&amp;AH20,【1】定价因子!$E:$F,2,0)</f>
        <v>1</v>
      </c>
      <c r="AJ20" s="72" t="str">
        <f>VLOOKUP(H20,'【3-1】大区填-采光基本要素'!A:H,8,0)</f>
        <v>4</v>
      </c>
      <c r="AK20" s="72">
        <f>VLOOKUP($AJ$1&amp;AJ20,【1】定价因子!$E:$F,2,0)</f>
        <v>1.03</v>
      </c>
      <c r="AL20" s="82">
        <f t="shared" si="8"/>
        <v>2187.82204416</v>
      </c>
      <c r="AM20" s="10">
        <v>2080</v>
      </c>
      <c r="AN20" s="83">
        <f t="shared" si="9"/>
        <v>-0.049282821904008</v>
      </c>
    </row>
    <row r="21" spans="1:40">
      <c r="A21" s="77" t="str">
        <f>'【2】运营中心填-基本信息&amp;审核标准'!$E$2</f>
        <v>兴围中6-20栋</v>
      </c>
      <c r="B21" s="12">
        <f t="shared" si="2"/>
        <v>4</v>
      </c>
      <c r="C21" s="12">
        <f t="shared" si="0"/>
        <v>6</v>
      </c>
      <c r="D21" s="12">
        <f t="shared" si="1"/>
        <v>42</v>
      </c>
      <c r="E21" s="12"/>
      <c r="F21" s="12">
        <f t="shared" si="3"/>
        <v>6</v>
      </c>
      <c r="G21" s="12"/>
      <c r="H21" s="78">
        <v>402</v>
      </c>
      <c r="I21" s="79" t="s">
        <v>471</v>
      </c>
      <c r="J21" s="79" t="s">
        <v>40</v>
      </c>
      <c r="K21" s="12"/>
      <c r="L21" s="80">
        <f>VLOOKUP(J21,'【3】大区填-楼栋基准格局定价'!B:H,7,0)</f>
        <v>1569.408</v>
      </c>
      <c r="M21" s="81" t="str">
        <f t="shared" si="4"/>
        <v>适中</v>
      </c>
      <c r="N21" s="81">
        <v>13.99</v>
      </c>
      <c r="O21" s="72">
        <f>VLOOKUP($M$1&amp;M21,【1】定价因子!E:F,2,0)</f>
        <v>1</v>
      </c>
      <c r="P21" s="72" t="str">
        <f>IF(COUNTIFS(户型资产表!D:D,I21,户型资产表!G:G,"阳台门")&gt;0,"有","无")</f>
        <v>无</v>
      </c>
      <c r="Q21" s="72">
        <f>VLOOKUP($P$1&amp;P21,【1】定价因子!E:F,2,0)</f>
        <v>1</v>
      </c>
      <c r="R21" s="72" t="str">
        <f>IF('【2】运营中心填-基本信息&amp;审核标准'!$C$4="是","无",IF(INT(H21/100)&gt;9,"9F",INT(H21/100)&amp;"F"))</f>
        <v>4F</v>
      </c>
      <c r="S21" s="72">
        <f>VLOOKUP(R21,【1】定价因子!D:F,3,0)</f>
        <v>1</v>
      </c>
      <c r="T21" s="72" t="str">
        <f>IF('【2】运营中心填-基本信息&amp;审核标准'!$C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72">
        <f>VLOOKUP($T$1&amp;T21,【1】定价因子!E:F,2,0)</f>
        <v>1</v>
      </c>
      <c r="V21" s="72" t="str">
        <f>IF(COUNTIFS(户型资产表!D:D,I21,户型资产表!G:G,"操作台")&gt;0,"有","无")</f>
        <v>有</v>
      </c>
      <c r="W21" s="72" t="str">
        <f>IF(COUNTIFS(户型资产表!D:D,I21,户型资产表!G:G,"书桌")&gt;0,"有","无")</f>
        <v>有</v>
      </c>
      <c r="X21" s="72" t="str">
        <f>IF(COUNTIFS(户型资产表!D:D,I21,户型资产表!H:H,"单人沙发02")&gt;0,"有","无")</f>
        <v>无</v>
      </c>
      <c r="Y21" s="72" t="str">
        <f>IF(COUNTIFS(户型资产表!D:D,I21,户型资产表!H:H,"双人沙发01")&gt;0,"有","无")</f>
        <v>无</v>
      </c>
      <c r="Z21" s="72" t="str">
        <f>IF(COUNTIFS(户型资产表!D:D,I21,户型资产表!G:G,"餐桌")&gt;0,"有","无")</f>
        <v>无</v>
      </c>
      <c r="AA21" s="72" t="str">
        <f>IF(COUNTIFS(户型资产表!D:D,I21,户型资产表!G:G,"吸油烟机")&gt;0,"有","无")</f>
        <v>无</v>
      </c>
      <c r="AB21" s="72" t="str">
        <f>IF(COUNTIFS(户型资产表!D:D,I21,户型资产表!G:G,"冰箱")&gt;0,"有","无")</f>
        <v>无</v>
      </c>
      <c r="AC21" s="72" t="str">
        <f>IF(COUNTIFS(户型资产表!D:D,I21,户型资产表!G:G,"电视柜")&gt;0,"有","无")</f>
        <v>无</v>
      </c>
      <c r="AD21" s="81" t="str">
        <f t="shared" si="5"/>
        <v>适中</v>
      </c>
      <c r="AE21" s="72">
        <f>VLOOKUP($AD$1&amp;AD21,【1】定价因子!E:F,2,0)</f>
        <v>1</v>
      </c>
      <c r="AF21" s="81" t="str">
        <f t="shared" si="6"/>
        <v>适中</v>
      </c>
      <c r="AG21" s="72">
        <f>VLOOKUP($AF$1&amp;AF21,【1】定价因子!$E:$F,2,0)</f>
        <v>1</v>
      </c>
      <c r="AH21" s="81" t="str">
        <f t="shared" si="7"/>
        <v>适中</v>
      </c>
      <c r="AI21" s="72">
        <f>VLOOKUP($AH$1&amp;AH21,【1】定价因子!$E:$F,2,0)</f>
        <v>1</v>
      </c>
      <c r="AJ21" s="72" t="str">
        <f>VLOOKUP(H21,'【3-1】大区填-采光基本要素'!A:H,8,0)</f>
        <v>3</v>
      </c>
      <c r="AK21" s="72">
        <f>VLOOKUP($AJ$1&amp;AJ21,【1】定价因子!$E:$F,2,0)</f>
        <v>1</v>
      </c>
      <c r="AL21" s="82">
        <f t="shared" si="8"/>
        <v>1569.408</v>
      </c>
      <c r="AM21" s="10">
        <v>1530</v>
      </c>
      <c r="AN21" s="83">
        <f t="shared" si="9"/>
        <v>-0.0251101052116466</v>
      </c>
    </row>
    <row r="22" spans="1:40">
      <c r="A22" s="77" t="str">
        <f>'【2】运营中心填-基本信息&amp;审核标准'!$E$2</f>
        <v>兴围中6-20栋</v>
      </c>
      <c r="B22" s="12">
        <f t="shared" si="2"/>
        <v>4</v>
      </c>
      <c r="C22" s="12">
        <f t="shared" si="0"/>
        <v>6</v>
      </c>
      <c r="D22" s="12">
        <f t="shared" si="1"/>
        <v>42</v>
      </c>
      <c r="E22" s="12"/>
      <c r="F22" s="12">
        <f t="shared" si="3"/>
        <v>6</v>
      </c>
      <c r="G22" s="12"/>
      <c r="H22" s="78">
        <v>403</v>
      </c>
      <c r="I22" s="79" t="s">
        <v>472</v>
      </c>
      <c r="J22" s="79" t="s">
        <v>40</v>
      </c>
      <c r="K22" s="12"/>
      <c r="L22" s="80">
        <f>VLOOKUP(J22,'【3】大区填-楼栋基准格局定价'!B:H,7,0)</f>
        <v>1569.408</v>
      </c>
      <c r="M22" s="81" t="str">
        <f t="shared" si="4"/>
        <v>较狭小</v>
      </c>
      <c r="N22" s="81">
        <v>12.35</v>
      </c>
      <c r="O22" s="72">
        <f>VLOOKUP($M$1&amp;M22,【1】定价因子!E:F,2,0)</f>
        <v>0.95</v>
      </c>
      <c r="P22" s="72" t="str">
        <f>IF(COUNTIFS(户型资产表!D:D,I22,户型资产表!G:G,"阳台门")&gt;0,"有","无")</f>
        <v>无</v>
      </c>
      <c r="Q22" s="72">
        <f>VLOOKUP($P$1&amp;P22,【1】定价因子!E:F,2,0)</f>
        <v>1</v>
      </c>
      <c r="R22" s="72" t="str">
        <f>IF('【2】运营中心填-基本信息&amp;审核标准'!$C$4="是","无",IF(INT(H22/100)&gt;9,"9F",INT(H22/100)&amp;"F"))</f>
        <v>4F</v>
      </c>
      <c r="S22" s="72">
        <f>VLOOKUP(R22,【1】定价因子!D:F,3,0)</f>
        <v>1</v>
      </c>
      <c r="T22" s="72" t="str">
        <f>IF('【2】运营中心填-基本信息&amp;审核标准'!$C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72">
        <f>VLOOKUP($T$1&amp;T22,【1】定价因子!E:F,2,0)</f>
        <v>1</v>
      </c>
      <c r="V22" s="72" t="str">
        <f>IF(COUNTIFS(户型资产表!D:D,I22,户型资产表!G:G,"操作台")&gt;0,"有","无")</f>
        <v>有</v>
      </c>
      <c r="W22" s="72" t="str">
        <f>IF(COUNTIFS(户型资产表!D:D,I22,户型资产表!G:G,"书桌")&gt;0,"有","无")</f>
        <v>有</v>
      </c>
      <c r="X22" s="72" t="str">
        <f>IF(COUNTIFS(户型资产表!D:D,I22,户型资产表!H:H,"单人沙发02")&gt;0,"有","无")</f>
        <v>无</v>
      </c>
      <c r="Y22" s="72" t="str">
        <f>IF(COUNTIFS(户型资产表!D:D,I22,户型资产表!H:H,"双人沙发01")&gt;0,"有","无")</f>
        <v>无</v>
      </c>
      <c r="Z22" s="72" t="str">
        <f>IF(COUNTIFS(户型资产表!D:D,I22,户型资产表!G:G,"餐桌")&gt;0,"有","无")</f>
        <v>无</v>
      </c>
      <c r="AA22" s="72" t="str">
        <f>IF(COUNTIFS(户型资产表!D:D,I22,户型资产表!G:G,"吸油烟机")&gt;0,"有","无")</f>
        <v>无</v>
      </c>
      <c r="AB22" s="72" t="str">
        <f>IF(COUNTIFS(户型资产表!D:D,I22,户型资产表!G:G,"冰箱")&gt;0,"有","无")</f>
        <v>无</v>
      </c>
      <c r="AC22" s="72" t="str">
        <f>IF(COUNTIFS(户型资产表!D:D,I22,户型资产表!G:G,"电视柜")&gt;0,"有","无")</f>
        <v>无</v>
      </c>
      <c r="AD22" s="81" t="str">
        <f t="shared" si="5"/>
        <v>适中</v>
      </c>
      <c r="AE22" s="72">
        <f>VLOOKUP($AD$1&amp;AD22,【1】定价因子!E:F,2,0)</f>
        <v>1</v>
      </c>
      <c r="AF22" s="81" t="str">
        <f t="shared" si="6"/>
        <v>适中</v>
      </c>
      <c r="AG22" s="72">
        <f>VLOOKUP($AF$1&amp;AF22,【1】定价因子!$E:$F,2,0)</f>
        <v>1</v>
      </c>
      <c r="AH22" s="81" t="str">
        <f t="shared" si="7"/>
        <v>适中</v>
      </c>
      <c r="AI22" s="72">
        <f>VLOOKUP($AH$1&amp;AH22,【1】定价因子!$E:$F,2,0)</f>
        <v>1</v>
      </c>
      <c r="AJ22" s="72" t="str">
        <f>VLOOKUP(H22,'【3-1】大区填-采光基本要素'!A:H,8,0)</f>
        <v>1</v>
      </c>
      <c r="AK22" s="72">
        <f>VLOOKUP($AJ$1&amp;AJ22,【1】定价因子!$E:$F,2,0)</f>
        <v>0.91</v>
      </c>
      <c r="AL22" s="82">
        <f t="shared" si="8"/>
        <v>1356.753216</v>
      </c>
      <c r="AM22" s="10">
        <v>1350</v>
      </c>
      <c r="AN22" s="83">
        <f t="shared" si="9"/>
        <v>-0.00497748295000155</v>
      </c>
    </row>
    <row r="23" spans="1:40">
      <c r="A23" s="77" t="str">
        <f>'【2】运营中心填-基本信息&amp;审核标准'!$E$2</f>
        <v>兴围中6-20栋</v>
      </c>
      <c r="B23" s="12">
        <f t="shared" si="2"/>
        <v>4</v>
      </c>
      <c r="C23" s="12">
        <f t="shared" si="0"/>
        <v>6</v>
      </c>
      <c r="D23" s="12">
        <f t="shared" si="1"/>
        <v>42</v>
      </c>
      <c r="E23" s="12"/>
      <c r="F23" s="12">
        <f t="shared" si="3"/>
        <v>6</v>
      </c>
      <c r="G23" s="12"/>
      <c r="H23" s="78">
        <v>404</v>
      </c>
      <c r="I23" s="79" t="s">
        <v>472</v>
      </c>
      <c r="J23" s="79" t="s">
        <v>40</v>
      </c>
      <c r="K23" s="12"/>
      <c r="L23" s="80">
        <f>VLOOKUP(J23,'【3】大区填-楼栋基准格局定价'!B:H,7,0)</f>
        <v>1569.408</v>
      </c>
      <c r="M23" s="81" t="str">
        <f t="shared" si="4"/>
        <v>较狭小</v>
      </c>
      <c r="N23" s="81">
        <v>12.14</v>
      </c>
      <c r="O23" s="72">
        <f>VLOOKUP($M$1&amp;M23,【1】定价因子!E:F,2,0)</f>
        <v>0.95</v>
      </c>
      <c r="P23" s="72" t="str">
        <f>IF(COUNTIFS(户型资产表!D:D,I23,户型资产表!G:G,"阳台门")&gt;0,"有","无")</f>
        <v>无</v>
      </c>
      <c r="Q23" s="72">
        <f>VLOOKUP($P$1&amp;P23,【1】定价因子!E:F,2,0)</f>
        <v>1</v>
      </c>
      <c r="R23" s="72" t="str">
        <f>IF('【2】运营中心填-基本信息&amp;审核标准'!$C$4="是","无",IF(INT(H23/100)&gt;9,"9F",INT(H23/100)&amp;"F"))</f>
        <v>4F</v>
      </c>
      <c r="S23" s="72">
        <f>VLOOKUP(R23,【1】定价因子!D:F,3,0)</f>
        <v>1</v>
      </c>
      <c r="T23" s="72" t="str">
        <f>IF('【2】运营中心填-基本信息&amp;审核标准'!$C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72">
        <f>VLOOKUP($T$1&amp;T23,【1】定价因子!E:F,2,0)</f>
        <v>1</v>
      </c>
      <c r="V23" s="72" t="str">
        <f>IF(COUNTIFS(户型资产表!D:D,I23,户型资产表!G:G,"操作台")&gt;0,"有","无")</f>
        <v>有</v>
      </c>
      <c r="W23" s="72" t="str">
        <f>IF(COUNTIFS(户型资产表!D:D,I23,户型资产表!G:G,"书桌")&gt;0,"有","无")</f>
        <v>有</v>
      </c>
      <c r="X23" s="72" t="str">
        <f>IF(COUNTIFS(户型资产表!D:D,I23,户型资产表!H:H,"单人沙发02")&gt;0,"有","无")</f>
        <v>无</v>
      </c>
      <c r="Y23" s="72" t="str">
        <f>IF(COUNTIFS(户型资产表!D:D,I23,户型资产表!H:H,"双人沙发01")&gt;0,"有","无")</f>
        <v>无</v>
      </c>
      <c r="Z23" s="72" t="str">
        <f>IF(COUNTIFS(户型资产表!D:D,I23,户型资产表!G:G,"餐桌")&gt;0,"有","无")</f>
        <v>无</v>
      </c>
      <c r="AA23" s="72" t="str">
        <f>IF(COUNTIFS(户型资产表!D:D,I23,户型资产表!G:G,"吸油烟机")&gt;0,"有","无")</f>
        <v>无</v>
      </c>
      <c r="AB23" s="72" t="str">
        <f>IF(COUNTIFS(户型资产表!D:D,I23,户型资产表!G:G,"冰箱")&gt;0,"有","无")</f>
        <v>无</v>
      </c>
      <c r="AC23" s="72" t="str">
        <f>IF(COUNTIFS(户型资产表!D:D,I23,户型资产表!G:G,"电视柜")&gt;0,"有","无")</f>
        <v>无</v>
      </c>
      <c r="AD23" s="81" t="str">
        <f t="shared" si="5"/>
        <v>适中</v>
      </c>
      <c r="AE23" s="72">
        <f>VLOOKUP($AD$1&amp;AD23,【1】定价因子!E:F,2,0)</f>
        <v>1</v>
      </c>
      <c r="AF23" s="81" t="str">
        <f t="shared" si="6"/>
        <v>适中</v>
      </c>
      <c r="AG23" s="72">
        <f>VLOOKUP($AF$1&amp;AF23,【1】定价因子!$E:$F,2,0)</f>
        <v>1</v>
      </c>
      <c r="AH23" s="81" t="str">
        <f t="shared" si="7"/>
        <v>适中</v>
      </c>
      <c r="AI23" s="72">
        <f>VLOOKUP($AH$1&amp;AH23,【1】定价因子!$E:$F,2,0)</f>
        <v>1</v>
      </c>
      <c r="AJ23" s="72" t="str">
        <f>VLOOKUP(H23,'【3-1】大区填-采光基本要素'!A:H,8,0)</f>
        <v>1</v>
      </c>
      <c r="AK23" s="72">
        <f>VLOOKUP($AJ$1&amp;AJ23,【1】定价因子!$E:$F,2,0)</f>
        <v>0.91</v>
      </c>
      <c r="AL23" s="82">
        <f t="shared" si="8"/>
        <v>1356.753216</v>
      </c>
      <c r="AM23" s="10">
        <v>1350</v>
      </c>
      <c r="AN23" s="83">
        <f t="shared" si="9"/>
        <v>-0.00497748295000155</v>
      </c>
    </row>
    <row r="24" spans="1:40">
      <c r="A24" s="77" t="str">
        <f>'【2】运营中心填-基本信息&amp;审核标准'!$E$2</f>
        <v>兴围中6-20栋</v>
      </c>
      <c r="B24" s="12">
        <f t="shared" si="2"/>
        <v>4</v>
      </c>
      <c r="C24" s="12">
        <f t="shared" si="0"/>
        <v>6</v>
      </c>
      <c r="D24" s="12">
        <f t="shared" si="1"/>
        <v>42</v>
      </c>
      <c r="E24" s="12"/>
      <c r="F24" s="12">
        <f t="shared" si="3"/>
        <v>6</v>
      </c>
      <c r="G24" s="12"/>
      <c r="H24" s="78">
        <v>405</v>
      </c>
      <c r="I24" s="79" t="s">
        <v>471</v>
      </c>
      <c r="J24" s="79" t="s">
        <v>40</v>
      </c>
      <c r="K24" s="12"/>
      <c r="L24" s="80">
        <f>VLOOKUP(J24,'【3】大区填-楼栋基准格局定价'!B:H,7,0)</f>
        <v>1569.408</v>
      </c>
      <c r="M24" s="81" t="str">
        <f t="shared" si="4"/>
        <v>适中</v>
      </c>
      <c r="N24" s="81">
        <v>14.5</v>
      </c>
      <c r="O24" s="72">
        <f>VLOOKUP($M$1&amp;M24,【1】定价因子!E:F,2,0)</f>
        <v>1</v>
      </c>
      <c r="P24" s="72" t="str">
        <f>IF(COUNTIFS(户型资产表!D:D,I24,户型资产表!G:G,"阳台门")&gt;0,"有","无")</f>
        <v>无</v>
      </c>
      <c r="Q24" s="72">
        <f>VLOOKUP($P$1&amp;P24,【1】定价因子!E:F,2,0)</f>
        <v>1</v>
      </c>
      <c r="R24" s="72" t="str">
        <f>IF('【2】运营中心填-基本信息&amp;审核标准'!$C$4="是","无",IF(INT(H24/100)&gt;9,"9F",INT(H24/100)&amp;"F"))</f>
        <v>4F</v>
      </c>
      <c r="S24" s="72">
        <f>VLOOKUP(R24,【1】定价因子!D:F,3,0)</f>
        <v>1</v>
      </c>
      <c r="T24" s="72" t="str">
        <f>IF('【2】运营中心填-基本信息&amp;审核标准'!$C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72">
        <f>VLOOKUP($T$1&amp;T24,【1】定价因子!E:F,2,0)</f>
        <v>1</v>
      </c>
      <c r="V24" s="72" t="str">
        <f>IF(COUNTIFS(户型资产表!D:D,I24,户型资产表!G:G,"操作台")&gt;0,"有","无")</f>
        <v>有</v>
      </c>
      <c r="W24" s="72" t="str">
        <f>IF(COUNTIFS(户型资产表!D:D,I24,户型资产表!G:G,"书桌")&gt;0,"有","无")</f>
        <v>有</v>
      </c>
      <c r="X24" s="72" t="str">
        <f>IF(COUNTIFS(户型资产表!D:D,I24,户型资产表!H:H,"单人沙发02")&gt;0,"有","无")</f>
        <v>无</v>
      </c>
      <c r="Y24" s="72" t="str">
        <f>IF(COUNTIFS(户型资产表!D:D,I24,户型资产表!H:H,"双人沙发01")&gt;0,"有","无")</f>
        <v>无</v>
      </c>
      <c r="Z24" s="72" t="str">
        <f>IF(COUNTIFS(户型资产表!D:D,I24,户型资产表!G:G,"餐桌")&gt;0,"有","无")</f>
        <v>无</v>
      </c>
      <c r="AA24" s="72" t="str">
        <f>IF(COUNTIFS(户型资产表!D:D,I24,户型资产表!G:G,"吸油烟机")&gt;0,"有","无")</f>
        <v>无</v>
      </c>
      <c r="AB24" s="72" t="str">
        <f>IF(COUNTIFS(户型资产表!D:D,I24,户型资产表!G:G,"冰箱")&gt;0,"有","无")</f>
        <v>无</v>
      </c>
      <c r="AC24" s="72" t="str">
        <f>IF(COUNTIFS(户型资产表!D:D,I24,户型资产表!G:G,"电视柜")&gt;0,"有","无")</f>
        <v>无</v>
      </c>
      <c r="AD24" s="81" t="str">
        <f t="shared" si="5"/>
        <v>适中</v>
      </c>
      <c r="AE24" s="72">
        <f>VLOOKUP($AD$1&amp;AD24,【1】定价因子!E:F,2,0)</f>
        <v>1</v>
      </c>
      <c r="AF24" s="81" t="str">
        <f t="shared" si="6"/>
        <v>适中</v>
      </c>
      <c r="AG24" s="72">
        <f>VLOOKUP($AF$1&amp;AF24,【1】定价因子!$E:$F,2,0)</f>
        <v>1</v>
      </c>
      <c r="AH24" s="81" t="str">
        <f t="shared" si="7"/>
        <v>适中</v>
      </c>
      <c r="AI24" s="72">
        <f>VLOOKUP($AH$1&amp;AH24,【1】定价因子!$E:$F,2,0)</f>
        <v>1</v>
      </c>
      <c r="AJ24" s="72" t="str">
        <f>VLOOKUP(H24,'【3-1】大区填-采光基本要素'!A:H,8,0)</f>
        <v>1</v>
      </c>
      <c r="AK24" s="72">
        <f>VLOOKUP($AJ$1&amp;AJ24,【1】定价因子!$E:$F,2,0)</f>
        <v>0.91</v>
      </c>
      <c r="AL24" s="82">
        <f t="shared" si="8"/>
        <v>1428.16128</v>
      </c>
      <c r="AM24" s="10">
        <v>1410</v>
      </c>
      <c r="AN24" s="83">
        <f t="shared" si="9"/>
        <v>-0.0127165469715017</v>
      </c>
    </row>
    <row r="25" spans="1:40">
      <c r="A25" s="77" t="str">
        <f>'【2】运营中心填-基本信息&amp;审核标准'!$E$2</f>
        <v>兴围中6-20栋</v>
      </c>
      <c r="B25" s="12">
        <f t="shared" si="2"/>
        <v>4</v>
      </c>
      <c r="C25" s="12">
        <f t="shared" si="0"/>
        <v>6</v>
      </c>
      <c r="D25" s="12">
        <f t="shared" si="1"/>
        <v>42</v>
      </c>
      <c r="E25" s="12"/>
      <c r="F25" s="12">
        <f t="shared" si="3"/>
        <v>6</v>
      </c>
      <c r="G25" s="12"/>
      <c r="H25" s="78">
        <v>406</v>
      </c>
      <c r="I25" s="79" t="s">
        <v>470</v>
      </c>
      <c r="J25" s="79" t="s">
        <v>43</v>
      </c>
      <c r="K25" s="12"/>
      <c r="L25" s="80">
        <f>VLOOKUP(J25,'【3】大区填-楼栋基准格局定价'!B:H,7,0)</f>
        <v>2329.056</v>
      </c>
      <c r="M25" s="81" t="str">
        <f t="shared" si="4"/>
        <v>较狭小</v>
      </c>
      <c r="N25" s="81">
        <v>20.12</v>
      </c>
      <c r="O25" s="72">
        <f>VLOOKUP($M$1&amp;M25,【1】定价因子!E:F,2,0)</f>
        <v>0.95</v>
      </c>
      <c r="P25" s="72" t="str">
        <f>IF(COUNTIFS(户型资产表!D:D,I25,户型资产表!G:G,"阳台门")&gt;0,"有","无")</f>
        <v>无</v>
      </c>
      <c r="Q25" s="72">
        <f>VLOOKUP($P$1&amp;P25,【1】定价因子!E:F,2,0)</f>
        <v>1</v>
      </c>
      <c r="R25" s="72" t="str">
        <f>IF('【2】运营中心填-基本信息&amp;审核标准'!$C$4="是","无",IF(INT(H25/100)&gt;9,"9F",INT(H25/100)&amp;"F"))</f>
        <v>4F</v>
      </c>
      <c r="S25" s="72">
        <f>VLOOKUP(R25,【1】定价因子!D:F,3,0)</f>
        <v>1</v>
      </c>
      <c r="T25" s="72" t="str">
        <f>IF('【2】运营中心填-基本信息&amp;审核标准'!$C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72">
        <f>VLOOKUP($T$1&amp;T25,【1】定价因子!E:F,2,0)</f>
        <v>1</v>
      </c>
      <c r="V25" s="72" t="str">
        <f>IF(COUNTIFS(户型资产表!D:D,I25,户型资产表!G:G,"操作台")&gt;0,"有","无")</f>
        <v>有</v>
      </c>
      <c r="W25" s="72" t="str">
        <f>IF(COUNTIFS(户型资产表!D:D,I25,户型资产表!G:G,"书桌")&gt;0,"有","无")</f>
        <v>无</v>
      </c>
      <c r="X25" s="72" t="str">
        <f>IF(COUNTIFS(户型资产表!D:D,I25,户型资产表!H:H,"单人沙发02")&gt;0,"有","无")</f>
        <v>无</v>
      </c>
      <c r="Y25" s="72" t="str">
        <f>IF(COUNTIFS(户型资产表!D:D,I25,户型资产表!H:H,"双人沙发01")&gt;0,"有","无")</f>
        <v>无</v>
      </c>
      <c r="Z25" s="72" t="str">
        <f>IF(COUNTIFS(户型资产表!D:D,I25,户型资产表!G:G,"餐桌")&gt;0,"有","无")</f>
        <v>有</v>
      </c>
      <c r="AA25" s="72" t="str">
        <f>IF(COUNTIFS(户型资产表!D:D,I25,户型资产表!G:G,"吸油烟机")&gt;0,"有","无")</f>
        <v>无</v>
      </c>
      <c r="AB25" s="72" t="str">
        <f>IF(COUNTIFS(户型资产表!D:D,I25,户型资产表!G:G,"冰箱")&gt;0,"有","无")</f>
        <v>无</v>
      </c>
      <c r="AC25" s="72" t="str">
        <f>IF(COUNTIFS(户型资产表!D:D,I25,户型资产表!G:G,"电视柜")&gt;0,"有","无")</f>
        <v>无</v>
      </c>
      <c r="AD25" s="81" t="str">
        <f t="shared" si="5"/>
        <v>适中</v>
      </c>
      <c r="AE25" s="72">
        <f>VLOOKUP($AD$1&amp;AD25,【1】定价因子!E:F,2,0)</f>
        <v>1</v>
      </c>
      <c r="AF25" s="81" t="str">
        <f t="shared" si="6"/>
        <v>缺失（操作台/双人沙发）</v>
      </c>
      <c r="AG25" s="72">
        <f>VLOOKUP($AF$1&amp;AF25,【1】定价因子!$E:$F,2,0)</f>
        <v>0.96</v>
      </c>
      <c r="AH25" s="81" t="str">
        <f t="shared" si="7"/>
        <v>适中</v>
      </c>
      <c r="AI25" s="72">
        <f>VLOOKUP($AH$1&amp;AH25,【1】定价因子!$E:$F,2,0)</f>
        <v>1</v>
      </c>
      <c r="AJ25" s="72" t="str">
        <f>VLOOKUP(H25,'【3-1】大区填-采光基本要素'!A:H,8,0)</f>
        <v>4</v>
      </c>
      <c r="AK25" s="72">
        <f>VLOOKUP($AJ$1&amp;AJ25,【1】定价因子!$E:$F,2,0)</f>
        <v>1.03</v>
      </c>
      <c r="AL25" s="82">
        <f t="shared" si="8"/>
        <v>2187.82204416</v>
      </c>
      <c r="AM25" s="10">
        <v>2080</v>
      </c>
      <c r="AN25" s="83">
        <f t="shared" si="9"/>
        <v>-0.049282821904008</v>
      </c>
    </row>
    <row r="26" spans="1:40">
      <c r="A26" s="77" t="str">
        <f>'【2】运营中心填-基本信息&amp;审核标准'!$E$2</f>
        <v>兴围中6-20栋</v>
      </c>
      <c r="B26" s="12">
        <f t="shared" si="2"/>
        <v>5</v>
      </c>
      <c r="C26" s="12">
        <f t="shared" si="0"/>
        <v>6</v>
      </c>
      <c r="D26" s="12">
        <f t="shared" si="1"/>
        <v>42</v>
      </c>
      <c r="E26" s="12"/>
      <c r="F26" s="12">
        <f t="shared" si="3"/>
        <v>6</v>
      </c>
      <c r="G26" s="12"/>
      <c r="H26" s="78">
        <v>501</v>
      </c>
      <c r="I26" s="79" t="s">
        <v>470</v>
      </c>
      <c r="J26" s="79" t="s">
        <v>43</v>
      </c>
      <c r="K26" s="12"/>
      <c r="L26" s="80">
        <f>VLOOKUP(J26,'【3】大区填-楼栋基准格局定价'!B:H,7,0)</f>
        <v>2329.056</v>
      </c>
      <c r="M26" s="81" t="str">
        <f t="shared" si="4"/>
        <v>较狭小</v>
      </c>
      <c r="N26" s="81">
        <v>20.42</v>
      </c>
      <c r="O26" s="72">
        <f>VLOOKUP($M$1&amp;M26,【1】定价因子!E:F,2,0)</f>
        <v>0.95</v>
      </c>
      <c r="P26" s="72" t="str">
        <f>IF(COUNTIFS(户型资产表!D:D,I26,户型资产表!G:G,"阳台门")&gt;0,"有","无")</f>
        <v>无</v>
      </c>
      <c r="Q26" s="72">
        <f>VLOOKUP($P$1&amp;P26,【1】定价因子!E:F,2,0)</f>
        <v>1</v>
      </c>
      <c r="R26" s="72" t="str">
        <f>IF('【2】运营中心填-基本信息&amp;审核标准'!$C$4="是","无",IF(INT(H26/100)&gt;9,"9F",INT(H26/100)&amp;"F"))</f>
        <v>5F</v>
      </c>
      <c r="S26" s="72">
        <f>VLOOKUP(R26,【1】定价因子!D:F,3,0)</f>
        <v>0.99</v>
      </c>
      <c r="T26" s="72" t="str">
        <f>IF('【2】运营中心填-基本信息&amp;审核标准'!$C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72">
        <f>VLOOKUP($T$1&amp;T26,【1】定价因子!E:F,2,0)</f>
        <v>1</v>
      </c>
      <c r="V26" s="72" t="str">
        <f>IF(COUNTIFS(户型资产表!D:D,I26,户型资产表!G:G,"操作台")&gt;0,"有","无")</f>
        <v>有</v>
      </c>
      <c r="W26" s="72" t="str">
        <f>IF(COUNTIFS(户型资产表!D:D,I26,户型资产表!G:G,"书桌")&gt;0,"有","无")</f>
        <v>无</v>
      </c>
      <c r="X26" s="72" t="str">
        <f>IF(COUNTIFS(户型资产表!D:D,I26,户型资产表!H:H,"单人沙发02")&gt;0,"有","无")</f>
        <v>无</v>
      </c>
      <c r="Y26" s="72" t="str">
        <f>IF(COUNTIFS(户型资产表!D:D,I26,户型资产表!H:H,"双人沙发01")&gt;0,"有","无")</f>
        <v>无</v>
      </c>
      <c r="Z26" s="72" t="str">
        <f>IF(COUNTIFS(户型资产表!D:D,I26,户型资产表!G:G,"餐桌")&gt;0,"有","无")</f>
        <v>有</v>
      </c>
      <c r="AA26" s="72" t="str">
        <f>IF(COUNTIFS(户型资产表!D:D,I26,户型资产表!G:G,"吸油烟机")&gt;0,"有","无")</f>
        <v>无</v>
      </c>
      <c r="AB26" s="72" t="str">
        <f>IF(COUNTIFS(户型资产表!D:D,I26,户型资产表!G:G,"冰箱")&gt;0,"有","无")</f>
        <v>无</v>
      </c>
      <c r="AC26" s="72" t="str">
        <f>IF(COUNTIFS(户型资产表!D:D,I26,户型资产表!G:G,"电视柜")&gt;0,"有","无")</f>
        <v>无</v>
      </c>
      <c r="AD26" s="81" t="str">
        <f t="shared" si="5"/>
        <v>适中</v>
      </c>
      <c r="AE26" s="72">
        <f>VLOOKUP($AD$1&amp;AD26,【1】定价因子!E:F,2,0)</f>
        <v>1</v>
      </c>
      <c r="AF26" s="81" t="str">
        <f t="shared" si="6"/>
        <v>缺失（操作台/双人沙发）</v>
      </c>
      <c r="AG26" s="72">
        <f>VLOOKUP($AF$1&amp;AF26,【1】定价因子!$E:$F,2,0)</f>
        <v>0.96</v>
      </c>
      <c r="AH26" s="81" t="str">
        <f t="shared" si="7"/>
        <v>适中</v>
      </c>
      <c r="AI26" s="72">
        <f>VLOOKUP($AH$1&amp;AH26,【1】定价因子!$E:$F,2,0)</f>
        <v>1</v>
      </c>
      <c r="AJ26" s="72" t="str">
        <f>VLOOKUP(H26,'【3-1】大区填-采光基本要素'!A:H,8,0)</f>
        <v>4</v>
      </c>
      <c r="AK26" s="72">
        <f>VLOOKUP($AJ$1&amp;AJ26,【1】定价因子!$E:$F,2,0)</f>
        <v>1.03</v>
      </c>
      <c r="AL26" s="82">
        <f t="shared" si="8"/>
        <v>2165.9438237184</v>
      </c>
      <c r="AM26" s="10">
        <v>2060</v>
      </c>
      <c r="AN26" s="83">
        <f t="shared" si="9"/>
        <v>-0.0489134679109636</v>
      </c>
    </row>
    <row r="27" spans="1:40">
      <c r="A27" s="77" t="str">
        <f>'【2】运营中心填-基本信息&amp;审核标准'!$E$2</f>
        <v>兴围中6-20栋</v>
      </c>
      <c r="B27" s="12">
        <f t="shared" si="2"/>
        <v>5</v>
      </c>
      <c r="C27" s="12">
        <f t="shared" si="0"/>
        <v>6</v>
      </c>
      <c r="D27" s="12">
        <f t="shared" si="1"/>
        <v>42</v>
      </c>
      <c r="E27" s="12"/>
      <c r="F27" s="12">
        <f t="shared" si="3"/>
        <v>6</v>
      </c>
      <c r="G27" s="12"/>
      <c r="H27" s="78">
        <v>502</v>
      </c>
      <c r="I27" s="79" t="s">
        <v>471</v>
      </c>
      <c r="J27" s="79" t="s">
        <v>40</v>
      </c>
      <c r="K27" s="12"/>
      <c r="L27" s="80">
        <f>VLOOKUP(J27,'【3】大区填-楼栋基准格局定价'!B:H,7,0)</f>
        <v>1569.408</v>
      </c>
      <c r="M27" s="81" t="str">
        <f t="shared" si="4"/>
        <v>适中</v>
      </c>
      <c r="N27" s="81">
        <v>13.99</v>
      </c>
      <c r="O27" s="72">
        <f>VLOOKUP($M$1&amp;M27,【1】定价因子!E:F,2,0)</f>
        <v>1</v>
      </c>
      <c r="P27" s="72" t="str">
        <f>IF(COUNTIFS(户型资产表!D:D,I27,户型资产表!G:G,"阳台门")&gt;0,"有","无")</f>
        <v>无</v>
      </c>
      <c r="Q27" s="72">
        <f>VLOOKUP($P$1&amp;P27,【1】定价因子!E:F,2,0)</f>
        <v>1</v>
      </c>
      <c r="R27" s="72" t="str">
        <f>IF('【2】运营中心填-基本信息&amp;审核标准'!$C$4="是","无",IF(INT(H27/100)&gt;9,"9F",INT(H27/100)&amp;"F"))</f>
        <v>5F</v>
      </c>
      <c r="S27" s="72">
        <f>VLOOKUP(R27,【1】定价因子!D:F,3,0)</f>
        <v>0.99</v>
      </c>
      <c r="T27" s="72" t="str">
        <f>IF('【2】运营中心填-基本信息&amp;审核标准'!$C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72">
        <f>VLOOKUP($T$1&amp;T27,【1】定价因子!E:F,2,0)</f>
        <v>1</v>
      </c>
      <c r="V27" s="72" t="str">
        <f>IF(COUNTIFS(户型资产表!D:D,I27,户型资产表!G:G,"操作台")&gt;0,"有","无")</f>
        <v>有</v>
      </c>
      <c r="W27" s="72" t="str">
        <f>IF(COUNTIFS(户型资产表!D:D,I27,户型资产表!G:G,"书桌")&gt;0,"有","无")</f>
        <v>有</v>
      </c>
      <c r="X27" s="72" t="str">
        <f>IF(COUNTIFS(户型资产表!D:D,I27,户型资产表!H:H,"单人沙发02")&gt;0,"有","无")</f>
        <v>无</v>
      </c>
      <c r="Y27" s="72" t="str">
        <f>IF(COUNTIFS(户型资产表!D:D,I27,户型资产表!H:H,"双人沙发01")&gt;0,"有","无")</f>
        <v>无</v>
      </c>
      <c r="Z27" s="72" t="str">
        <f>IF(COUNTIFS(户型资产表!D:D,I27,户型资产表!G:G,"餐桌")&gt;0,"有","无")</f>
        <v>无</v>
      </c>
      <c r="AA27" s="72" t="str">
        <f>IF(COUNTIFS(户型资产表!D:D,I27,户型资产表!G:G,"吸油烟机")&gt;0,"有","无")</f>
        <v>无</v>
      </c>
      <c r="AB27" s="72" t="str">
        <f>IF(COUNTIFS(户型资产表!D:D,I27,户型资产表!G:G,"冰箱")&gt;0,"有","无")</f>
        <v>无</v>
      </c>
      <c r="AC27" s="72" t="str">
        <f>IF(COUNTIFS(户型资产表!D:D,I27,户型资产表!G:G,"电视柜")&gt;0,"有","无")</f>
        <v>无</v>
      </c>
      <c r="AD27" s="81" t="str">
        <f t="shared" si="5"/>
        <v>适中</v>
      </c>
      <c r="AE27" s="72">
        <f>VLOOKUP($AD$1&amp;AD27,【1】定价因子!E:F,2,0)</f>
        <v>1</v>
      </c>
      <c r="AF27" s="81" t="str">
        <f t="shared" si="6"/>
        <v>适中</v>
      </c>
      <c r="AG27" s="72">
        <f>VLOOKUP($AF$1&amp;AF27,【1】定价因子!$E:$F,2,0)</f>
        <v>1</v>
      </c>
      <c r="AH27" s="81" t="str">
        <f t="shared" si="7"/>
        <v>适中</v>
      </c>
      <c r="AI27" s="72">
        <f>VLOOKUP($AH$1&amp;AH27,【1】定价因子!$E:$F,2,0)</f>
        <v>1</v>
      </c>
      <c r="AJ27" s="72" t="str">
        <f>VLOOKUP(H27,'【3-1】大区填-采光基本要素'!A:H,8,0)</f>
        <v>5</v>
      </c>
      <c r="AK27" s="72">
        <f>VLOOKUP($AJ$1&amp;AJ27,【1】定价因子!$E:$F,2,0)</f>
        <v>1.06</v>
      </c>
      <c r="AL27" s="82">
        <f t="shared" si="8"/>
        <v>1646.9367552</v>
      </c>
      <c r="AM27" s="10">
        <v>1600</v>
      </c>
      <c r="AN27" s="83">
        <f t="shared" si="9"/>
        <v>-0.0284994278327951</v>
      </c>
    </row>
    <row r="28" spans="1:40">
      <c r="A28" s="77" t="str">
        <f>'【2】运营中心填-基本信息&amp;审核标准'!$E$2</f>
        <v>兴围中6-20栋</v>
      </c>
      <c r="B28" s="12">
        <f t="shared" si="2"/>
        <v>5</v>
      </c>
      <c r="C28" s="12">
        <f t="shared" si="0"/>
        <v>6</v>
      </c>
      <c r="D28" s="12">
        <f t="shared" si="1"/>
        <v>42</v>
      </c>
      <c r="E28" s="12"/>
      <c r="F28" s="12">
        <f t="shared" si="3"/>
        <v>6</v>
      </c>
      <c r="G28" s="12"/>
      <c r="H28" s="78">
        <v>503</v>
      </c>
      <c r="I28" s="79" t="s">
        <v>472</v>
      </c>
      <c r="J28" s="79" t="s">
        <v>40</v>
      </c>
      <c r="K28" s="12"/>
      <c r="L28" s="80">
        <f>VLOOKUP(J28,'【3】大区填-楼栋基准格局定价'!B:H,7,0)</f>
        <v>1569.408</v>
      </c>
      <c r="M28" s="81" t="str">
        <f t="shared" si="4"/>
        <v>较狭小</v>
      </c>
      <c r="N28" s="81">
        <v>12.35</v>
      </c>
      <c r="O28" s="72">
        <f>VLOOKUP($M$1&amp;M28,【1】定价因子!E:F,2,0)</f>
        <v>0.95</v>
      </c>
      <c r="P28" s="72" t="str">
        <f>IF(COUNTIFS(户型资产表!D:D,I28,户型资产表!G:G,"阳台门")&gt;0,"有","无")</f>
        <v>无</v>
      </c>
      <c r="Q28" s="72">
        <f>VLOOKUP($P$1&amp;P28,【1】定价因子!E:F,2,0)</f>
        <v>1</v>
      </c>
      <c r="R28" s="72" t="str">
        <f>IF('【2】运营中心填-基本信息&amp;审核标准'!$C$4="是","无",IF(INT(H28/100)&gt;9,"9F",INT(H28/100)&amp;"F"))</f>
        <v>5F</v>
      </c>
      <c r="S28" s="72">
        <f>VLOOKUP(R28,【1】定价因子!D:F,3,0)</f>
        <v>0.99</v>
      </c>
      <c r="T28" s="72" t="str">
        <f>IF('【2】运营中心填-基本信息&amp;审核标准'!$C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72">
        <f>VLOOKUP($T$1&amp;T28,【1】定价因子!E:F,2,0)</f>
        <v>1</v>
      </c>
      <c r="V28" s="72" t="str">
        <f>IF(COUNTIFS(户型资产表!D:D,I28,户型资产表!G:G,"操作台")&gt;0,"有","无")</f>
        <v>有</v>
      </c>
      <c r="W28" s="72" t="str">
        <f>IF(COUNTIFS(户型资产表!D:D,I28,户型资产表!G:G,"书桌")&gt;0,"有","无")</f>
        <v>有</v>
      </c>
      <c r="X28" s="72" t="str">
        <f>IF(COUNTIFS(户型资产表!D:D,I28,户型资产表!H:H,"单人沙发02")&gt;0,"有","无")</f>
        <v>无</v>
      </c>
      <c r="Y28" s="72" t="str">
        <f>IF(COUNTIFS(户型资产表!D:D,I28,户型资产表!H:H,"双人沙发01")&gt;0,"有","无")</f>
        <v>无</v>
      </c>
      <c r="Z28" s="72" t="str">
        <f>IF(COUNTIFS(户型资产表!D:D,I28,户型资产表!G:G,"餐桌")&gt;0,"有","无")</f>
        <v>无</v>
      </c>
      <c r="AA28" s="72" t="str">
        <f>IF(COUNTIFS(户型资产表!D:D,I28,户型资产表!G:G,"吸油烟机")&gt;0,"有","无")</f>
        <v>无</v>
      </c>
      <c r="AB28" s="72" t="str">
        <f>IF(COUNTIFS(户型资产表!D:D,I28,户型资产表!G:G,"冰箱")&gt;0,"有","无")</f>
        <v>无</v>
      </c>
      <c r="AC28" s="72" t="str">
        <f>IF(COUNTIFS(户型资产表!D:D,I28,户型资产表!G:G,"电视柜")&gt;0,"有","无")</f>
        <v>无</v>
      </c>
      <c r="AD28" s="81" t="str">
        <f t="shared" si="5"/>
        <v>适中</v>
      </c>
      <c r="AE28" s="72">
        <f>VLOOKUP($AD$1&amp;AD28,【1】定价因子!E:F,2,0)</f>
        <v>1</v>
      </c>
      <c r="AF28" s="81" t="str">
        <f t="shared" si="6"/>
        <v>适中</v>
      </c>
      <c r="AG28" s="72">
        <f>VLOOKUP($AF$1&amp;AF28,【1】定价因子!$E:$F,2,0)</f>
        <v>1</v>
      </c>
      <c r="AH28" s="81" t="str">
        <f t="shared" si="7"/>
        <v>适中</v>
      </c>
      <c r="AI28" s="72">
        <f>VLOOKUP($AH$1&amp;AH28,【1】定价因子!$E:$F,2,0)</f>
        <v>1</v>
      </c>
      <c r="AJ28" s="72" t="str">
        <f>VLOOKUP(H28,'【3-1】大区填-采光基本要素'!A:H,8,0)</f>
        <v>3</v>
      </c>
      <c r="AK28" s="72">
        <f>VLOOKUP($AJ$1&amp;AJ28,【1】定价因子!$E:$F,2,0)</f>
        <v>1</v>
      </c>
      <c r="AL28" s="82">
        <f t="shared" si="8"/>
        <v>1476.028224</v>
      </c>
      <c r="AM28" s="10">
        <v>1450</v>
      </c>
      <c r="AN28" s="83">
        <f t="shared" si="9"/>
        <v>-0.0176339609072407</v>
      </c>
    </row>
    <row r="29" spans="1:40">
      <c r="A29" s="77" t="str">
        <f>'【2】运营中心填-基本信息&amp;审核标准'!$E$2</f>
        <v>兴围中6-20栋</v>
      </c>
      <c r="B29" s="12">
        <f t="shared" si="2"/>
        <v>5</v>
      </c>
      <c r="C29" s="12">
        <f t="shared" si="0"/>
        <v>6</v>
      </c>
      <c r="D29" s="12">
        <f t="shared" si="1"/>
        <v>42</v>
      </c>
      <c r="E29" s="12"/>
      <c r="F29" s="12">
        <f t="shared" si="3"/>
        <v>6</v>
      </c>
      <c r="G29" s="12"/>
      <c r="H29" s="78">
        <v>504</v>
      </c>
      <c r="I29" s="79" t="s">
        <v>472</v>
      </c>
      <c r="J29" s="79" t="s">
        <v>40</v>
      </c>
      <c r="K29" s="12"/>
      <c r="L29" s="80">
        <f>VLOOKUP(J29,'【3】大区填-楼栋基准格局定价'!B:H,7,0)</f>
        <v>1569.408</v>
      </c>
      <c r="M29" s="81" t="str">
        <f t="shared" si="4"/>
        <v>较狭小</v>
      </c>
      <c r="N29" s="81">
        <v>12.14</v>
      </c>
      <c r="O29" s="72">
        <f>VLOOKUP($M$1&amp;M29,【1】定价因子!E:F,2,0)</f>
        <v>0.95</v>
      </c>
      <c r="P29" s="72" t="str">
        <f>IF(COUNTIFS(户型资产表!D:D,I29,户型资产表!G:G,"阳台门")&gt;0,"有","无")</f>
        <v>无</v>
      </c>
      <c r="Q29" s="72">
        <f>VLOOKUP($P$1&amp;P29,【1】定价因子!E:F,2,0)</f>
        <v>1</v>
      </c>
      <c r="R29" s="72" t="str">
        <f>IF('【2】运营中心填-基本信息&amp;审核标准'!$C$4="是","无",IF(INT(H29/100)&gt;9,"9F",INT(H29/100)&amp;"F"))</f>
        <v>5F</v>
      </c>
      <c r="S29" s="72">
        <f>VLOOKUP(R29,【1】定价因子!D:F,3,0)</f>
        <v>0.99</v>
      </c>
      <c r="T29" s="72" t="str">
        <f>IF('【2】运营中心填-基本信息&amp;审核标准'!$C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72">
        <f>VLOOKUP($T$1&amp;T29,【1】定价因子!E:F,2,0)</f>
        <v>1</v>
      </c>
      <c r="V29" s="72" t="str">
        <f>IF(COUNTIFS(户型资产表!D:D,I29,户型资产表!G:G,"操作台")&gt;0,"有","无")</f>
        <v>有</v>
      </c>
      <c r="W29" s="72" t="str">
        <f>IF(COUNTIFS(户型资产表!D:D,I29,户型资产表!G:G,"书桌")&gt;0,"有","无")</f>
        <v>有</v>
      </c>
      <c r="X29" s="72" t="str">
        <f>IF(COUNTIFS(户型资产表!D:D,I29,户型资产表!H:H,"单人沙发02")&gt;0,"有","无")</f>
        <v>无</v>
      </c>
      <c r="Y29" s="72" t="str">
        <f>IF(COUNTIFS(户型资产表!D:D,I29,户型资产表!H:H,"双人沙发01")&gt;0,"有","无")</f>
        <v>无</v>
      </c>
      <c r="Z29" s="72" t="str">
        <f>IF(COUNTIFS(户型资产表!D:D,I29,户型资产表!G:G,"餐桌")&gt;0,"有","无")</f>
        <v>无</v>
      </c>
      <c r="AA29" s="72" t="str">
        <f>IF(COUNTIFS(户型资产表!D:D,I29,户型资产表!G:G,"吸油烟机")&gt;0,"有","无")</f>
        <v>无</v>
      </c>
      <c r="AB29" s="72" t="str">
        <f>IF(COUNTIFS(户型资产表!D:D,I29,户型资产表!G:G,"冰箱")&gt;0,"有","无")</f>
        <v>无</v>
      </c>
      <c r="AC29" s="72" t="str">
        <f>IF(COUNTIFS(户型资产表!D:D,I29,户型资产表!G:G,"电视柜")&gt;0,"有","无")</f>
        <v>无</v>
      </c>
      <c r="AD29" s="81" t="str">
        <f t="shared" si="5"/>
        <v>适中</v>
      </c>
      <c r="AE29" s="72">
        <f>VLOOKUP($AD$1&amp;AD29,【1】定价因子!E:F,2,0)</f>
        <v>1</v>
      </c>
      <c r="AF29" s="81" t="str">
        <f t="shared" si="6"/>
        <v>适中</v>
      </c>
      <c r="AG29" s="72">
        <f>VLOOKUP($AF$1&amp;AF29,【1】定价因子!$E:$F,2,0)</f>
        <v>1</v>
      </c>
      <c r="AH29" s="81" t="str">
        <f t="shared" si="7"/>
        <v>适中</v>
      </c>
      <c r="AI29" s="72">
        <f>VLOOKUP($AH$1&amp;AH29,【1】定价因子!$E:$F,2,0)</f>
        <v>1</v>
      </c>
      <c r="AJ29" s="72" t="str">
        <f>VLOOKUP(H29,'【3-1】大区填-采光基本要素'!A:H,8,0)</f>
        <v>3</v>
      </c>
      <c r="AK29" s="72">
        <f>VLOOKUP($AJ$1&amp;AJ29,【1】定价因子!$E:$F,2,0)</f>
        <v>1</v>
      </c>
      <c r="AL29" s="82">
        <f t="shared" si="8"/>
        <v>1476.028224</v>
      </c>
      <c r="AM29" s="10">
        <v>1450</v>
      </c>
      <c r="AN29" s="83">
        <f t="shared" si="9"/>
        <v>-0.0176339609072407</v>
      </c>
    </row>
    <row r="30" spans="1:40">
      <c r="A30" s="77" t="str">
        <f>'【2】运营中心填-基本信息&amp;审核标准'!$E$2</f>
        <v>兴围中6-20栋</v>
      </c>
      <c r="B30" s="12">
        <f t="shared" si="2"/>
        <v>5</v>
      </c>
      <c r="C30" s="12">
        <f t="shared" si="0"/>
        <v>6</v>
      </c>
      <c r="D30" s="12">
        <f t="shared" si="1"/>
        <v>42</v>
      </c>
      <c r="E30" s="12"/>
      <c r="F30" s="12">
        <f t="shared" si="3"/>
        <v>6</v>
      </c>
      <c r="G30" s="12"/>
      <c r="H30" s="78">
        <v>505</v>
      </c>
      <c r="I30" s="79" t="s">
        <v>471</v>
      </c>
      <c r="J30" s="79" t="s">
        <v>40</v>
      </c>
      <c r="K30" s="12"/>
      <c r="L30" s="80">
        <f>VLOOKUP(J30,'【3】大区填-楼栋基准格局定价'!B:H,7,0)</f>
        <v>1569.408</v>
      </c>
      <c r="M30" s="81" t="str">
        <f t="shared" si="4"/>
        <v>适中</v>
      </c>
      <c r="N30" s="81">
        <v>14.5</v>
      </c>
      <c r="O30" s="72">
        <f>VLOOKUP($M$1&amp;M30,【1】定价因子!E:F,2,0)</f>
        <v>1</v>
      </c>
      <c r="P30" s="72" t="str">
        <f>IF(COUNTIFS(户型资产表!D:D,I30,户型资产表!G:G,"阳台门")&gt;0,"有","无")</f>
        <v>无</v>
      </c>
      <c r="Q30" s="72">
        <f>VLOOKUP($P$1&amp;P30,【1】定价因子!E:F,2,0)</f>
        <v>1</v>
      </c>
      <c r="R30" s="72" t="str">
        <f>IF('【2】运营中心填-基本信息&amp;审核标准'!$C$4="是","无",IF(INT(H30/100)&gt;9,"9F",INT(H30/100)&amp;"F"))</f>
        <v>5F</v>
      </c>
      <c r="S30" s="72">
        <f>VLOOKUP(R30,【1】定价因子!D:F,3,0)</f>
        <v>0.99</v>
      </c>
      <c r="T30" s="72" t="str">
        <f>IF('【2】运营中心填-基本信息&amp;审核标准'!$C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72">
        <f>VLOOKUP($T$1&amp;T30,【1】定价因子!E:F,2,0)</f>
        <v>1</v>
      </c>
      <c r="V30" s="72" t="str">
        <f>IF(COUNTIFS(户型资产表!D:D,I30,户型资产表!G:G,"操作台")&gt;0,"有","无")</f>
        <v>有</v>
      </c>
      <c r="W30" s="72" t="str">
        <f>IF(COUNTIFS(户型资产表!D:D,I30,户型资产表!G:G,"书桌")&gt;0,"有","无")</f>
        <v>有</v>
      </c>
      <c r="X30" s="72" t="str">
        <f>IF(COUNTIFS(户型资产表!D:D,I30,户型资产表!H:H,"单人沙发02")&gt;0,"有","无")</f>
        <v>无</v>
      </c>
      <c r="Y30" s="72" t="str">
        <f>IF(COUNTIFS(户型资产表!D:D,I30,户型资产表!H:H,"双人沙发01")&gt;0,"有","无")</f>
        <v>无</v>
      </c>
      <c r="Z30" s="72" t="str">
        <f>IF(COUNTIFS(户型资产表!D:D,I30,户型资产表!G:G,"餐桌")&gt;0,"有","无")</f>
        <v>无</v>
      </c>
      <c r="AA30" s="72" t="str">
        <f>IF(COUNTIFS(户型资产表!D:D,I30,户型资产表!G:G,"吸油烟机")&gt;0,"有","无")</f>
        <v>无</v>
      </c>
      <c r="AB30" s="72" t="str">
        <f>IF(COUNTIFS(户型资产表!D:D,I30,户型资产表!G:G,"冰箱")&gt;0,"有","无")</f>
        <v>无</v>
      </c>
      <c r="AC30" s="72" t="str">
        <f>IF(COUNTIFS(户型资产表!D:D,I30,户型资产表!G:G,"电视柜")&gt;0,"有","无")</f>
        <v>无</v>
      </c>
      <c r="AD30" s="81" t="str">
        <f t="shared" si="5"/>
        <v>适中</v>
      </c>
      <c r="AE30" s="72">
        <f>VLOOKUP($AD$1&amp;AD30,【1】定价因子!E:F,2,0)</f>
        <v>1</v>
      </c>
      <c r="AF30" s="81" t="str">
        <f t="shared" si="6"/>
        <v>适中</v>
      </c>
      <c r="AG30" s="72">
        <f>VLOOKUP($AF$1&amp;AF30,【1】定价因子!$E:$F,2,0)</f>
        <v>1</v>
      </c>
      <c r="AH30" s="81" t="str">
        <f t="shared" si="7"/>
        <v>适中</v>
      </c>
      <c r="AI30" s="72">
        <f>VLOOKUP($AH$1&amp;AH30,【1】定价因子!$E:$F,2,0)</f>
        <v>1</v>
      </c>
      <c r="AJ30" s="72" t="str">
        <f>VLOOKUP(H30,'【3-1】大区填-采光基本要素'!A:H,8,0)</f>
        <v>5</v>
      </c>
      <c r="AK30" s="72">
        <f>VLOOKUP($AJ$1&amp;AJ30,【1】定价因子!$E:$F,2,0)</f>
        <v>1.06</v>
      </c>
      <c r="AL30" s="82">
        <f t="shared" si="8"/>
        <v>1646.9367552</v>
      </c>
      <c r="AM30" s="10">
        <v>1600</v>
      </c>
      <c r="AN30" s="83">
        <f t="shared" si="9"/>
        <v>-0.0284994278327951</v>
      </c>
    </row>
    <row r="31" spans="1:40">
      <c r="A31" s="77" t="str">
        <f>'【2】运营中心填-基本信息&amp;审核标准'!$E$2</f>
        <v>兴围中6-20栋</v>
      </c>
      <c r="B31" s="12">
        <f t="shared" si="2"/>
        <v>5</v>
      </c>
      <c r="C31" s="12">
        <f t="shared" si="0"/>
        <v>6</v>
      </c>
      <c r="D31" s="12">
        <f t="shared" si="1"/>
        <v>42</v>
      </c>
      <c r="E31" s="12"/>
      <c r="F31" s="12">
        <f t="shared" si="3"/>
        <v>6</v>
      </c>
      <c r="G31" s="12"/>
      <c r="H31" s="78">
        <v>506</v>
      </c>
      <c r="I31" s="79" t="s">
        <v>470</v>
      </c>
      <c r="J31" s="79" t="s">
        <v>43</v>
      </c>
      <c r="K31" s="12"/>
      <c r="L31" s="80">
        <f>VLOOKUP(J31,'【3】大区填-楼栋基准格局定价'!B:H,7,0)</f>
        <v>2329.056</v>
      </c>
      <c r="M31" s="81" t="str">
        <f t="shared" si="4"/>
        <v>较狭小</v>
      </c>
      <c r="N31" s="81">
        <v>20.12</v>
      </c>
      <c r="O31" s="72">
        <f>VLOOKUP($M$1&amp;M31,【1】定价因子!E:F,2,0)</f>
        <v>0.95</v>
      </c>
      <c r="P31" s="72" t="str">
        <f>IF(COUNTIFS(户型资产表!D:D,I31,户型资产表!G:G,"阳台门")&gt;0,"有","无")</f>
        <v>无</v>
      </c>
      <c r="Q31" s="72">
        <f>VLOOKUP($P$1&amp;P31,【1】定价因子!E:F,2,0)</f>
        <v>1</v>
      </c>
      <c r="R31" s="72" t="str">
        <f>IF('【2】运营中心填-基本信息&amp;审核标准'!$C$4="是","无",IF(INT(H31/100)&gt;9,"9F",INT(H31/100)&amp;"F"))</f>
        <v>5F</v>
      </c>
      <c r="S31" s="72">
        <f>VLOOKUP(R31,【1】定价因子!D:F,3,0)</f>
        <v>0.99</v>
      </c>
      <c r="T31" s="72" t="str">
        <f>IF('【2】运营中心填-基本信息&amp;审核标准'!$C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72">
        <f>VLOOKUP($T$1&amp;T31,【1】定价因子!E:F,2,0)</f>
        <v>1</v>
      </c>
      <c r="V31" s="72" t="str">
        <f>IF(COUNTIFS(户型资产表!D:D,I31,户型资产表!G:G,"操作台")&gt;0,"有","无")</f>
        <v>有</v>
      </c>
      <c r="W31" s="72" t="str">
        <f>IF(COUNTIFS(户型资产表!D:D,I31,户型资产表!G:G,"书桌")&gt;0,"有","无")</f>
        <v>无</v>
      </c>
      <c r="X31" s="72" t="str">
        <f>IF(COUNTIFS(户型资产表!D:D,I31,户型资产表!H:H,"单人沙发02")&gt;0,"有","无")</f>
        <v>无</v>
      </c>
      <c r="Y31" s="72" t="str">
        <f>IF(COUNTIFS(户型资产表!D:D,I31,户型资产表!H:H,"双人沙发01")&gt;0,"有","无")</f>
        <v>无</v>
      </c>
      <c r="Z31" s="72" t="str">
        <f>IF(COUNTIFS(户型资产表!D:D,I31,户型资产表!G:G,"餐桌")&gt;0,"有","无")</f>
        <v>有</v>
      </c>
      <c r="AA31" s="72" t="str">
        <f>IF(COUNTIFS(户型资产表!D:D,I31,户型资产表!G:G,"吸油烟机")&gt;0,"有","无")</f>
        <v>无</v>
      </c>
      <c r="AB31" s="72" t="str">
        <f>IF(COUNTIFS(户型资产表!D:D,I31,户型资产表!G:G,"冰箱")&gt;0,"有","无")</f>
        <v>无</v>
      </c>
      <c r="AC31" s="72" t="str">
        <f>IF(COUNTIFS(户型资产表!D:D,I31,户型资产表!G:G,"电视柜")&gt;0,"有","无")</f>
        <v>无</v>
      </c>
      <c r="AD31" s="81" t="str">
        <f t="shared" si="5"/>
        <v>适中</v>
      </c>
      <c r="AE31" s="72">
        <f>VLOOKUP($AD$1&amp;AD31,【1】定价因子!E:F,2,0)</f>
        <v>1</v>
      </c>
      <c r="AF31" s="81" t="str">
        <f t="shared" si="6"/>
        <v>缺失（操作台/双人沙发）</v>
      </c>
      <c r="AG31" s="72">
        <f>VLOOKUP($AF$1&amp;AF31,【1】定价因子!$E:$F,2,0)</f>
        <v>0.96</v>
      </c>
      <c r="AH31" s="81" t="str">
        <f t="shared" si="7"/>
        <v>适中</v>
      </c>
      <c r="AI31" s="72">
        <f>VLOOKUP($AH$1&amp;AH31,【1】定价因子!$E:$F,2,0)</f>
        <v>1</v>
      </c>
      <c r="AJ31" s="72" t="str">
        <f>VLOOKUP(H31,'【3-1】大区填-采光基本要素'!A:H,8,0)</f>
        <v>4</v>
      </c>
      <c r="AK31" s="72">
        <f>VLOOKUP($AJ$1&amp;AJ31,【1】定价因子!$E:$F,2,0)</f>
        <v>1.03</v>
      </c>
      <c r="AL31" s="82">
        <f t="shared" si="8"/>
        <v>2165.9438237184</v>
      </c>
      <c r="AM31" s="10">
        <v>2060</v>
      </c>
      <c r="AN31" s="83">
        <f t="shared" si="9"/>
        <v>-0.0489134679109636</v>
      </c>
    </row>
    <row r="32" spans="1:40">
      <c r="A32" s="77" t="str">
        <f>'【2】运营中心填-基本信息&amp;审核标准'!$E$2</f>
        <v>兴围中6-20栋</v>
      </c>
      <c r="B32" s="12">
        <f t="shared" si="2"/>
        <v>6</v>
      </c>
      <c r="C32" s="12">
        <f t="shared" si="0"/>
        <v>6</v>
      </c>
      <c r="D32" s="12">
        <f t="shared" si="1"/>
        <v>42</v>
      </c>
      <c r="E32" s="12"/>
      <c r="F32" s="12">
        <f t="shared" si="3"/>
        <v>6</v>
      </c>
      <c r="G32" s="12"/>
      <c r="H32" s="78">
        <v>601</v>
      </c>
      <c r="I32" s="79" t="s">
        <v>470</v>
      </c>
      <c r="J32" s="79" t="s">
        <v>43</v>
      </c>
      <c r="K32" s="12"/>
      <c r="L32" s="80">
        <f>VLOOKUP(J32,'【3】大区填-楼栋基准格局定价'!B:H,7,0)</f>
        <v>2329.056</v>
      </c>
      <c r="M32" s="81" t="str">
        <f t="shared" si="4"/>
        <v>较狭小</v>
      </c>
      <c r="N32" s="81">
        <v>20.42</v>
      </c>
      <c r="O32" s="72">
        <f>VLOOKUP($M$1&amp;M32,【1】定价因子!E:F,2,0)</f>
        <v>0.95</v>
      </c>
      <c r="P32" s="72" t="str">
        <f>IF(COUNTIFS(户型资产表!D:D,I32,户型资产表!G:G,"阳台门")&gt;0,"有","无")</f>
        <v>无</v>
      </c>
      <c r="Q32" s="72">
        <f>VLOOKUP($P$1&amp;P32,【1】定价因子!E:F,2,0)</f>
        <v>1</v>
      </c>
      <c r="R32" s="72" t="str">
        <f>IF('【2】运营中心填-基本信息&amp;审核标准'!$C$4="是","无",IF(INT(H32/100)&gt;9,"9F",INT(H32/100)&amp;"F"))</f>
        <v>6F</v>
      </c>
      <c r="S32" s="72">
        <f>VLOOKUP(R32,【1】定价因子!D:F,3,0)</f>
        <v>0.98</v>
      </c>
      <c r="T32" s="72" t="str">
        <f>IF('【2】运营中心填-基本信息&amp;审核标准'!$C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72">
        <f>VLOOKUP($T$1&amp;T32,【1】定价因子!E:F,2,0)</f>
        <v>1</v>
      </c>
      <c r="V32" s="72" t="str">
        <f>IF(COUNTIFS(户型资产表!D:D,I32,户型资产表!G:G,"操作台")&gt;0,"有","无")</f>
        <v>有</v>
      </c>
      <c r="W32" s="72" t="str">
        <f>IF(COUNTIFS(户型资产表!D:D,I32,户型资产表!G:G,"书桌")&gt;0,"有","无")</f>
        <v>无</v>
      </c>
      <c r="X32" s="72" t="str">
        <f>IF(COUNTIFS(户型资产表!D:D,I32,户型资产表!H:H,"单人沙发02")&gt;0,"有","无")</f>
        <v>无</v>
      </c>
      <c r="Y32" s="72" t="str">
        <f>IF(COUNTIFS(户型资产表!D:D,I32,户型资产表!H:H,"双人沙发01")&gt;0,"有","无")</f>
        <v>无</v>
      </c>
      <c r="Z32" s="72" t="str">
        <f>IF(COUNTIFS(户型资产表!D:D,I32,户型资产表!G:G,"餐桌")&gt;0,"有","无")</f>
        <v>有</v>
      </c>
      <c r="AA32" s="72" t="str">
        <f>IF(COUNTIFS(户型资产表!D:D,I32,户型资产表!G:G,"吸油烟机")&gt;0,"有","无")</f>
        <v>无</v>
      </c>
      <c r="AB32" s="72" t="str">
        <f>IF(COUNTIFS(户型资产表!D:D,I32,户型资产表!G:G,"冰箱")&gt;0,"有","无")</f>
        <v>无</v>
      </c>
      <c r="AC32" s="72" t="str">
        <f>IF(COUNTIFS(户型资产表!D:D,I32,户型资产表!G:G,"电视柜")&gt;0,"有","无")</f>
        <v>无</v>
      </c>
      <c r="AD32" s="81" t="str">
        <f t="shared" si="5"/>
        <v>适中</v>
      </c>
      <c r="AE32" s="72">
        <f>VLOOKUP($AD$1&amp;AD32,【1】定价因子!E:F,2,0)</f>
        <v>1</v>
      </c>
      <c r="AF32" s="81" t="str">
        <f t="shared" si="6"/>
        <v>缺失（操作台/双人沙发）</v>
      </c>
      <c r="AG32" s="72">
        <f>VLOOKUP($AF$1&amp;AF32,【1】定价因子!$E:$F,2,0)</f>
        <v>0.96</v>
      </c>
      <c r="AH32" s="81" t="str">
        <f t="shared" si="7"/>
        <v>适中</v>
      </c>
      <c r="AI32" s="72">
        <f>VLOOKUP($AH$1&amp;AH32,【1】定价因子!$E:$F,2,0)</f>
        <v>1</v>
      </c>
      <c r="AJ32" s="72" t="str">
        <f>VLOOKUP(H32,'【3-1】大区填-采光基本要素'!A:H,8,0)</f>
        <v>4</v>
      </c>
      <c r="AK32" s="72">
        <f>VLOOKUP($AJ$1&amp;AJ32,【1】定价因子!$E:$F,2,0)</f>
        <v>1.03</v>
      </c>
      <c r="AL32" s="82">
        <f t="shared" si="8"/>
        <v>2144.0656032768</v>
      </c>
      <c r="AM32" s="10">
        <v>2050</v>
      </c>
      <c r="AN32" s="83">
        <f t="shared" si="9"/>
        <v>-0.0438725396895686</v>
      </c>
    </row>
    <row r="33" spans="1:40">
      <c r="A33" s="77" t="str">
        <f>'【2】运营中心填-基本信息&amp;审核标准'!$E$2</f>
        <v>兴围中6-20栋</v>
      </c>
      <c r="B33" s="12">
        <f t="shared" si="2"/>
        <v>6</v>
      </c>
      <c r="C33" s="12">
        <f t="shared" si="0"/>
        <v>6</v>
      </c>
      <c r="D33" s="12">
        <f t="shared" si="1"/>
        <v>42</v>
      </c>
      <c r="E33" s="12"/>
      <c r="F33" s="12">
        <f t="shared" si="3"/>
        <v>6</v>
      </c>
      <c r="G33" s="12"/>
      <c r="H33" s="78">
        <v>602</v>
      </c>
      <c r="I33" s="79" t="s">
        <v>471</v>
      </c>
      <c r="J33" s="79" t="s">
        <v>40</v>
      </c>
      <c r="K33" s="12"/>
      <c r="L33" s="80">
        <f>VLOOKUP(J33,'【3】大区填-楼栋基准格局定价'!B:H,7,0)</f>
        <v>1569.408</v>
      </c>
      <c r="M33" s="81" t="str">
        <f t="shared" si="4"/>
        <v>适中</v>
      </c>
      <c r="N33" s="81">
        <v>13.99</v>
      </c>
      <c r="O33" s="72">
        <f>VLOOKUP($M$1&amp;M33,【1】定价因子!E:F,2,0)</f>
        <v>1</v>
      </c>
      <c r="P33" s="72" t="str">
        <f>IF(COUNTIFS(户型资产表!D:D,I33,户型资产表!G:G,"阳台门")&gt;0,"有","无")</f>
        <v>无</v>
      </c>
      <c r="Q33" s="72">
        <f>VLOOKUP($P$1&amp;P33,【1】定价因子!E:F,2,0)</f>
        <v>1</v>
      </c>
      <c r="R33" s="72" t="str">
        <f>IF('【2】运营中心填-基本信息&amp;审核标准'!$C$4="是","无",IF(INT(H33/100)&gt;9,"9F",INT(H33/100)&amp;"F"))</f>
        <v>6F</v>
      </c>
      <c r="S33" s="72">
        <f>VLOOKUP(R33,【1】定价因子!D:F,3,0)</f>
        <v>0.98</v>
      </c>
      <c r="T33" s="72" t="str">
        <f>IF('【2】运营中心填-基本信息&amp;审核标准'!$C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72">
        <f>VLOOKUP($T$1&amp;T33,【1】定价因子!E:F,2,0)</f>
        <v>1</v>
      </c>
      <c r="V33" s="72" t="str">
        <f>IF(COUNTIFS(户型资产表!D:D,I33,户型资产表!G:G,"操作台")&gt;0,"有","无")</f>
        <v>有</v>
      </c>
      <c r="W33" s="72" t="str">
        <f>IF(COUNTIFS(户型资产表!D:D,I33,户型资产表!G:G,"书桌")&gt;0,"有","无")</f>
        <v>有</v>
      </c>
      <c r="X33" s="72" t="str">
        <f>IF(COUNTIFS(户型资产表!D:D,I33,户型资产表!H:H,"单人沙发02")&gt;0,"有","无")</f>
        <v>无</v>
      </c>
      <c r="Y33" s="72" t="str">
        <f>IF(COUNTIFS(户型资产表!D:D,I33,户型资产表!H:H,"双人沙发01")&gt;0,"有","无")</f>
        <v>无</v>
      </c>
      <c r="Z33" s="72" t="str">
        <f>IF(COUNTIFS(户型资产表!D:D,I33,户型资产表!G:G,"餐桌")&gt;0,"有","无")</f>
        <v>无</v>
      </c>
      <c r="AA33" s="72" t="str">
        <f>IF(COUNTIFS(户型资产表!D:D,I33,户型资产表!G:G,"吸油烟机")&gt;0,"有","无")</f>
        <v>无</v>
      </c>
      <c r="AB33" s="72" t="str">
        <f>IF(COUNTIFS(户型资产表!D:D,I33,户型资产表!G:G,"冰箱")&gt;0,"有","无")</f>
        <v>无</v>
      </c>
      <c r="AC33" s="72" t="str">
        <f>IF(COUNTIFS(户型资产表!D:D,I33,户型资产表!G:G,"电视柜")&gt;0,"有","无")</f>
        <v>无</v>
      </c>
      <c r="AD33" s="81" t="str">
        <f t="shared" si="5"/>
        <v>适中</v>
      </c>
      <c r="AE33" s="72">
        <f>VLOOKUP($AD$1&amp;AD33,【1】定价因子!E:F,2,0)</f>
        <v>1</v>
      </c>
      <c r="AF33" s="81" t="str">
        <f t="shared" si="6"/>
        <v>适中</v>
      </c>
      <c r="AG33" s="72">
        <f>VLOOKUP($AF$1&amp;AF33,【1】定价因子!$E:$F,2,0)</f>
        <v>1</v>
      </c>
      <c r="AH33" s="81" t="str">
        <f t="shared" si="7"/>
        <v>适中</v>
      </c>
      <c r="AI33" s="72">
        <f>VLOOKUP($AH$1&amp;AH33,【1】定价因子!$E:$F,2,0)</f>
        <v>1</v>
      </c>
      <c r="AJ33" s="72" t="str">
        <f>VLOOKUP(H33,'【3-1】大区填-采光基本要素'!A:H,8,0)</f>
        <v>5</v>
      </c>
      <c r="AK33" s="72">
        <f>VLOOKUP($AJ$1&amp;AJ33,【1】定价因子!$E:$F,2,0)</f>
        <v>1.06</v>
      </c>
      <c r="AL33" s="82">
        <f t="shared" si="8"/>
        <v>1630.3010304</v>
      </c>
      <c r="AM33" s="10">
        <v>1590</v>
      </c>
      <c r="AN33" s="83">
        <f t="shared" si="9"/>
        <v>-0.02471999320893</v>
      </c>
    </row>
    <row r="34" spans="1:40">
      <c r="A34" s="77" t="str">
        <f>'【2】运营中心填-基本信息&amp;审核标准'!$E$2</f>
        <v>兴围中6-20栋</v>
      </c>
      <c r="B34" s="12">
        <f t="shared" si="2"/>
        <v>6</v>
      </c>
      <c r="C34" s="12">
        <f t="shared" si="0"/>
        <v>6</v>
      </c>
      <c r="D34" s="12">
        <f t="shared" si="1"/>
        <v>42</v>
      </c>
      <c r="E34" s="12"/>
      <c r="F34" s="12">
        <f t="shared" si="3"/>
        <v>6</v>
      </c>
      <c r="G34" s="12"/>
      <c r="H34" s="78">
        <v>603</v>
      </c>
      <c r="I34" s="79" t="s">
        <v>472</v>
      </c>
      <c r="J34" s="79" t="s">
        <v>40</v>
      </c>
      <c r="K34" s="12"/>
      <c r="L34" s="80">
        <f>VLOOKUP(J34,'【3】大区填-楼栋基准格局定价'!B:H,7,0)</f>
        <v>1569.408</v>
      </c>
      <c r="M34" s="81" t="str">
        <f t="shared" si="4"/>
        <v>较狭小</v>
      </c>
      <c r="N34" s="81">
        <v>12.35</v>
      </c>
      <c r="O34" s="72">
        <f>VLOOKUP($M$1&amp;M34,【1】定价因子!E:F,2,0)</f>
        <v>0.95</v>
      </c>
      <c r="P34" s="72" t="str">
        <f>IF(COUNTIFS(户型资产表!D:D,I34,户型资产表!G:G,"阳台门")&gt;0,"有","无")</f>
        <v>无</v>
      </c>
      <c r="Q34" s="72">
        <f>VLOOKUP($P$1&amp;P34,【1】定价因子!E:F,2,0)</f>
        <v>1</v>
      </c>
      <c r="R34" s="72" t="str">
        <f>IF('【2】运营中心填-基本信息&amp;审核标准'!$C$4="是","无",IF(INT(H34/100)&gt;9,"9F",INT(H34/100)&amp;"F"))</f>
        <v>6F</v>
      </c>
      <c r="S34" s="72">
        <f>VLOOKUP(R34,【1】定价因子!D:F,3,0)</f>
        <v>0.98</v>
      </c>
      <c r="T34" s="72" t="str">
        <f>IF('【2】运营中心填-基本信息&amp;审核标准'!$C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72">
        <f>VLOOKUP($T$1&amp;T34,【1】定价因子!E:F,2,0)</f>
        <v>1</v>
      </c>
      <c r="V34" s="72" t="str">
        <f>IF(COUNTIFS(户型资产表!D:D,I34,户型资产表!G:G,"操作台")&gt;0,"有","无")</f>
        <v>有</v>
      </c>
      <c r="W34" s="72" t="str">
        <f>IF(COUNTIFS(户型资产表!D:D,I34,户型资产表!G:G,"书桌")&gt;0,"有","无")</f>
        <v>有</v>
      </c>
      <c r="X34" s="72" t="str">
        <f>IF(COUNTIFS(户型资产表!D:D,I34,户型资产表!H:H,"单人沙发02")&gt;0,"有","无")</f>
        <v>无</v>
      </c>
      <c r="Y34" s="72" t="str">
        <f>IF(COUNTIFS(户型资产表!D:D,I34,户型资产表!H:H,"双人沙发01")&gt;0,"有","无")</f>
        <v>无</v>
      </c>
      <c r="Z34" s="72" t="str">
        <f>IF(COUNTIFS(户型资产表!D:D,I34,户型资产表!G:G,"餐桌")&gt;0,"有","无")</f>
        <v>无</v>
      </c>
      <c r="AA34" s="72" t="str">
        <f>IF(COUNTIFS(户型资产表!D:D,I34,户型资产表!G:G,"吸油烟机")&gt;0,"有","无")</f>
        <v>无</v>
      </c>
      <c r="AB34" s="72" t="str">
        <f>IF(COUNTIFS(户型资产表!D:D,I34,户型资产表!G:G,"冰箱")&gt;0,"有","无")</f>
        <v>无</v>
      </c>
      <c r="AC34" s="72" t="str">
        <f>IF(COUNTIFS(户型资产表!D:D,I34,户型资产表!G:G,"电视柜")&gt;0,"有","无")</f>
        <v>无</v>
      </c>
      <c r="AD34" s="81" t="str">
        <f t="shared" si="5"/>
        <v>适中</v>
      </c>
      <c r="AE34" s="72">
        <f>VLOOKUP($AD$1&amp;AD34,【1】定价因子!E:F,2,0)</f>
        <v>1</v>
      </c>
      <c r="AF34" s="81" t="str">
        <f t="shared" si="6"/>
        <v>适中</v>
      </c>
      <c r="AG34" s="72">
        <f>VLOOKUP($AF$1&amp;AF34,【1】定价因子!$E:$F,2,0)</f>
        <v>1</v>
      </c>
      <c r="AH34" s="81" t="str">
        <f t="shared" si="7"/>
        <v>适中</v>
      </c>
      <c r="AI34" s="72">
        <f>VLOOKUP($AH$1&amp;AH34,【1】定价因子!$E:$F,2,0)</f>
        <v>1</v>
      </c>
      <c r="AJ34" s="72" t="str">
        <f>VLOOKUP(H34,'【3-1】大区填-采光基本要素'!A:H,8,0)</f>
        <v>3</v>
      </c>
      <c r="AK34" s="72">
        <f>VLOOKUP($AJ$1&amp;AJ34,【1】定价因子!$E:$F,2,0)</f>
        <v>1</v>
      </c>
      <c r="AL34" s="82">
        <f t="shared" si="8"/>
        <v>1461.118848</v>
      </c>
      <c r="AM34" s="10">
        <v>1440</v>
      </c>
      <c r="AN34" s="83">
        <f t="shared" si="9"/>
        <v>-0.0144538878742874</v>
      </c>
    </row>
    <row r="35" spans="1:40">
      <c r="A35" s="77" t="str">
        <f>'【2】运营中心填-基本信息&amp;审核标准'!$E$2</f>
        <v>兴围中6-20栋</v>
      </c>
      <c r="B35" s="12">
        <f t="shared" ref="B35:B43" si="10">INT(H35/100)</f>
        <v>6</v>
      </c>
      <c r="C35" s="12">
        <f t="shared" si="0"/>
        <v>6</v>
      </c>
      <c r="D35" s="12">
        <f t="shared" si="1"/>
        <v>42</v>
      </c>
      <c r="E35" s="12"/>
      <c r="F35" s="12">
        <f t="shared" ref="F35:F43" si="11">IF(D35=$E$2,C35,"")</f>
        <v>6</v>
      </c>
      <c r="G35" s="12"/>
      <c r="H35" s="78">
        <v>604</v>
      </c>
      <c r="I35" s="79" t="s">
        <v>472</v>
      </c>
      <c r="J35" s="79" t="s">
        <v>40</v>
      </c>
      <c r="K35" s="12"/>
      <c r="L35" s="80">
        <f>VLOOKUP(J35,'【3】大区填-楼栋基准格局定价'!B:H,7,0)</f>
        <v>1569.408</v>
      </c>
      <c r="M35" s="81" t="str">
        <f t="shared" ref="M35:M43" si="12">IF(OR(J35="开间",J35="二人宿舍"),IF(N35&lt;10,"很狭小",IF(N35&lt;13,"较狭小",IF(N35&lt;17,"适中",IF(N35&lt;20,"较宽敞","很宽敞")))),IF(OR(J35="一居室",J35="四人宿舍"),IF(N35&lt;20,"很狭小",IF(N35&lt;23,"较狭小",IF(N35&lt;26,"适中",IF(N35&lt;28,"较宽敞","很宽敞")))),IF(OR(J35="二居室",J35="六人宿舍"),IF(N35&lt;30,"很狭小",IF(N35&lt;35,"较狭小",IF(N35&lt;40,"适中",IF(N35&lt;45,"较宽敞","很宽敞")))),"")))</f>
        <v>较狭小</v>
      </c>
      <c r="N35" s="81">
        <v>12.14</v>
      </c>
      <c r="O35" s="72">
        <f>VLOOKUP($M$1&amp;M35,【1】定价因子!E:F,2,0)</f>
        <v>0.95</v>
      </c>
      <c r="P35" s="72" t="str">
        <f>IF(COUNTIFS(户型资产表!D:D,I35,户型资产表!G:G,"阳台门")&gt;0,"有","无")</f>
        <v>无</v>
      </c>
      <c r="Q35" s="72">
        <f>VLOOKUP($P$1&amp;P35,【1】定价因子!E:F,2,0)</f>
        <v>1</v>
      </c>
      <c r="R35" s="72" t="str">
        <f>IF('【2】运营中心填-基本信息&amp;审核标准'!$C$4="是","无",IF(INT(H35/100)&gt;9,"9F",INT(H35/100)&amp;"F"))</f>
        <v>6F</v>
      </c>
      <c r="S35" s="72">
        <f>VLOOKUP(R35,【1】定价因子!D:F,3,0)</f>
        <v>0.98</v>
      </c>
      <c r="T35" s="72" t="str">
        <f>IF('【2】运营中心填-基本信息&amp;审核标准'!$C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72">
        <f>VLOOKUP($T$1&amp;T35,【1】定价因子!E:F,2,0)</f>
        <v>1</v>
      </c>
      <c r="V35" s="72" t="str">
        <f>IF(COUNTIFS(户型资产表!D:D,I35,户型资产表!G:G,"操作台")&gt;0,"有","无")</f>
        <v>有</v>
      </c>
      <c r="W35" s="72" t="str">
        <f>IF(COUNTIFS(户型资产表!D:D,I35,户型资产表!G:G,"书桌")&gt;0,"有","无")</f>
        <v>有</v>
      </c>
      <c r="X35" s="72" t="str">
        <f>IF(COUNTIFS(户型资产表!D:D,I35,户型资产表!H:H,"单人沙发02")&gt;0,"有","无")</f>
        <v>无</v>
      </c>
      <c r="Y35" s="72" t="str">
        <f>IF(COUNTIFS(户型资产表!D:D,I35,户型资产表!H:H,"双人沙发01")&gt;0,"有","无")</f>
        <v>无</v>
      </c>
      <c r="Z35" s="72" t="str">
        <f>IF(COUNTIFS(户型资产表!D:D,I35,户型资产表!G:G,"餐桌")&gt;0,"有","无")</f>
        <v>无</v>
      </c>
      <c r="AA35" s="72" t="str">
        <f>IF(COUNTIFS(户型资产表!D:D,I35,户型资产表!G:G,"吸油烟机")&gt;0,"有","无")</f>
        <v>无</v>
      </c>
      <c r="AB35" s="72" t="str">
        <f>IF(COUNTIFS(户型资产表!D:D,I35,户型资产表!G:G,"冰箱")&gt;0,"有","无")</f>
        <v>无</v>
      </c>
      <c r="AC35" s="72" t="str">
        <f>IF(COUNTIFS(户型资产表!D:D,I35,户型资产表!G:G,"电视柜")&gt;0,"有","无")</f>
        <v>无</v>
      </c>
      <c r="AD35" s="81" t="str">
        <f t="shared" ref="AD35:AD43" si="13">IF(J35="开间",IF(AND(V35="无",W35="无"),"缺失",IF(AND(V35="无",W35="有"),"缺失（操作台）",IF(AND(V35="有",W35="无"),"缺失（书桌）",IF(AND(V35="有",W35="有"),IF(OR(AA35="有",Y35="有"),"充足（油烟机/双人沙发）",IF(OR(X35="有",Z35="有"),"充足（单人沙发/餐桌）",IF(AND(OR(X35="有",Y35="有"),Z35="有"),"非常充足","适中"))),"")))),"适中")</f>
        <v>适中</v>
      </c>
      <c r="AE35" s="72">
        <f>VLOOKUP($AD$1&amp;AD35,【1】定价因子!E:F,2,0)</f>
        <v>1</v>
      </c>
      <c r="AF35" s="81" t="str">
        <f t="shared" ref="AF35:AF43" si="14">IF(J35="一居室",IF(AND(V35="无",Y35="无",Z35="无"),"缺失",IF(OR(AND(Z35="有",V35="无",Y35="无"),AND(Z35="有",V35="无",Y35="有"),AND(Z35="有",V35="有",Y35="无"),AND(Z35="无",V35="有",Y35="无"),AND(Z35="无",V35="无",Y35="有")),"缺失（操作台/双人沙发）",IF(AND(V35="有",Y35="有",Z35="无"),"缺失（餐桌）",IF(AND(V35="有",Y35="有",Z35="有"),IF(AND(W35="无",AA35="有"),"充配（油烟机）",IF(AND(W35="有",AA35="无"),"充配（书桌）",IF(AND(W35="有",AA35="有"),"非常充配","适中"))),"")))),"适中")</f>
        <v>适中</v>
      </c>
      <c r="AG35" s="72">
        <f>VLOOKUP($AF$1&amp;AF35,【1】定价因子!$E:$F,2,0)</f>
        <v>1</v>
      </c>
      <c r="AH35" s="81" t="str">
        <f t="shared" ref="AH35:AH43" si="15">IF(J35="二居室",IF(AND(Y35="无",Z35="无",AC35="无",V35="无"),"缺失",IF(OR(AND(Y35="无",Z35="无",AC35="有"),AND(Y35="无",Z35="无",V35="有"),AND(Y35="无",Z35="无",AC35="有",V35="有"),AND(Y35="无",Z35="有",AC35="无"),AND(Y35="无",Z35="有",V35="无"),AND(Y35="无",Z35="有",AC35="有"),AND(Y35="无",Z35="有",V35="有"),AND(Y35="有",Z35="无",AC35="无"),AND(Y35="有",Z35="无",V35="无"),AND(Y35="有",Z35="无",AC35="有"),AND(Y35="有",Z35="无",V35="有")),"缺失（沙发/餐桌）",IF(AND(Y35="有",Z35="有",OR(AC35="无",V35="无")),"缺失（电视柜/操作台）",IF(AND(Y35="有",Z35="有",AC35="有",V35="有"),IF(OR(AA35="有",AB35="有"),"充配（油烟机/冰箱）",IF(AND(AA35="无",AB35="无"),"适中","")),"")))),"适中")</f>
        <v>适中</v>
      </c>
      <c r="AI35" s="72">
        <f>VLOOKUP($AH$1&amp;AH35,【1】定价因子!$E:$F,2,0)</f>
        <v>1</v>
      </c>
      <c r="AJ35" s="72" t="str">
        <f>VLOOKUP(H35,'【3-1】大区填-采光基本要素'!A:H,8,0)</f>
        <v>3</v>
      </c>
      <c r="AK35" s="72">
        <f>VLOOKUP($AJ$1&amp;AJ35,【1】定价因子!$E:$F,2,0)</f>
        <v>1</v>
      </c>
      <c r="AL35" s="82">
        <f t="shared" ref="AL35:AL43" si="16">L35*PRODUCT(AG35,AK35,AE35,U35,S35,Q35,O35)</f>
        <v>1461.118848</v>
      </c>
      <c r="AM35" s="10">
        <v>1440</v>
      </c>
      <c r="AN35" s="83">
        <f t="shared" ref="AN35:AN43" si="17">AM35/AL35-1</f>
        <v>-0.0144538878742874</v>
      </c>
    </row>
    <row r="36" spans="1:40">
      <c r="A36" s="77" t="str">
        <f>'【2】运营中心填-基本信息&amp;审核标准'!$E$2</f>
        <v>兴围中6-20栋</v>
      </c>
      <c r="B36" s="12">
        <f t="shared" si="10"/>
        <v>6</v>
      </c>
      <c r="C36" s="12">
        <f t="shared" si="0"/>
        <v>6</v>
      </c>
      <c r="D36" s="12">
        <f t="shared" si="1"/>
        <v>42</v>
      </c>
      <c r="E36" s="12"/>
      <c r="F36" s="12">
        <f t="shared" si="11"/>
        <v>6</v>
      </c>
      <c r="G36" s="12"/>
      <c r="H36" s="78">
        <v>605</v>
      </c>
      <c r="I36" s="79" t="s">
        <v>471</v>
      </c>
      <c r="J36" s="79" t="s">
        <v>40</v>
      </c>
      <c r="K36" s="12"/>
      <c r="L36" s="80">
        <f>VLOOKUP(J36,'【3】大区填-楼栋基准格局定价'!B:H,7,0)</f>
        <v>1569.408</v>
      </c>
      <c r="M36" s="81" t="str">
        <f t="shared" si="12"/>
        <v>适中</v>
      </c>
      <c r="N36" s="81">
        <v>14.5</v>
      </c>
      <c r="O36" s="72">
        <f>VLOOKUP($M$1&amp;M36,【1】定价因子!E:F,2,0)</f>
        <v>1</v>
      </c>
      <c r="P36" s="72" t="str">
        <f>IF(COUNTIFS(户型资产表!D:D,I36,户型资产表!G:G,"阳台门")&gt;0,"有","无")</f>
        <v>无</v>
      </c>
      <c r="Q36" s="72">
        <f>VLOOKUP($P$1&amp;P36,【1】定价因子!E:F,2,0)</f>
        <v>1</v>
      </c>
      <c r="R36" s="72" t="str">
        <f>IF('【2】运营中心填-基本信息&amp;审核标准'!$C$4="是","无",IF(INT(H36/100)&gt;9,"9F",INT(H36/100)&amp;"F"))</f>
        <v>6F</v>
      </c>
      <c r="S36" s="72">
        <f>VLOOKUP(R36,【1】定价因子!D:F,3,0)</f>
        <v>0.98</v>
      </c>
      <c r="T36" s="72" t="str">
        <f>IF('【2】运营中心填-基本信息&amp;审核标准'!$C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72">
        <f>VLOOKUP($T$1&amp;T36,【1】定价因子!E:F,2,0)</f>
        <v>1</v>
      </c>
      <c r="V36" s="72" t="str">
        <f>IF(COUNTIFS(户型资产表!D:D,I36,户型资产表!G:G,"操作台")&gt;0,"有","无")</f>
        <v>有</v>
      </c>
      <c r="W36" s="72" t="str">
        <f>IF(COUNTIFS(户型资产表!D:D,I36,户型资产表!G:G,"书桌")&gt;0,"有","无")</f>
        <v>有</v>
      </c>
      <c r="X36" s="72" t="str">
        <f>IF(COUNTIFS(户型资产表!D:D,I36,户型资产表!H:H,"单人沙发02")&gt;0,"有","无")</f>
        <v>无</v>
      </c>
      <c r="Y36" s="72" t="str">
        <f>IF(COUNTIFS(户型资产表!D:D,I36,户型资产表!H:H,"双人沙发01")&gt;0,"有","无")</f>
        <v>无</v>
      </c>
      <c r="Z36" s="72" t="str">
        <f>IF(COUNTIFS(户型资产表!D:D,I36,户型资产表!G:G,"餐桌")&gt;0,"有","无")</f>
        <v>无</v>
      </c>
      <c r="AA36" s="72" t="str">
        <f>IF(COUNTIFS(户型资产表!D:D,I36,户型资产表!G:G,"吸油烟机")&gt;0,"有","无")</f>
        <v>无</v>
      </c>
      <c r="AB36" s="72" t="str">
        <f>IF(COUNTIFS(户型资产表!D:D,I36,户型资产表!G:G,"冰箱")&gt;0,"有","无")</f>
        <v>无</v>
      </c>
      <c r="AC36" s="72" t="str">
        <f>IF(COUNTIFS(户型资产表!D:D,I36,户型资产表!G:G,"电视柜")&gt;0,"有","无")</f>
        <v>无</v>
      </c>
      <c r="AD36" s="81" t="str">
        <f t="shared" si="13"/>
        <v>适中</v>
      </c>
      <c r="AE36" s="72">
        <f>VLOOKUP($AD$1&amp;AD36,【1】定价因子!E:F,2,0)</f>
        <v>1</v>
      </c>
      <c r="AF36" s="81" t="str">
        <f t="shared" si="14"/>
        <v>适中</v>
      </c>
      <c r="AG36" s="72">
        <f>VLOOKUP($AF$1&amp;AF36,【1】定价因子!$E:$F,2,0)</f>
        <v>1</v>
      </c>
      <c r="AH36" s="81" t="str">
        <f t="shared" si="15"/>
        <v>适中</v>
      </c>
      <c r="AI36" s="72">
        <f>VLOOKUP($AH$1&amp;AH36,【1】定价因子!$E:$F,2,0)</f>
        <v>1</v>
      </c>
      <c r="AJ36" s="72" t="str">
        <f>VLOOKUP(H36,'【3-1】大区填-采光基本要素'!A:H,8,0)</f>
        <v>5</v>
      </c>
      <c r="AK36" s="72">
        <f>VLOOKUP($AJ$1&amp;AJ36,【1】定价因子!$E:$F,2,0)</f>
        <v>1.06</v>
      </c>
      <c r="AL36" s="82">
        <f t="shared" si="16"/>
        <v>1630.3010304</v>
      </c>
      <c r="AM36" s="10">
        <v>1590</v>
      </c>
      <c r="AN36" s="83">
        <f t="shared" si="17"/>
        <v>-0.02471999320893</v>
      </c>
    </row>
    <row r="37" spans="1:40">
      <c r="A37" s="77" t="str">
        <f>'【2】运营中心填-基本信息&amp;审核标准'!$E$2</f>
        <v>兴围中6-20栋</v>
      </c>
      <c r="B37" s="12">
        <f t="shared" si="10"/>
        <v>6</v>
      </c>
      <c r="C37" s="12">
        <f t="shared" si="0"/>
        <v>6</v>
      </c>
      <c r="D37" s="12">
        <f t="shared" si="1"/>
        <v>42</v>
      </c>
      <c r="E37" s="12"/>
      <c r="F37" s="12">
        <f t="shared" si="11"/>
        <v>6</v>
      </c>
      <c r="G37" s="12"/>
      <c r="H37" s="78">
        <v>606</v>
      </c>
      <c r="I37" s="79" t="s">
        <v>470</v>
      </c>
      <c r="J37" s="79" t="s">
        <v>43</v>
      </c>
      <c r="K37" s="12"/>
      <c r="L37" s="80">
        <f>VLOOKUP(J37,'【3】大区填-楼栋基准格局定价'!B:H,7,0)</f>
        <v>2329.056</v>
      </c>
      <c r="M37" s="81" t="str">
        <f t="shared" si="12"/>
        <v>较狭小</v>
      </c>
      <c r="N37" s="81">
        <v>20.12</v>
      </c>
      <c r="O37" s="72">
        <f>VLOOKUP($M$1&amp;M37,【1】定价因子!E:F,2,0)</f>
        <v>0.95</v>
      </c>
      <c r="P37" s="72" t="str">
        <f>IF(COUNTIFS(户型资产表!D:D,I37,户型资产表!G:G,"阳台门")&gt;0,"有","无")</f>
        <v>无</v>
      </c>
      <c r="Q37" s="72">
        <f>VLOOKUP($P$1&amp;P37,【1】定价因子!E:F,2,0)</f>
        <v>1</v>
      </c>
      <c r="R37" s="72" t="str">
        <f>IF('【2】运营中心填-基本信息&amp;审核标准'!$C$4="是","无",IF(INT(H37/100)&gt;9,"9F",INT(H37/100)&amp;"F"))</f>
        <v>6F</v>
      </c>
      <c r="S37" s="72">
        <f>VLOOKUP(R37,【1】定价因子!D:F,3,0)</f>
        <v>0.98</v>
      </c>
      <c r="T37" s="72" t="str">
        <f>IF('【2】运营中心填-基本信息&amp;审核标准'!$C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72">
        <f>VLOOKUP($T$1&amp;T37,【1】定价因子!E:F,2,0)</f>
        <v>1</v>
      </c>
      <c r="V37" s="72" t="str">
        <f>IF(COUNTIFS(户型资产表!D:D,I37,户型资产表!G:G,"操作台")&gt;0,"有","无")</f>
        <v>有</v>
      </c>
      <c r="W37" s="72" t="str">
        <f>IF(COUNTIFS(户型资产表!D:D,I37,户型资产表!G:G,"书桌")&gt;0,"有","无")</f>
        <v>无</v>
      </c>
      <c r="X37" s="72" t="str">
        <f>IF(COUNTIFS(户型资产表!D:D,I37,户型资产表!H:H,"单人沙发02")&gt;0,"有","无")</f>
        <v>无</v>
      </c>
      <c r="Y37" s="72" t="str">
        <f>IF(COUNTIFS(户型资产表!D:D,I37,户型资产表!H:H,"双人沙发01")&gt;0,"有","无")</f>
        <v>无</v>
      </c>
      <c r="Z37" s="72" t="str">
        <f>IF(COUNTIFS(户型资产表!D:D,I37,户型资产表!G:G,"餐桌")&gt;0,"有","无")</f>
        <v>有</v>
      </c>
      <c r="AA37" s="72" t="str">
        <f>IF(COUNTIFS(户型资产表!D:D,I37,户型资产表!G:G,"吸油烟机")&gt;0,"有","无")</f>
        <v>无</v>
      </c>
      <c r="AB37" s="72" t="str">
        <f>IF(COUNTIFS(户型资产表!D:D,I37,户型资产表!G:G,"冰箱")&gt;0,"有","无")</f>
        <v>无</v>
      </c>
      <c r="AC37" s="72" t="str">
        <f>IF(COUNTIFS(户型资产表!D:D,I37,户型资产表!G:G,"电视柜")&gt;0,"有","无")</f>
        <v>无</v>
      </c>
      <c r="AD37" s="81" t="str">
        <f t="shared" si="13"/>
        <v>适中</v>
      </c>
      <c r="AE37" s="72">
        <f>VLOOKUP($AD$1&amp;AD37,【1】定价因子!E:F,2,0)</f>
        <v>1</v>
      </c>
      <c r="AF37" s="81" t="str">
        <f t="shared" si="14"/>
        <v>缺失（操作台/双人沙发）</v>
      </c>
      <c r="AG37" s="72">
        <f>VLOOKUP($AF$1&amp;AF37,【1】定价因子!$E:$F,2,0)</f>
        <v>0.96</v>
      </c>
      <c r="AH37" s="81" t="str">
        <f t="shared" si="15"/>
        <v>适中</v>
      </c>
      <c r="AI37" s="72">
        <f>VLOOKUP($AH$1&amp;AH37,【1】定价因子!$E:$F,2,0)</f>
        <v>1</v>
      </c>
      <c r="AJ37" s="72" t="str">
        <f>VLOOKUP(H37,'【3-1】大区填-采光基本要素'!A:H,8,0)</f>
        <v>4</v>
      </c>
      <c r="AK37" s="72">
        <f>VLOOKUP($AJ$1&amp;AJ37,【1】定价因子!$E:$F,2,0)</f>
        <v>1.03</v>
      </c>
      <c r="AL37" s="82">
        <f t="shared" si="16"/>
        <v>2144.0656032768</v>
      </c>
      <c r="AM37" s="10">
        <v>2050</v>
      </c>
      <c r="AN37" s="83">
        <f t="shared" si="17"/>
        <v>-0.0438725396895686</v>
      </c>
    </row>
    <row r="38" spans="1:40">
      <c r="A38" s="77" t="str">
        <f>'【2】运营中心填-基本信息&amp;审核标准'!$E$2</f>
        <v>兴围中6-20栋</v>
      </c>
      <c r="B38" s="12">
        <f t="shared" si="10"/>
        <v>7</v>
      </c>
      <c r="C38" s="12">
        <f t="shared" si="0"/>
        <v>6</v>
      </c>
      <c r="D38" s="12">
        <f t="shared" si="1"/>
        <v>42</v>
      </c>
      <c r="E38" s="12"/>
      <c r="F38" s="12">
        <f t="shared" si="11"/>
        <v>6</v>
      </c>
      <c r="G38" s="12"/>
      <c r="H38" s="78">
        <v>701</v>
      </c>
      <c r="I38" s="79" t="s">
        <v>470</v>
      </c>
      <c r="J38" s="79" t="s">
        <v>43</v>
      </c>
      <c r="K38" s="12"/>
      <c r="L38" s="80">
        <f>VLOOKUP(J38,'【3】大区填-楼栋基准格局定价'!B:H,7,0)</f>
        <v>2329.056</v>
      </c>
      <c r="M38" s="81" t="str">
        <f t="shared" si="12"/>
        <v>较狭小</v>
      </c>
      <c r="N38" s="81">
        <v>20.42</v>
      </c>
      <c r="O38" s="72">
        <f>VLOOKUP($M$1&amp;M38,【1】定价因子!E:F,2,0)</f>
        <v>0.95</v>
      </c>
      <c r="P38" s="72" t="str">
        <f>IF(COUNTIFS(户型资产表!D:D,I38,户型资产表!G:G,"阳台门")&gt;0,"有","无")</f>
        <v>无</v>
      </c>
      <c r="Q38" s="72">
        <f>VLOOKUP($P$1&amp;P38,【1】定价因子!E:F,2,0)</f>
        <v>1</v>
      </c>
      <c r="R38" s="72" t="str">
        <f>IF('【2】运营中心填-基本信息&amp;审核标准'!$C$4="是","无",IF(INT(H38/100)&gt;9,"9F",INT(H38/100)&amp;"F"))</f>
        <v>7F</v>
      </c>
      <c r="S38" s="72">
        <f>VLOOKUP(R38,【1】定价因子!D:F,3,0)</f>
        <v>0.96</v>
      </c>
      <c r="T38" s="72" t="str">
        <f>IF('【2】运营中心填-基本信息&amp;审核标准'!$C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72">
        <f>VLOOKUP($T$1&amp;T38,【1】定价因子!E:F,2,0)</f>
        <v>1</v>
      </c>
      <c r="V38" s="72" t="str">
        <f>IF(COUNTIFS(户型资产表!D:D,I38,户型资产表!G:G,"操作台")&gt;0,"有","无")</f>
        <v>有</v>
      </c>
      <c r="W38" s="72" t="str">
        <f>IF(COUNTIFS(户型资产表!D:D,I38,户型资产表!G:G,"书桌")&gt;0,"有","无")</f>
        <v>无</v>
      </c>
      <c r="X38" s="72" t="str">
        <f>IF(COUNTIFS(户型资产表!D:D,I38,户型资产表!H:H,"单人沙发02")&gt;0,"有","无")</f>
        <v>无</v>
      </c>
      <c r="Y38" s="72" t="str">
        <f>IF(COUNTIFS(户型资产表!D:D,I38,户型资产表!H:H,"双人沙发01")&gt;0,"有","无")</f>
        <v>无</v>
      </c>
      <c r="Z38" s="72" t="str">
        <f>IF(COUNTIFS(户型资产表!D:D,I38,户型资产表!G:G,"餐桌")&gt;0,"有","无")</f>
        <v>有</v>
      </c>
      <c r="AA38" s="72" t="str">
        <f>IF(COUNTIFS(户型资产表!D:D,I38,户型资产表!G:G,"吸油烟机")&gt;0,"有","无")</f>
        <v>无</v>
      </c>
      <c r="AB38" s="72" t="str">
        <f>IF(COUNTIFS(户型资产表!D:D,I38,户型资产表!G:G,"冰箱")&gt;0,"有","无")</f>
        <v>无</v>
      </c>
      <c r="AC38" s="72" t="str">
        <f>IF(COUNTIFS(户型资产表!D:D,I38,户型资产表!G:G,"电视柜")&gt;0,"有","无")</f>
        <v>无</v>
      </c>
      <c r="AD38" s="81" t="str">
        <f t="shared" si="13"/>
        <v>适中</v>
      </c>
      <c r="AE38" s="72">
        <f>VLOOKUP($AD$1&amp;AD38,【1】定价因子!E:F,2,0)</f>
        <v>1</v>
      </c>
      <c r="AF38" s="81" t="str">
        <f t="shared" si="14"/>
        <v>缺失（操作台/双人沙发）</v>
      </c>
      <c r="AG38" s="72">
        <f>VLOOKUP($AF$1&amp;AF38,【1】定价因子!$E:$F,2,0)</f>
        <v>0.96</v>
      </c>
      <c r="AH38" s="81" t="str">
        <f t="shared" si="15"/>
        <v>适中</v>
      </c>
      <c r="AI38" s="72">
        <f>VLOOKUP($AH$1&amp;AH38,【1】定价因子!$E:$F,2,0)</f>
        <v>1</v>
      </c>
      <c r="AJ38" s="72" t="str">
        <f>VLOOKUP(H38,'【3-1】大区填-采光基本要素'!A:H,8,0)</f>
        <v>4</v>
      </c>
      <c r="AK38" s="72">
        <f>VLOOKUP($AJ$1&amp;AJ38,【1】定价因子!$E:$F,2,0)</f>
        <v>1.03</v>
      </c>
      <c r="AL38" s="82">
        <f t="shared" si="16"/>
        <v>2100.3091623936</v>
      </c>
      <c r="AM38" s="10">
        <v>2000</v>
      </c>
      <c r="AN38" s="83">
        <f t="shared" si="17"/>
        <v>-0.0477592366827002</v>
      </c>
    </row>
    <row r="39" spans="1:40">
      <c r="A39" s="77" t="str">
        <f>'【2】运营中心填-基本信息&amp;审核标准'!$E$2</f>
        <v>兴围中6-20栋</v>
      </c>
      <c r="B39" s="12">
        <f t="shared" si="10"/>
        <v>7</v>
      </c>
      <c r="C39" s="12">
        <f t="shared" si="0"/>
        <v>6</v>
      </c>
      <c r="D39" s="12">
        <f t="shared" si="1"/>
        <v>42</v>
      </c>
      <c r="E39" s="12"/>
      <c r="F39" s="12">
        <f t="shared" si="11"/>
        <v>6</v>
      </c>
      <c r="G39" s="12"/>
      <c r="H39" s="78">
        <v>702</v>
      </c>
      <c r="I39" s="79" t="s">
        <v>471</v>
      </c>
      <c r="J39" s="79" t="s">
        <v>40</v>
      </c>
      <c r="K39" s="12"/>
      <c r="L39" s="80">
        <f>VLOOKUP(J39,'【3】大区填-楼栋基准格局定价'!B:H,7,0)</f>
        <v>1569.408</v>
      </c>
      <c r="M39" s="81" t="str">
        <f t="shared" si="12"/>
        <v>适中</v>
      </c>
      <c r="N39" s="81">
        <v>13.99</v>
      </c>
      <c r="O39" s="72">
        <f>VLOOKUP($M$1&amp;M39,【1】定价因子!E:F,2,0)</f>
        <v>1</v>
      </c>
      <c r="P39" s="72" t="str">
        <f>IF(COUNTIFS(户型资产表!D:D,I39,户型资产表!G:G,"阳台门")&gt;0,"有","无")</f>
        <v>无</v>
      </c>
      <c r="Q39" s="72">
        <f>VLOOKUP($P$1&amp;P39,【1】定价因子!E:F,2,0)</f>
        <v>1</v>
      </c>
      <c r="R39" s="72" t="str">
        <f>IF('【2】运营中心填-基本信息&amp;审核标准'!$C$4="是","无",IF(INT(H39/100)&gt;9,"9F",INT(H39/100)&amp;"F"))</f>
        <v>7F</v>
      </c>
      <c r="S39" s="72">
        <f>VLOOKUP(R39,【1】定价因子!D:F,3,0)</f>
        <v>0.96</v>
      </c>
      <c r="T39" s="72" t="str">
        <f>IF('【2】运营中心填-基本信息&amp;审核标准'!$C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无</v>
      </c>
      <c r="U39" s="72">
        <f>VLOOKUP($T$1&amp;T39,【1】定价因子!E:F,2,0)</f>
        <v>1</v>
      </c>
      <c r="V39" s="72" t="str">
        <f>IF(COUNTIFS(户型资产表!D:D,I39,户型资产表!G:G,"操作台")&gt;0,"有","无")</f>
        <v>有</v>
      </c>
      <c r="W39" s="72" t="str">
        <f>IF(COUNTIFS(户型资产表!D:D,I39,户型资产表!G:G,"书桌")&gt;0,"有","无")</f>
        <v>有</v>
      </c>
      <c r="X39" s="72" t="str">
        <f>IF(COUNTIFS(户型资产表!D:D,I39,户型资产表!H:H,"单人沙发02")&gt;0,"有","无")</f>
        <v>无</v>
      </c>
      <c r="Y39" s="72" t="str">
        <f>IF(COUNTIFS(户型资产表!D:D,I39,户型资产表!H:H,"双人沙发01")&gt;0,"有","无")</f>
        <v>无</v>
      </c>
      <c r="Z39" s="72" t="str">
        <f>IF(COUNTIFS(户型资产表!D:D,I39,户型资产表!G:G,"餐桌")&gt;0,"有","无")</f>
        <v>无</v>
      </c>
      <c r="AA39" s="72" t="str">
        <f>IF(COUNTIFS(户型资产表!D:D,I39,户型资产表!G:G,"吸油烟机")&gt;0,"有","无")</f>
        <v>无</v>
      </c>
      <c r="AB39" s="72" t="str">
        <f>IF(COUNTIFS(户型资产表!D:D,I39,户型资产表!G:G,"冰箱")&gt;0,"有","无")</f>
        <v>无</v>
      </c>
      <c r="AC39" s="72" t="str">
        <f>IF(COUNTIFS(户型资产表!D:D,I39,户型资产表!G:G,"电视柜")&gt;0,"有","无")</f>
        <v>无</v>
      </c>
      <c r="AD39" s="81" t="str">
        <f t="shared" si="13"/>
        <v>适中</v>
      </c>
      <c r="AE39" s="72">
        <f>VLOOKUP($AD$1&amp;AD39,【1】定价因子!E:F,2,0)</f>
        <v>1</v>
      </c>
      <c r="AF39" s="81" t="str">
        <f t="shared" si="14"/>
        <v>适中</v>
      </c>
      <c r="AG39" s="72">
        <f>VLOOKUP($AF$1&amp;AF39,【1】定价因子!$E:$F,2,0)</f>
        <v>1</v>
      </c>
      <c r="AH39" s="81" t="str">
        <f t="shared" si="15"/>
        <v>适中</v>
      </c>
      <c r="AI39" s="72">
        <f>VLOOKUP($AH$1&amp;AH39,【1】定价因子!$E:$F,2,0)</f>
        <v>1</v>
      </c>
      <c r="AJ39" s="72" t="str">
        <f>VLOOKUP(H39,'【3-1】大区填-采光基本要素'!A:H,8,0)</f>
        <v>5</v>
      </c>
      <c r="AK39" s="72">
        <f>VLOOKUP($AJ$1&amp;AJ39,【1】定价因子!$E:$F,2,0)</f>
        <v>1.06</v>
      </c>
      <c r="AL39" s="82">
        <f t="shared" si="16"/>
        <v>1597.0295808</v>
      </c>
      <c r="AM39" s="10">
        <v>1560</v>
      </c>
      <c r="AN39" s="83">
        <f t="shared" si="17"/>
        <v>-0.0231865340787557</v>
      </c>
    </row>
    <row r="40" spans="1:40">
      <c r="A40" s="77" t="str">
        <f>'【2】运营中心填-基本信息&amp;审核标准'!$E$2</f>
        <v>兴围中6-20栋</v>
      </c>
      <c r="B40" s="12">
        <f t="shared" si="10"/>
        <v>7</v>
      </c>
      <c r="C40" s="12">
        <f t="shared" si="0"/>
        <v>6</v>
      </c>
      <c r="D40" s="12">
        <f t="shared" si="1"/>
        <v>42</v>
      </c>
      <c r="E40" s="12"/>
      <c r="F40" s="12">
        <f t="shared" si="11"/>
        <v>6</v>
      </c>
      <c r="G40" s="12"/>
      <c r="H40" s="78">
        <v>703</v>
      </c>
      <c r="I40" s="79" t="s">
        <v>472</v>
      </c>
      <c r="J40" s="79" t="s">
        <v>40</v>
      </c>
      <c r="K40" s="12"/>
      <c r="L40" s="80">
        <f>VLOOKUP(J40,'【3】大区填-楼栋基准格局定价'!B:H,7,0)</f>
        <v>1569.408</v>
      </c>
      <c r="M40" s="81" t="str">
        <f t="shared" si="12"/>
        <v>较狭小</v>
      </c>
      <c r="N40" s="81">
        <v>12.35</v>
      </c>
      <c r="O40" s="72">
        <f>VLOOKUP($M$1&amp;M40,【1】定价因子!E:F,2,0)</f>
        <v>0.95</v>
      </c>
      <c r="P40" s="72" t="str">
        <f>IF(COUNTIFS(户型资产表!D:D,I40,户型资产表!G:G,"阳台门")&gt;0,"有","无")</f>
        <v>无</v>
      </c>
      <c r="Q40" s="72">
        <f>VLOOKUP($P$1&amp;P40,【1】定价因子!E:F,2,0)</f>
        <v>1</v>
      </c>
      <c r="R40" s="72" t="str">
        <f>IF('【2】运营中心填-基本信息&amp;审核标准'!$C$4="是","无",IF(INT(H40/100)&gt;9,"9F",INT(H40/100)&amp;"F"))</f>
        <v>7F</v>
      </c>
      <c r="S40" s="72">
        <f>VLOOKUP(R40,【1】定价因子!D:F,3,0)</f>
        <v>0.96</v>
      </c>
      <c r="T40" s="72" t="str">
        <f>IF('【2】运营中心填-基本信息&amp;审核标准'!$C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无</v>
      </c>
      <c r="U40" s="72">
        <f>VLOOKUP($T$1&amp;T40,【1】定价因子!E:F,2,0)</f>
        <v>1</v>
      </c>
      <c r="V40" s="72" t="str">
        <f>IF(COUNTIFS(户型资产表!D:D,I40,户型资产表!G:G,"操作台")&gt;0,"有","无")</f>
        <v>有</v>
      </c>
      <c r="W40" s="72" t="str">
        <f>IF(COUNTIFS(户型资产表!D:D,I40,户型资产表!G:G,"书桌")&gt;0,"有","无")</f>
        <v>有</v>
      </c>
      <c r="X40" s="72" t="str">
        <f>IF(COUNTIFS(户型资产表!D:D,I40,户型资产表!H:H,"单人沙发02")&gt;0,"有","无")</f>
        <v>无</v>
      </c>
      <c r="Y40" s="72" t="str">
        <f>IF(COUNTIFS(户型资产表!D:D,I40,户型资产表!H:H,"双人沙发01")&gt;0,"有","无")</f>
        <v>无</v>
      </c>
      <c r="Z40" s="72" t="str">
        <f>IF(COUNTIFS(户型资产表!D:D,I40,户型资产表!G:G,"餐桌")&gt;0,"有","无")</f>
        <v>无</v>
      </c>
      <c r="AA40" s="72" t="str">
        <f>IF(COUNTIFS(户型资产表!D:D,I40,户型资产表!G:G,"吸油烟机")&gt;0,"有","无")</f>
        <v>无</v>
      </c>
      <c r="AB40" s="72" t="str">
        <f>IF(COUNTIFS(户型资产表!D:D,I40,户型资产表!G:G,"冰箱")&gt;0,"有","无")</f>
        <v>无</v>
      </c>
      <c r="AC40" s="72" t="str">
        <f>IF(COUNTIFS(户型资产表!D:D,I40,户型资产表!G:G,"电视柜")&gt;0,"有","无")</f>
        <v>无</v>
      </c>
      <c r="AD40" s="81" t="str">
        <f t="shared" si="13"/>
        <v>适中</v>
      </c>
      <c r="AE40" s="72">
        <f>VLOOKUP($AD$1&amp;AD40,【1】定价因子!E:F,2,0)</f>
        <v>1</v>
      </c>
      <c r="AF40" s="81" t="str">
        <f t="shared" si="14"/>
        <v>适中</v>
      </c>
      <c r="AG40" s="72">
        <f>VLOOKUP($AF$1&amp;AF40,【1】定价因子!$E:$F,2,0)</f>
        <v>1</v>
      </c>
      <c r="AH40" s="81" t="str">
        <f t="shared" si="15"/>
        <v>适中</v>
      </c>
      <c r="AI40" s="72">
        <f>VLOOKUP($AH$1&amp;AH40,【1】定价因子!$E:$F,2,0)</f>
        <v>1</v>
      </c>
      <c r="AJ40" s="72" t="str">
        <f>VLOOKUP(H40,'【3-1】大区填-采光基本要素'!A:H,8,0)</f>
        <v>3</v>
      </c>
      <c r="AK40" s="72">
        <f>VLOOKUP($AJ$1&amp;AJ40,【1】定价因子!$E:$F,2,0)</f>
        <v>1</v>
      </c>
      <c r="AL40" s="82">
        <f t="shared" si="16"/>
        <v>1431.300096</v>
      </c>
      <c r="AM40" s="10">
        <v>1410</v>
      </c>
      <c r="AN40" s="83">
        <f t="shared" si="17"/>
        <v>-0.0148816422632306</v>
      </c>
    </row>
    <row r="41" spans="1:40">
      <c r="A41" s="77" t="str">
        <f>'【2】运营中心填-基本信息&amp;审核标准'!$E$2</f>
        <v>兴围中6-20栋</v>
      </c>
      <c r="B41" s="12">
        <f t="shared" si="10"/>
        <v>7</v>
      </c>
      <c r="C41" s="12">
        <f t="shared" si="0"/>
        <v>6</v>
      </c>
      <c r="D41" s="12">
        <f t="shared" si="1"/>
        <v>42</v>
      </c>
      <c r="E41" s="12"/>
      <c r="F41" s="12">
        <f t="shared" si="11"/>
        <v>6</v>
      </c>
      <c r="G41" s="12"/>
      <c r="H41" s="78">
        <v>704</v>
      </c>
      <c r="I41" s="79" t="s">
        <v>472</v>
      </c>
      <c r="J41" s="79" t="s">
        <v>40</v>
      </c>
      <c r="K41" s="12"/>
      <c r="L41" s="80">
        <f>VLOOKUP(J41,'【3】大区填-楼栋基准格局定价'!B:H,7,0)</f>
        <v>1569.408</v>
      </c>
      <c r="M41" s="81" t="str">
        <f t="shared" si="12"/>
        <v>较狭小</v>
      </c>
      <c r="N41" s="81">
        <v>12.14</v>
      </c>
      <c r="O41" s="72">
        <f>VLOOKUP($M$1&amp;M41,【1】定价因子!E:F,2,0)</f>
        <v>0.95</v>
      </c>
      <c r="P41" s="72" t="str">
        <f>IF(COUNTIFS(户型资产表!D:D,I41,户型资产表!G:G,"阳台门")&gt;0,"有","无")</f>
        <v>无</v>
      </c>
      <c r="Q41" s="72">
        <f>VLOOKUP($P$1&amp;P41,【1】定价因子!E:F,2,0)</f>
        <v>1</v>
      </c>
      <c r="R41" s="72" t="str">
        <f>IF('【2】运营中心填-基本信息&amp;审核标准'!$C$4="是","无",IF(INT(H41/100)&gt;9,"9F",INT(H41/100)&amp;"F"))</f>
        <v>7F</v>
      </c>
      <c r="S41" s="72">
        <f>VLOOKUP(R41,【1】定价因子!D:F,3,0)</f>
        <v>0.96</v>
      </c>
      <c r="T41" s="72" t="str">
        <f>IF('【2】运营中心填-基本信息&amp;审核标准'!$C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无</v>
      </c>
      <c r="U41" s="72">
        <f>VLOOKUP($T$1&amp;T41,【1】定价因子!E:F,2,0)</f>
        <v>1</v>
      </c>
      <c r="V41" s="72" t="str">
        <f>IF(COUNTIFS(户型资产表!D:D,I41,户型资产表!G:G,"操作台")&gt;0,"有","无")</f>
        <v>有</v>
      </c>
      <c r="W41" s="72" t="str">
        <f>IF(COUNTIFS(户型资产表!D:D,I41,户型资产表!G:G,"书桌")&gt;0,"有","无")</f>
        <v>有</v>
      </c>
      <c r="X41" s="72" t="str">
        <f>IF(COUNTIFS(户型资产表!D:D,I41,户型资产表!H:H,"单人沙发02")&gt;0,"有","无")</f>
        <v>无</v>
      </c>
      <c r="Y41" s="72" t="str">
        <f>IF(COUNTIFS(户型资产表!D:D,I41,户型资产表!H:H,"双人沙发01")&gt;0,"有","无")</f>
        <v>无</v>
      </c>
      <c r="Z41" s="72" t="str">
        <f>IF(COUNTIFS(户型资产表!D:D,I41,户型资产表!G:G,"餐桌")&gt;0,"有","无")</f>
        <v>无</v>
      </c>
      <c r="AA41" s="72" t="str">
        <f>IF(COUNTIFS(户型资产表!D:D,I41,户型资产表!G:G,"吸油烟机")&gt;0,"有","无")</f>
        <v>无</v>
      </c>
      <c r="AB41" s="72" t="str">
        <f>IF(COUNTIFS(户型资产表!D:D,I41,户型资产表!G:G,"冰箱")&gt;0,"有","无")</f>
        <v>无</v>
      </c>
      <c r="AC41" s="72" t="str">
        <f>IF(COUNTIFS(户型资产表!D:D,I41,户型资产表!G:G,"电视柜")&gt;0,"有","无")</f>
        <v>无</v>
      </c>
      <c r="AD41" s="81" t="str">
        <f t="shared" si="13"/>
        <v>适中</v>
      </c>
      <c r="AE41" s="72">
        <f>VLOOKUP($AD$1&amp;AD41,【1】定价因子!E:F,2,0)</f>
        <v>1</v>
      </c>
      <c r="AF41" s="81" t="str">
        <f t="shared" si="14"/>
        <v>适中</v>
      </c>
      <c r="AG41" s="72">
        <f>VLOOKUP($AF$1&amp;AF41,【1】定价因子!$E:$F,2,0)</f>
        <v>1</v>
      </c>
      <c r="AH41" s="81" t="str">
        <f t="shared" si="15"/>
        <v>适中</v>
      </c>
      <c r="AI41" s="72">
        <f>VLOOKUP($AH$1&amp;AH41,【1】定价因子!$E:$F,2,0)</f>
        <v>1</v>
      </c>
      <c r="AJ41" s="72" t="str">
        <f>VLOOKUP(H41,'【3-1】大区填-采光基本要素'!A:H,8,0)</f>
        <v>3</v>
      </c>
      <c r="AK41" s="72">
        <f>VLOOKUP($AJ$1&amp;AJ41,【1】定价因子!$E:$F,2,0)</f>
        <v>1</v>
      </c>
      <c r="AL41" s="82">
        <f t="shared" si="16"/>
        <v>1431.300096</v>
      </c>
      <c r="AM41" s="10">
        <v>1410</v>
      </c>
      <c r="AN41" s="83">
        <f t="shared" si="17"/>
        <v>-0.0148816422632306</v>
      </c>
    </row>
    <row r="42" spans="1:40">
      <c r="A42" s="77" t="str">
        <f>'【2】运营中心填-基本信息&amp;审核标准'!$E$2</f>
        <v>兴围中6-20栋</v>
      </c>
      <c r="B42" s="12">
        <f t="shared" si="10"/>
        <v>7</v>
      </c>
      <c r="C42" s="12">
        <f t="shared" si="0"/>
        <v>6</v>
      </c>
      <c r="D42" s="12">
        <f t="shared" si="1"/>
        <v>42</v>
      </c>
      <c r="E42" s="12"/>
      <c r="F42" s="12">
        <f t="shared" si="11"/>
        <v>6</v>
      </c>
      <c r="G42" s="12"/>
      <c r="H42" s="78">
        <v>705</v>
      </c>
      <c r="I42" s="79" t="s">
        <v>471</v>
      </c>
      <c r="J42" s="79" t="s">
        <v>40</v>
      </c>
      <c r="K42" s="12"/>
      <c r="L42" s="80">
        <f>VLOOKUP(J42,'【3】大区填-楼栋基准格局定价'!B:H,7,0)</f>
        <v>1569.408</v>
      </c>
      <c r="M42" s="81" t="str">
        <f t="shared" si="12"/>
        <v>适中</v>
      </c>
      <c r="N42" s="81">
        <v>14.5</v>
      </c>
      <c r="O42" s="72">
        <f>VLOOKUP($M$1&amp;M42,【1】定价因子!E:F,2,0)</f>
        <v>1</v>
      </c>
      <c r="P42" s="72" t="str">
        <f>IF(COUNTIFS(户型资产表!D:D,I42,户型资产表!G:G,"阳台门")&gt;0,"有","无")</f>
        <v>无</v>
      </c>
      <c r="Q42" s="72">
        <f>VLOOKUP($P$1&amp;P42,【1】定价因子!E:F,2,0)</f>
        <v>1</v>
      </c>
      <c r="R42" s="72" t="str">
        <f>IF('【2】运营中心填-基本信息&amp;审核标准'!$C$4="是","无",IF(INT(H42/100)&gt;9,"9F",INT(H42/100)&amp;"F"))</f>
        <v>7F</v>
      </c>
      <c r="S42" s="72">
        <f>VLOOKUP(R42,【1】定价因子!D:F,3,0)</f>
        <v>0.96</v>
      </c>
      <c r="T42" s="72" t="str">
        <f>IF('【2】运营中心填-基本信息&amp;审核标准'!$C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无</v>
      </c>
      <c r="U42" s="72">
        <f>VLOOKUP($T$1&amp;T42,【1】定价因子!E:F,2,0)</f>
        <v>1</v>
      </c>
      <c r="V42" s="72" t="str">
        <f>IF(COUNTIFS(户型资产表!D:D,I42,户型资产表!G:G,"操作台")&gt;0,"有","无")</f>
        <v>有</v>
      </c>
      <c r="W42" s="72" t="str">
        <f>IF(COUNTIFS(户型资产表!D:D,I42,户型资产表!G:G,"书桌")&gt;0,"有","无")</f>
        <v>有</v>
      </c>
      <c r="X42" s="72" t="str">
        <f>IF(COUNTIFS(户型资产表!D:D,I42,户型资产表!H:H,"单人沙发02")&gt;0,"有","无")</f>
        <v>无</v>
      </c>
      <c r="Y42" s="72" t="str">
        <f>IF(COUNTIFS(户型资产表!D:D,I42,户型资产表!H:H,"双人沙发01")&gt;0,"有","无")</f>
        <v>无</v>
      </c>
      <c r="Z42" s="72" t="str">
        <f>IF(COUNTIFS(户型资产表!D:D,I42,户型资产表!G:G,"餐桌")&gt;0,"有","无")</f>
        <v>无</v>
      </c>
      <c r="AA42" s="72" t="str">
        <f>IF(COUNTIFS(户型资产表!D:D,I42,户型资产表!G:G,"吸油烟机")&gt;0,"有","无")</f>
        <v>无</v>
      </c>
      <c r="AB42" s="72" t="str">
        <f>IF(COUNTIFS(户型资产表!D:D,I42,户型资产表!G:G,"冰箱")&gt;0,"有","无")</f>
        <v>无</v>
      </c>
      <c r="AC42" s="72" t="str">
        <f>IF(COUNTIFS(户型资产表!D:D,I42,户型资产表!G:G,"电视柜")&gt;0,"有","无")</f>
        <v>无</v>
      </c>
      <c r="AD42" s="81" t="str">
        <f t="shared" si="13"/>
        <v>适中</v>
      </c>
      <c r="AE42" s="72">
        <f>VLOOKUP($AD$1&amp;AD42,【1】定价因子!E:F,2,0)</f>
        <v>1</v>
      </c>
      <c r="AF42" s="81" t="str">
        <f t="shared" si="14"/>
        <v>适中</v>
      </c>
      <c r="AG42" s="72">
        <f>VLOOKUP($AF$1&amp;AF42,【1】定价因子!$E:$F,2,0)</f>
        <v>1</v>
      </c>
      <c r="AH42" s="81" t="str">
        <f t="shared" si="15"/>
        <v>适中</v>
      </c>
      <c r="AI42" s="72">
        <f>VLOOKUP($AH$1&amp;AH42,【1】定价因子!$E:$F,2,0)</f>
        <v>1</v>
      </c>
      <c r="AJ42" s="72" t="str">
        <f>VLOOKUP(H42,'【3-1】大区填-采光基本要素'!A:H,8,0)</f>
        <v>5</v>
      </c>
      <c r="AK42" s="72">
        <f>VLOOKUP($AJ$1&amp;AJ42,【1】定价因子!$E:$F,2,0)</f>
        <v>1.06</v>
      </c>
      <c r="AL42" s="82">
        <f t="shared" si="16"/>
        <v>1597.0295808</v>
      </c>
      <c r="AM42" s="10">
        <v>1560</v>
      </c>
      <c r="AN42" s="83">
        <f t="shared" si="17"/>
        <v>-0.0231865340787557</v>
      </c>
    </row>
    <row r="43" spans="1:40">
      <c r="A43" s="77" t="str">
        <f>'【2】运营中心填-基本信息&amp;审核标准'!$E$2</f>
        <v>兴围中6-20栋</v>
      </c>
      <c r="B43" s="12">
        <f t="shared" si="10"/>
        <v>7</v>
      </c>
      <c r="C43" s="12">
        <f t="shared" si="0"/>
        <v>6</v>
      </c>
      <c r="D43" s="12">
        <f t="shared" si="1"/>
        <v>42</v>
      </c>
      <c r="E43" s="12"/>
      <c r="F43" s="12">
        <f t="shared" si="11"/>
        <v>6</v>
      </c>
      <c r="G43" s="12"/>
      <c r="H43" s="78">
        <v>706</v>
      </c>
      <c r="I43" s="79" t="s">
        <v>470</v>
      </c>
      <c r="J43" s="79" t="s">
        <v>43</v>
      </c>
      <c r="K43" s="12"/>
      <c r="L43" s="80">
        <f>VLOOKUP(J43,'【3】大区填-楼栋基准格局定价'!B:H,7,0)</f>
        <v>2329.056</v>
      </c>
      <c r="M43" s="81" t="str">
        <f t="shared" si="12"/>
        <v>较狭小</v>
      </c>
      <c r="N43" s="81">
        <v>20.12</v>
      </c>
      <c r="O43" s="72">
        <f>VLOOKUP($M$1&amp;M43,【1】定价因子!E:F,2,0)</f>
        <v>0.95</v>
      </c>
      <c r="P43" s="72" t="str">
        <f>IF(COUNTIFS(户型资产表!D:D,I43,户型资产表!G:G,"阳台门")&gt;0,"有","无")</f>
        <v>无</v>
      </c>
      <c r="Q43" s="72">
        <f>VLOOKUP($P$1&amp;P43,【1】定价因子!E:F,2,0)</f>
        <v>1</v>
      </c>
      <c r="R43" s="72" t="str">
        <f>IF('【2】运营中心填-基本信息&amp;审核标准'!$C$4="是","无",IF(INT(H43/100)&gt;9,"9F",INT(H43/100)&amp;"F"))</f>
        <v>7F</v>
      </c>
      <c r="S43" s="72">
        <f>VLOOKUP(R43,【1】定价因子!D:F,3,0)</f>
        <v>0.96</v>
      </c>
      <c r="T43" s="72" t="str">
        <f>IF('【2】运营中心填-基本信息&amp;审核标准'!$C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无</v>
      </c>
      <c r="U43" s="72">
        <f>VLOOKUP($T$1&amp;T43,【1】定价因子!E:F,2,0)</f>
        <v>1</v>
      </c>
      <c r="V43" s="72" t="str">
        <f>IF(COUNTIFS(户型资产表!D:D,I43,户型资产表!G:G,"操作台")&gt;0,"有","无")</f>
        <v>有</v>
      </c>
      <c r="W43" s="72" t="str">
        <f>IF(COUNTIFS(户型资产表!D:D,I43,户型资产表!G:G,"书桌")&gt;0,"有","无")</f>
        <v>无</v>
      </c>
      <c r="X43" s="72" t="str">
        <f>IF(COUNTIFS(户型资产表!D:D,I43,户型资产表!H:H,"单人沙发02")&gt;0,"有","无")</f>
        <v>无</v>
      </c>
      <c r="Y43" s="72" t="str">
        <f>IF(COUNTIFS(户型资产表!D:D,I43,户型资产表!H:H,"双人沙发01")&gt;0,"有","无")</f>
        <v>无</v>
      </c>
      <c r="Z43" s="72" t="str">
        <f>IF(COUNTIFS(户型资产表!D:D,I43,户型资产表!G:G,"餐桌")&gt;0,"有","无")</f>
        <v>有</v>
      </c>
      <c r="AA43" s="72" t="str">
        <f>IF(COUNTIFS(户型资产表!D:D,I43,户型资产表!G:G,"吸油烟机")&gt;0,"有","无")</f>
        <v>无</v>
      </c>
      <c r="AB43" s="72" t="str">
        <f>IF(COUNTIFS(户型资产表!D:D,I43,户型资产表!G:G,"冰箱")&gt;0,"有","无")</f>
        <v>无</v>
      </c>
      <c r="AC43" s="72" t="str">
        <f>IF(COUNTIFS(户型资产表!D:D,I43,户型资产表!G:G,"电视柜")&gt;0,"有","无")</f>
        <v>无</v>
      </c>
      <c r="AD43" s="81" t="str">
        <f t="shared" si="13"/>
        <v>适中</v>
      </c>
      <c r="AE43" s="72">
        <f>VLOOKUP($AD$1&amp;AD43,【1】定价因子!E:F,2,0)</f>
        <v>1</v>
      </c>
      <c r="AF43" s="81" t="str">
        <f t="shared" si="14"/>
        <v>缺失（操作台/双人沙发）</v>
      </c>
      <c r="AG43" s="72">
        <f>VLOOKUP($AF$1&amp;AF43,【1】定价因子!$E:$F,2,0)</f>
        <v>0.96</v>
      </c>
      <c r="AH43" s="81" t="str">
        <f t="shared" si="15"/>
        <v>适中</v>
      </c>
      <c r="AI43" s="72">
        <f>VLOOKUP($AH$1&amp;AH43,【1】定价因子!$E:$F,2,0)</f>
        <v>1</v>
      </c>
      <c r="AJ43" s="72" t="str">
        <f>VLOOKUP(H43,'【3-1】大区填-采光基本要素'!A:H,8,0)</f>
        <v>4</v>
      </c>
      <c r="AK43" s="72">
        <f>VLOOKUP($AJ$1&amp;AJ43,【1】定价因子!$E:$F,2,0)</f>
        <v>1.03</v>
      </c>
      <c r="AL43" s="82">
        <f t="shared" si="16"/>
        <v>2100.3091623936</v>
      </c>
      <c r="AM43" s="10">
        <v>2000</v>
      </c>
      <c r="AN43" s="83">
        <f t="shared" si="17"/>
        <v>-0.0477592366827002</v>
      </c>
    </row>
  </sheetData>
  <autoFilter xmlns:etc="http://www.wps.cn/officeDocument/2017/etCustomData" ref="A1:AN43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workbookViewId="0">
      <selection activeCell="A1" sqref="A1:S255"/>
    </sheetView>
  </sheetViews>
  <sheetFormatPr defaultColWidth="9.125" defaultRowHeight="14"/>
  <sheetData>
    <row r="1" ht="17.25" spans="1:19">
      <c r="A1" s="41" t="s">
        <v>473</v>
      </c>
      <c r="B1" s="42"/>
      <c r="C1" s="42"/>
      <c r="D1" s="42"/>
      <c r="E1" s="42"/>
      <c r="F1" s="42"/>
      <c r="G1" s="42"/>
      <c r="H1" s="42"/>
      <c r="I1" s="43"/>
      <c r="J1" s="42"/>
      <c r="K1" s="42"/>
      <c r="L1" s="42"/>
      <c r="M1" s="42"/>
      <c r="N1" s="42"/>
      <c r="O1" s="42"/>
      <c r="P1" s="42"/>
      <c r="Q1" s="43"/>
      <c r="R1" s="43"/>
      <c r="S1" s="44"/>
    </row>
    <row r="2" ht="17.25" spans="1:19">
      <c r="A2" s="45" t="s">
        <v>25</v>
      </c>
      <c r="B2" s="46" t="s">
        <v>474</v>
      </c>
      <c r="C2" s="46" t="s">
        <v>475</v>
      </c>
      <c r="D2" s="46" t="s">
        <v>476</v>
      </c>
      <c r="E2" s="46" t="s">
        <v>477</v>
      </c>
      <c r="F2" s="46" t="s">
        <v>478</v>
      </c>
      <c r="G2" s="46" t="s">
        <v>479</v>
      </c>
      <c r="H2" s="46" t="s">
        <v>480</v>
      </c>
      <c r="I2" s="47" t="s">
        <v>481</v>
      </c>
      <c r="J2" s="48" t="s">
        <v>482</v>
      </c>
      <c r="K2" s="49" t="s">
        <v>483</v>
      </c>
      <c r="L2" s="48" t="s">
        <v>484</v>
      </c>
      <c r="M2" s="50" t="s">
        <v>485</v>
      </c>
      <c r="N2" s="48" t="s">
        <v>486</v>
      </c>
      <c r="O2" s="51" t="s">
        <v>487</v>
      </c>
      <c r="P2" s="48" t="s">
        <v>312</v>
      </c>
      <c r="Q2" s="52" t="s">
        <v>488</v>
      </c>
      <c r="R2" s="53" t="s">
        <v>489</v>
      </c>
      <c r="S2" s="54" t="s">
        <v>490</v>
      </c>
    </row>
    <row r="3" ht="16.5" spans="1:19">
      <c r="A3" s="55" t="s">
        <v>491</v>
      </c>
      <c r="B3" s="55"/>
      <c r="C3" s="55"/>
      <c r="D3" s="55"/>
      <c r="E3" s="55"/>
      <c r="F3" s="55"/>
      <c r="G3" s="55"/>
      <c r="H3" s="55"/>
      <c r="I3" s="56"/>
      <c r="J3" s="57"/>
      <c r="K3" s="58" t="s">
        <v>492</v>
      </c>
      <c r="L3" s="58"/>
      <c r="M3" s="58"/>
      <c r="N3" s="59"/>
      <c r="O3" s="60"/>
      <c r="P3" s="58"/>
      <c r="Q3" s="58"/>
      <c r="R3" s="56"/>
      <c r="S3" s="61"/>
    </row>
    <row r="4" ht="16.5" spans="1:19">
      <c r="A4" s="62">
        <v>1</v>
      </c>
      <c r="B4" s="62" t="s">
        <v>493</v>
      </c>
      <c r="C4" s="62" t="s">
        <v>494</v>
      </c>
      <c r="D4" s="62" t="s">
        <v>467</v>
      </c>
      <c r="E4" s="62" t="s">
        <v>495</v>
      </c>
      <c r="F4" s="62" t="s">
        <v>496</v>
      </c>
      <c r="G4" s="62" t="s">
        <v>497</v>
      </c>
      <c r="H4" s="62" t="s">
        <v>498</v>
      </c>
      <c r="I4" s="63"/>
      <c r="J4" s="62" t="str">
        <f>H4&amp;K4&amp;N4</f>
        <v>入户门02钢门_/</v>
      </c>
      <c r="K4" s="64" t="s">
        <v>492</v>
      </c>
      <c r="L4" s="64" t="s">
        <v>499</v>
      </c>
      <c r="M4" s="64" t="e">
        <f>VLOOKUP($I4,[1]资产项汇总!$G:$M,4,0)</f>
        <v>#N/A</v>
      </c>
      <c r="N4" s="64" t="s">
        <v>499</v>
      </c>
      <c r="O4" s="65">
        <v>1</v>
      </c>
      <c r="P4" s="64" t="e">
        <f>VLOOKUP($I4,[1]资产项汇总!$G:$M,6,0)</f>
        <v>#N/A</v>
      </c>
      <c r="Q4" s="64" t="e">
        <f>VLOOKUP($I4,[1]资产项汇总!$G:$M,7,0)</f>
        <v>#N/A</v>
      </c>
      <c r="R4" s="63"/>
      <c r="S4" s="66"/>
    </row>
    <row r="5" ht="16.5" spans="1:19">
      <c r="A5" s="62">
        <v>2</v>
      </c>
      <c r="B5" s="62" t="s">
        <v>493</v>
      </c>
      <c r="C5" s="62" t="s">
        <v>494</v>
      </c>
      <c r="D5" s="62" t="s">
        <v>467</v>
      </c>
      <c r="E5" s="62" t="s">
        <v>495</v>
      </c>
      <c r="F5" s="62" t="s">
        <v>496</v>
      </c>
      <c r="G5" s="62" t="s">
        <v>500</v>
      </c>
      <c r="H5" s="62" t="s">
        <v>501</v>
      </c>
      <c r="I5" s="63"/>
      <c r="J5" s="62" t="str">
        <f t="shared" ref="J5:J68" si="0">H5&amp;K5&amp;N5</f>
        <v>智能门锁01_/</v>
      </c>
      <c r="K5" s="64" t="s">
        <v>492</v>
      </c>
      <c r="L5" s="64" t="s">
        <v>499</v>
      </c>
      <c r="M5" s="64" t="e">
        <f>VLOOKUP($I5,[1]资产项汇总!$G:$M,4,0)</f>
        <v>#N/A</v>
      </c>
      <c r="N5" s="64" t="s">
        <v>499</v>
      </c>
      <c r="O5" s="65">
        <v>1</v>
      </c>
      <c r="P5" s="64" t="e">
        <f>VLOOKUP($I5,[1]资产项汇总!$G:$M,6,0)</f>
        <v>#N/A</v>
      </c>
      <c r="Q5" s="64" t="e">
        <f>VLOOKUP($I5,[1]资产项汇总!$G:$M,7,0)</f>
        <v>#N/A</v>
      </c>
      <c r="R5" s="63"/>
      <c r="S5" s="66"/>
    </row>
    <row r="6" ht="16.5" spans="1:19">
      <c r="A6" s="62">
        <v>3</v>
      </c>
      <c r="B6" s="62" t="s">
        <v>493</v>
      </c>
      <c r="C6" s="62" t="s">
        <v>494</v>
      </c>
      <c r="D6" s="62" t="s">
        <v>467</v>
      </c>
      <c r="E6" s="62" t="s">
        <v>495</v>
      </c>
      <c r="F6" s="62" t="s">
        <v>502</v>
      </c>
      <c r="G6" s="62" t="s">
        <v>503</v>
      </c>
      <c r="H6" s="62" t="s">
        <v>504</v>
      </c>
      <c r="I6" s="63"/>
      <c r="J6" s="62" t="str">
        <f t="shared" si="0"/>
        <v>门牌号01_/</v>
      </c>
      <c r="K6" s="64" t="s">
        <v>492</v>
      </c>
      <c r="L6" s="64" t="s">
        <v>499</v>
      </c>
      <c r="M6" s="64" t="e">
        <f>VLOOKUP($I6,[1]资产项汇总!$G:$M,4,0)</f>
        <v>#N/A</v>
      </c>
      <c r="N6" s="64" t="s">
        <v>499</v>
      </c>
      <c r="O6" s="65">
        <v>1</v>
      </c>
      <c r="P6" s="64" t="e">
        <f>VLOOKUP($I6,[1]资产项汇总!$G:$M,6,0)</f>
        <v>#N/A</v>
      </c>
      <c r="Q6" s="64" t="e">
        <f>VLOOKUP($I6,[1]资产项汇总!$G:$M,7,0)</f>
        <v>#N/A</v>
      </c>
      <c r="R6" s="63"/>
      <c r="S6" s="66"/>
    </row>
    <row r="7" ht="16.5" spans="1:19">
      <c r="A7" s="62">
        <v>4</v>
      </c>
      <c r="B7" s="62" t="s">
        <v>493</v>
      </c>
      <c r="C7" s="62" t="s">
        <v>494</v>
      </c>
      <c r="D7" s="62" t="s">
        <v>467</v>
      </c>
      <c r="E7" s="62" t="s">
        <v>495</v>
      </c>
      <c r="F7" s="62" t="s">
        <v>502</v>
      </c>
      <c r="G7" s="62" t="s">
        <v>505</v>
      </c>
      <c r="H7" s="62" t="s">
        <v>506</v>
      </c>
      <c r="I7" s="63"/>
      <c r="J7" s="62" t="str">
        <f t="shared" si="0"/>
        <v>户内公告栏01_/</v>
      </c>
      <c r="K7" s="64" t="s">
        <v>492</v>
      </c>
      <c r="L7" s="64" t="s">
        <v>499</v>
      </c>
      <c r="M7" s="64" t="e">
        <f>VLOOKUP($I7,[1]资产项汇总!$G:$M,4,0)</f>
        <v>#N/A</v>
      </c>
      <c r="N7" s="64" t="s">
        <v>499</v>
      </c>
      <c r="O7" s="65">
        <v>1</v>
      </c>
      <c r="P7" s="64" t="e">
        <f>VLOOKUP($I7,[1]资产项汇总!$G:$M,6,0)</f>
        <v>#N/A</v>
      </c>
      <c r="Q7" s="64" t="e">
        <f>VLOOKUP($I7,[1]资产项汇总!$G:$M,7,0)</f>
        <v>#N/A</v>
      </c>
      <c r="R7" s="63"/>
      <c r="S7" s="66"/>
    </row>
    <row r="8" ht="16.5" spans="1:19">
      <c r="A8" s="62">
        <v>5</v>
      </c>
      <c r="B8" s="62" t="s">
        <v>493</v>
      </c>
      <c r="C8" s="62" t="s">
        <v>494</v>
      </c>
      <c r="D8" s="62" t="s">
        <v>467</v>
      </c>
      <c r="E8" s="62" t="s">
        <v>507</v>
      </c>
      <c r="F8" s="62" t="s">
        <v>508</v>
      </c>
      <c r="G8" s="62" t="s">
        <v>509</v>
      </c>
      <c r="H8" s="62" t="s">
        <v>510</v>
      </c>
      <c r="I8" s="63"/>
      <c r="J8" s="62" t="str">
        <f t="shared" si="0"/>
        <v>灭火器01_/</v>
      </c>
      <c r="K8" s="64" t="s">
        <v>492</v>
      </c>
      <c r="L8" s="64" t="s">
        <v>499</v>
      </c>
      <c r="M8" s="64" t="e">
        <f>VLOOKUP($I8,[1]资产项汇总!$G:$M,4,0)</f>
        <v>#N/A</v>
      </c>
      <c r="N8" s="64" t="s">
        <v>499</v>
      </c>
      <c r="O8" s="65">
        <v>1</v>
      </c>
      <c r="P8" s="64" t="e">
        <f>VLOOKUP($I8,[1]资产项汇总!$G:$M,6,0)</f>
        <v>#N/A</v>
      </c>
      <c r="Q8" s="64" t="e">
        <f>VLOOKUP($I8,[1]资产项汇总!$G:$M,7,0)</f>
        <v>#N/A</v>
      </c>
      <c r="R8" s="63"/>
      <c r="S8" s="66"/>
    </row>
    <row r="9" ht="16.5" spans="1:19">
      <c r="A9" s="62">
        <v>6</v>
      </c>
      <c r="B9" s="62" t="s">
        <v>493</v>
      </c>
      <c r="C9" s="62" t="s">
        <v>494</v>
      </c>
      <c r="D9" s="62" t="s">
        <v>467</v>
      </c>
      <c r="E9" s="62" t="s">
        <v>507</v>
      </c>
      <c r="F9" s="62" t="s">
        <v>511</v>
      </c>
      <c r="G9" s="62" t="s">
        <v>512</v>
      </c>
      <c r="H9" s="62" t="s">
        <v>513</v>
      </c>
      <c r="I9" s="63"/>
      <c r="J9" s="62" t="str">
        <f t="shared" si="0"/>
        <v>鞋柜01_/</v>
      </c>
      <c r="K9" s="64" t="s">
        <v>492</v>
      </c>
      <c r="L9" s="64" t="s">
        <v>499</v>
      </c>
      <c r="M9" s="64" t="e">
        <f>VLOOKUP($I9,[1]资产项汇总!$G:$M,4,0)</f>
        <v>#N/A</v>
      </c>
      <c r="N9" s="64" t="s">
        <v>499</v>
      </c>
      <c r="O9" s="65">
        <v>1</v>
      </c>
      <c r="P9" s="64" t="e">
        <f>VLOOKUP($I9,[1]资产项汇总!$G:$M,6,0)</f>
        <v>#N/A</v>
      </c>
      <c r="Q9" s="64" t="e">
        <f>VLOOKUP($I9,[1]资产项汇总!$G:$M,7,0)</f>
        <v>#N/A</v>
      </c>
      <c r="R9" s="63"/>
      <c r="S9" s="66"/>
    </row>
    <row r="10" ht="16.5" spans="1:19">
      <c r="A10" s="62">
        <v>7</v>
      </c>
      <c r="B10" s="62" t="s">
        <v>493</v>
      </c>
      <c r="C10" s="62" t="s">
        <v>494</v>
      </c>
      <c r="D10" s="62" t="s">
        <v>467</v>
      </c>
      <c r="E10" s="62" t="s">
        <v>507</v>
      </c>
      <c r="F10" s="62" t="s">
        <v>511</v>
      </c>
      <c r="G10" s="62" t="s">
        <v>514</v>
      </c>
      <c r="H10" s="62" t="s">
        <v>515</v>
      </c>
      <c r="I10" s="63"/>
      <c r="J10" s="62" t="str">
        <f t="shared" si="0"/>
        <v>茶几01圆形_/</v>
      </c>
      <c r="K10" s="64" t="s">
        <v>492</v>
      </c>
      <c r="L10" s="64" t="s">
        <v>499</v>
      </c>
      <c r="M10" s="64" t="e">
        <f>VLOOKUP($I10,[1]资产项汇总!$G:$M,4,0)</f>
        <v>#N/A</v>
      </c>
      <c r="N10" s="64" t="s">
        <v>499</v>
      </c>
      <c r="O10" s="65">
        <v>1</v>
      </c>
      <c r="P10" s="64" t="e">
        <f>VLOOKUP($I10,[1]资产项汇总!$G:$M,6,0)</f>
        <v>#N/A</v>
      </c>
      <c r="Q10" s="64" t="e">
        <f>VLOOKUP($I10,[1]资产项汇总!$G:$M,7,0)</f>
        <v>#N/A</v>
      </c>
      <c r="R10" s="63"/>
      <c r="S10" s="66"/>
    </row>
    <row r="11" ht="16.5" spans="1:19">
      <c r="A11" s="62">
        <v>8</v>
      </c>
      <c r="B11" s="62" t="s">
        <v>493</v>
      </c>
      <c r="C11" s="62" t="s">
        <v>494</v>
      </c>
      <c r="D11" s="62" t="s">
        <v>467</v>
      </c>
      <c r="E11" s="62" t="s">
        <v>507</v>
      </c>
      <c r="F11" s="62" t="s">
        <v>511</v>
      </c>
      <c r="G11" s="62" t="s">
        <v>516</v>
      </c>
      <c r="H11" s="62" t="s">
        <v>517</v>
      </c>
      <c r="I11" s="63"/>
      <c r="J11" s="62" t="str">
        <f t="shared" si="0"/>
        <v>沙发02两人_/</v>
      </c>
      <c r="K11" s="64" t="s">
        <v>492</v>
      </c>
      <c r="L11" s="64" t="s">
        <v>499</v>
      </c>
      <c r="M11" s="64" t="e">
        <f>VLOOKUP($I11,[1]资产项汇总!$G:$M,4,0)</f>
        <v>#N/A</v>
      </c>
      <c r="N11" s="64" t="s">
        <v>499</v>
      </c>
      <c r="O11" s="65">
        <v>1</v>
      </c>
      <c r="P11" s="64" t="e">
        <f>VLOOKUP($I11,[1]资产项汇总!$G:$M,6,0)</f>
        <v>#N/A</v>
      </c>
      <c r="Q11" s="64" t="e">
        <f>VLOOKUP($I11,[1]资产项汇总!$G:$M,7,0)</f>
        <v>#N/A</v>
      </c>
      <c r="R11" s="63"/>
      <c r="S11" s="66"/>
    </row>
    <row r="12" ht="16.5" spans="1:19">
      <c r="A12" s="62">
        <v>9</v>
      </c>
      <c r="B12" s="62" t="s">
        <v>493</v>
      </c>
      <c r="C12" s="62" t="s">
        <v>494</v>
      </c>
      <c r="D12" s="62" t="s">
        <v>467</v>
      </c>
      <c r="E12" s="62" t="s">
        <v>507</v>
      </c>
      <c r="F12" s="62" t="s">
        <v>511</v>
      </c>
      <c r="G12" s="62" t="s">
        <v>456</v>
      </c>
      <c r="H12" s="62" t="s">
        <v>518</v>
      </c>
      <c r="I12" s="63"/>
      <c r="J12" s="62" t="str">
        <f t="shared" si="0"/>
        <v>两人餐桌01正方形_/</v>
      </c>
      <c r="K12" s="64" t="s">
        <v>492</v>
      </c>
      <c r="L12" s="64" t="s">
        <v>499</v>
      </c>
      <c r="M12" s="64" t="e">
        <f>VLOOKUP($I12,[1]资产项汇总!$G:$M,4,0)</f>
        <v>#N/A</v>
      </c>
      <c r="N12" s="64" t="s">
        <v>499</v>
      </c>
      <c r="O12" s="65">
        <v>1</v>
      </c>
      <c r="P12" s="64" t="e">
        <f>VLOOKUP($I12,[1]资产项汇总!$G:$M,6,0)</f>
        <v>#N/A</v>
      </c>
      <c r="Q12" s="64" t="e">
        <f>VLOOKUP($I12,[1]资产项汇总!$G:$M,7,0)</f>
        <v>#N/A</v>
      </c>
      <c r="R12" s="63"/>
      <c r="S12" s="66"/>
    </row>
    <row r="13" ht="16.5" spans="1:19">
      <c r="A13" s="62">
        <v>10</v>
      </c>
      <c r="B13" s="62" t="s">
        <v>493</v>
      </c>
      <c r="C13" s="62" t="s">
        <v>494</v>
      </c>
      <c r="D13" s="62" t="s">
        <v>467</v>
      </c>
      <c r="E13" s="62" t="s">
        <v>507</v>
      </c>
      <c r="F13" s="62" t="s">
        <v>511</v>
      </c>
      <c r="G13" s="62" t="s">
        <v>519</v>
      </c>
      <c r="H13" s="62" t="s">
        <v>520</v>
      </c>
      <c r="I13" s="63"/>
      <c r="J13" s="62" t="str">
        <f t="shared" si="0"/>
        <v>椅子02配餐桌_/</v>
      </c>
      <c r="K13" s="64" t="s">
        <v>492</v>
      </c>
      <c r="L13" s="64" t="s">
        <v>499</v>
      </c>
      <c r="M13" s="64" t="e">
        <f>VLOOKUP($I13,[1]资产项汇总!$G:$M,4,0)</f>
        <v>#N/A</v>
      </c>
      <c r="N13" s="64" t="s">
        <v>499</v>
      </c>
      <c r="O13" s="65">
        <v>2</v>
      </c>
      <c r="P13" s="64" t="e">
        <f>VLOOKUP($I13,[1]资产项汇总!$G:$M,6,0)</f>
        <v>#N/A</v>
      </c>
      <c r="Q13" s="64" t="e">
        <f>VLOOKUP($I13,[1]资产项汇总!$G:$M,7,0)</f>
        <v>#N/A</v>
      </c>
      <c r="R13" s="63"/>
      <c r="S13" s="66"/>
    </row>
    <row r="14" ht="16.5" spans="1:19">
      <c r="A14" s="62">
        <v>11</v>
      </c>
      <c r="B14" s="62" t="s">
        <v>493</v>
      </c>
      <c r="C14" s="62" t="s">
        <v>494</v>
      </c>
      <c r="D14" s="62" t="s">
        <v>467</v>
      </c>
      <c r="E14" s="62" t="s">
        <v>507</v>
      </c>
      <c r="F14" s="62" t="s">
        <v>521</v>
      </c>
      <c r="G14" s="62" t="s">
        <v>522</v>
      </c>
      <c r="H14" s="62" t="s">
        <v>523</v>
      </c>
      <c r="I14" s="63"/>
      <c r="J14" s="62" t="str">
        <f t="shared" si="0"/>
        <v>冷暖空调01-1p_/</v>
      </c>
      <c r="K14" s="64" t="s">
        <v>492</v>
      </c>
      <c r="L14" s="64" t="s">
        <v>499</v>
      </c>
      <c r="M14" s="64" t="e">
        <f>VLOOKUP($I14,[1]资产项汇总!$G:$M,4,0)</f>
        <v>#N/A</v>
      </c>
      <c r="N14" s="64" t="s">
        <v>499</v>
      </c>
      <c r="O14" s="65">
        <v>1</v>
      </c>
      <c r="P14" s="64" t="e">
        <f>VLOOKUP($I14,[1]资产项汇总!$G:$M,6,0)</f>
        <v>#N/A</v>
      </c>
      <c r="Q14" s="64" t="e">
        <f>VLOOKUP($I14,[1]资产项汇总!$G:$M,7,0)</f>
        <v>#N/A</v>
      </c>
      <c r="R14" s="63"/>
      <c r="S14" s="66"/>
    </row>
    <row r="15" ht="16.5" spans="1:19">
      <c r="A15" s="62">
        <v>12</v>
      </c>
      <c r="B15" s="62" t="s">
        <v>493</v>
      </c>
      <c r="C15" s="62" t="s">
        <v>494</v>
      </c>
      <c r="D15" s="62" t="s">
        <v>467</v>
      </c>
      <c r="E15" s="62" t="s">
        <v>507</v>
      </c>
      <c r="F15" s="62" t="s">
        <v>521</v>
      </c>
      <c r="G15" s="62" t="s">
        <v>524</v>
      </c>
      <c r="H15" s="62" t="s">
        <v>525</v>
      </c>
      <c r="I15" s="63"/>
      <c r="J15" s="62" t="str">
        <f t="shared" si="0"/>
        <v>空调遥控器01_/</v>
      </c>
      <c r="K15" s="64" t="s">
        <v>492</v>
      </c>
      <c r="L15" s="64" t="s">
        <v>499</v>
      </c>
      <c r="M15" s="64" t="e">
        <f>VLOOKUP($I15,[1]资产项汇总!$G:$M,4,0)</f>
        <v>#N/A</v>
      </c>
      <c r="N15" s="64" t="s">
        <v>499</v>
      </c>
      <c r="O15" s="65">
        <v>1</v>
      </c>
      <c r="P15" s="64" t="e">
        <f>VLOOKUP($I15,[1]资产项汇总!$G:$M,6,0)</f>
        <v>#N/A</v>
      </c>
      <c r="Q15" s="64" t="e">
        <f>VLOOKUP($I15,[1]资产项汇总!$G:$M,7,0)</f>
        <v>#N/A</v>
      </c>
      <c r="R15" s="63"/>
      <c r="S15" s="66"/>
    </row>
    <row r="16" ht="16.5" spans="1:19">
      <c r="A16" s="62">
        <v>13</v>
      </c>
      <c r="B16" s="62" t="s">
        <v>493</v>
      </c>
      <c r="C16" s="62" t="s">
        <v>494</v>
      </c>
      <c r="D16" s="62" t="s">
        <v>467</v>
      </c>
      <c r="E16" s="62" t="s">
        <v>507</v>
      </c>
      <c r="F16" s="62" t="s">
        <v>526</v>
      </c>
      <c r="G16" s="62" t="s">
        <v>527</v>
      </c>
      <c r="H16" s="62" t="s">
        <v>528</v>
      </c>
      <c r="I16" s="63"/>
      <c r="J16" s="62" t="str">
        <f t="shared" si="0"/>
        <v>筒灯01_/</v>
      </c>
      <c r="K16" s="64" t="s">
        <v>492</v>
      </c>
      <c r="L16" s="64" t="s">
        <v>499</v>
      </c>
      <c r="M16" s="64" t="e">
        <f>VLOOKUP($I16,[1]资产项汇总!$G:$M,4,0)</f>
        <v>#N/A</v>
      </c>
      <c r="N16" s="64" t="s">
        <v>499</v>
      </c>
      <c r="O16" s="65">
        <v>1</v>
      </c>
      <c r="P16" s="64" t="e">
        <f>VLOOKUP($I16,[1]资产项汇总!$G:$M,6,0)</f>
        <v>#N/A</v>
      </c>
      <c r="Q16" s="64" t="e">
        <f>VLOOKUP($I16,[1]资产项汇总!$G:$M,7,0)</f>
        <v>#N/A</v>
      </c>
      <c r="R16" s="63"/>
      <c r="S16" s="66"/>
    </row>
    <row r="17" ht="16.5" spans="1:19">
      <c r="A17" s="62">
        <v>14</v>
      </c>
      <c r="B17" s="62" t="s">
        <v>493</v>
      </c>
      <c r="C17" s="62" t="s">
        <v>494</v>
      </c>
      <c r="D17" s="62" t="s">
        <v>467</v>
      </c>
      <c r="E17" s="62" t="s">
        <v>507</v>
      </c>
      <c r="F17" s="62" t="s">
        <v>526</v>
      </c>
      <c r="G17" s="62" t="s">
        <v>529</v>
      </c>
      <c r="H17" s="62" t="s">
        <v>530</v>
      </c>
      <c r="I17" s="63"/>
      <c r="J17" s="62" t="str">
        <f t="shared" si="0"/>
        <v>吸顶灯01_/</v>
      </c>
      <c r="K17" s="64" t="s">
        <v>492</v>
      </c>
      <c r="L17" s="64" t="s">
        <v>499</v>
      </c>
      <c r="M17" s="64" t="e">
        <f>VLOOKUP($I17,[1]资产项汇总!$G:$M,4,0)</f>
        <v>#N/A</v>
      </c>
      <c r="N17" s="64" t="s">
        <v>499</v>
      </c>
      <c r="O17" s="65">
        <v>1</v>
      </c>
      <c r="P17" s="64" t="e">
        <f>VLOOKUP($I17,[1]资产项汇总!$G:$M,6,0)</f>
        <v>#N/A</v>
      </c>
      <c r="Q17" s="64" t="e">
        <f>VLOOKUP($I17,[1]资产项汇总!$G:$M,7,0)</f>
        <v>#N/A</v>
      </c>
      <c r="R17" s="63"/>
      <c r="S17" s="66"/>
    </row>
    <row r="18" ht="16.5" spans="1:19">
      <c r="A18" s="62">
        <v>15</v>
      </c>
      <c r="B18" s="62" t="s">
        <v>493</v>
      </c>
      <c r="C18" s="62" t="s">
        <v>494</v>
      </c>
      <c r="D18" s="62" t="s">
        <v>467</v>
      </c>
      <c r="E18" s="62" t="s">
        <v>507</v>
      </c>
      <c r="F18" s="62" t="s">
        <v>508</v>
      </c>
      <c r="G18" s="62" t="s">
        <v>531</v>
      </c>
      <c r="H18" s="62" t="s">
        <v>532</v>
      </c>
      <c r="I18" s="63"/>
      <c r="J18" s="62" t="str">
        <f t="shared" si="0"/>
        <v>烟感01_/</v>
      </c>
      <c r="K18" s="64" t="s">
        <v>492</v>
      </c>
      <c r="L18" s="64" t="s">
        <v>499</v>
      </c>
      <c r="M18" s="64" t="e">
        <f>VLOOKUP($I18,[1]资产项汇总!$G:$M,4,0)</f>
        <v>#N/A</v>
      </c>
      <c r="N18" s="64" t="s">
        <v>499</v>
      </c>
      <c r="O18" s="65">
        <v>1</v>
      </c>
      <c r="P18" s="64" t="e">
        <f>VLOOKUP($I18,[1]资产项汇总!$G:$M,6,0)</f>
        <v>#N/A</v>
      </c>
      <c r="Q18" s="64" t="e">
        <f>VLOOKUP($I18,[1]资产项汇总!$G:$M,7,0)</f>
        <v>#N/A</v>
      </c>
      <c r="R18" s="63"/>
      <c r="S18" s="66"/>
    </row>
    <row r="19" ht="16.5" spans="1:19">
      <c r="A19" s="62">
        <v>16</v>
      </c>
      <c r="B19" s="62" t="s">
        <v>493</v>
      </c>
      <c r="C19" s="62" t="s">
        <v>494</v>
      </c>
      <c r="D19" s="62" t="s">
        <v>467</v>
      </c>
      <c r="E19" s="62" t="s">
        <v>507</v>
      </c>
      <c r="F19" s="62" t="s">
        <v>533</v>
      </c>
      <c r="G19" s="62" t="s">
        <v>534</v>
      </c>
      <c r="H19" s="62" t="s">
        <v>535</v>
      </c>
      <c r="I19" s="63"/>
      <c r="J19" s="62" t="str">
        <f t="shared" si="0"/>
        <v>户内配电箱01_/</v>
      </c>
      <c r="K19" s="64" t="s">
        <v>492</v>
      </c>
      <c r="L19" s="64" t="s">
        <v>499</v>
      </c>
      <c r="M19" s="64" t="e">
        <f>VLOOKUP($I19,[1]资产项汇总!$G:$M,4,0)</f>
        <v>#N/A</v>
      </c>
      <c r="N19" s="64" t="s">
        <v>499</v>
      </c>
      <c r="O19" s="65">
        <v>1</v>
      </c>
      <c r="P19" s="64" t="e">
        <f>VLOOKUP($I19,[1]资产项汇总!$G:$M,6,0)</f>
        <v>#N/A</v>
      </c>
      <c r="Q19" s="64" t="e">
        <f>VLOOKUP($I19,[1]资产项汇总!$G:$M,7,0)</f>
        <v>#N/A</v>
      </c>
      <c r="R19" s="63"/>
      <c r="S19" s="66"/>
    </row>
    <row r="20" ht="16.5" spans="1:19">
      <c r="A20" s="62">
        <v>17</v>
      </c>
      <c r="B20" s="62" t="s">
        <v>493</v>
      </c>
      <c r="C20" s="62" t="s">
        <v>494</v>
      </c>
      <c r="D20" s="62" t="s">
        <v>467</v>
      </c>
      <c r="E20" s="62" t="s">
        <v>507</v>
      </c>
      <c r="F20" s="62" t="s">
        <v>511</v>
      </c>
      <c r="G20" s="62" t="s">
        <v>536</v>
      </c>
      <c r="H20" s="62" t="s">
        <v>537</v>
      </c>
      <c r="I20" s="63"/>
      <c r="J20" s="62" t="str">
        <f t="shared" si="0"/>
        <v>网络收纳盒01_/</v>
      </c>
      <c r="K20" s="64" t="s">
        <v>492</v>
      </c>
      <c r="L20" s="64" t="s">
        <v>499</v>
      </c>
      <c r="M20" s="64" t="e">
        <f>VLOOKUP($I20,[1]资产项汇总!$G:$M,4,0)</f>
        <v>#N/A</v>
      </c>
      <c r="N20" s="64" t="s">
        <v>499</v>
      </c>
      <c r="O20" s="65">
        <v>1</v>
      </c>
      <c r="P20" s="64" t="e">
        <f>VLOOKUP($I20,[1]资产项汇总!$G:$M,6,0)</f>
        <v>#N/A</v>
      </c>
      <c r="Q20" s="64" t="e">
        <f>VLOOKUP($I20,[1]资产项汇总!$G:$M,7,0)</f>
        <v>#N/A</v>
      </c>
      <c r="R20" s="63"/>
      <c r="S20" s="66"/>
    </row>
    <row r="21" ht="16.5" spans="1:19">
      <c r="A21" s="62">
        <v>18</v>
      </c>
      <c r="B21" s="62" t="s">
        <v>493</v>
      </c>
      <c r="C21" s="62" t="s">
        <v>494</v>
      </c>
      <c r="D21" s="62" t="s">
        <v>467</v>
      </c>
      <c r="E21" s="62" t="s">
        <v>507</v>
      </c>
      <c r="F21" s="62" t="s">
        <v>538</v>
      </c>
      <c r="G21" s="62" t="s">
        <v>539</v>
      </c>
      <c r="H21" s="62" t="s">
        <v>540</v>
      </c>
      <c r="I21" s="63"/>
      <c r="J21" s="62" t="str">
        <f t="shared" si="0"/>
        <v>光猫01_/</v>
      </c>
      <c r="K21" s="64" t="s">
        <v>492</v>
      </c>
      <c r="L21" s="64" t="s">
        <v>499</v>
      </c>
      <c r="M21" s="64" t="e">
        <f>VLOOKUP($I21,[1]资产项汇总!$G:$M,4,0)</f>
        <v>#N/A</v>
      </c>
      <c r="N21" s="64" t="s">
        <v>499</v>
      </c>
      <c r="O21" s="65">
        <v>1</v>
      </c>
      <c r="P21" s="64" t="e">
        <f>VLOOKUP($I21,[1]资产项汇总!$G:$M,6,0)</f>
        <v>#N/A</v>
      </c>
      <c r="Q21" s="64" t="e">
        <f>VLOOKUP($I21,[1]资产项汇总!$G:$M,7,0)</f>
        <v>#N/A</v>
      </c>
      <c r="R21" s="63"/>
      <c r="S21" s="66"/>
    </row>
    <row r="22" ht="16.5" spans="1:19">
      <c r="A22" s="62">
        <v>19</v>
      </c>
      <c r="B22" s="62" t="s">
        <v>493</v>
      </c>
      <c r="C22" s="62" t="s">
        <v>494</v>
      </c>
      <c r="D22" s="62" t="s">
        <v>467</v>
      </c>
      <c r="E22" s="62" t="s">
        <v>507</v>
      </c>
      <c r="F22" s="62" t="s">
        <v>511</v>
      </c>
      <c r="G22" s="62" t="s">
        <v>541</v>
      </c>
      <c r="H22" s="62" t="s">
        <v>542</v>
      </c>
      <c r="I22" s="63"/>
      <c r="J22" s="62" t="str">
        <f t="shared" si="0"/>
        <v>试衣镜01_/</v>
      </c>
      <c r="K22" s="64" t="s">
        <v>492</v>
      </c>
      <c r="L22" s="64" t="s">
        <v>499</v>
      </c>
      <c r="M22" s="64" t="e">
        <f>VLOOKUP($I22,[1]资产项汇总!$G:$M,4,0)</f>
        <v>#N/A</v>
      </c>
      <c r="N22" s="64" t="s">
        <v>499</v>
      </c>
      <c r="O22" s="65">
        <v>1</v>
      </c>
      <c r="P22" s="64" t="e">
        <f>VLOOKUP($I22,[1]资产项汇总!$G:$M,6,0)</f>
        <v>#N/A</v>
      </c>
      <c r="Q22" s="64" t="e">
        <f>VLOOKUP($I22,[1]资产项汇总!$G:$M,7,0)</f>
        <v>#N/A</v>
      </c>
      <c r="R22" s="63"/>
      <c r="S22" s="66"/>
    </row>
    <row r="23" ht="16.5" spans="1:19">
      <c r="A23" s="62">
        <v>20</v>
      </c>
      <c r="B23" s="62" t="s">
        <v>493</v>
      </c>
      <c r="C23" s="62" t="s">
        <v>494</v>
      </c>
      <c r="D23" s="62" t="s">
        <v>467</v>
      </c>
      <c r="E23" s="62" t="s">
        <v>507</v>
      </c>
      <c r="F23" s="62" t="s">
        <v>496</v>
      </c>
      <c r="G23" s="62" t="s">
        <v>543</v>
      </c>
      <c r="H23" s="62" t="s">
        <v>544</v>
      </c>
      <c r="I23" s="63"/>
      <c r="J23" s="62" t="str">
        <f t="shared" si="0"/>
        <v>窗户02磨砂_/</v>
      </c>
      <c r="K23" s="64" t="s">
        <v>492</v>
      </c>
      <c r="L23" s="64" t="s">
        <v>499</v>
      </c>
      <c r="M23" s="64" t="e">
        <f>VLOOKUP($I23,[1]资产项汇总!$G:$M,4,0)</f>
        <v>#N/A</v>
      </c>
      <c r="N23" s="64" t="s">
        <v>499</v>
      </c>
      <c r="O23" s="65">
        <v>2</v>
      </c>
      <c r="P23" s="64" t="e">
        <f>VLOOKUP($I23,[1]资产项汇总!$G:$M,6,0)</f>
        <v>#N/A</v>
      </c>
      <c r="Q23" s="64" t="e">
        <f>VLOOKUP($I23,[1]资产项汇总!$G:$M,7,0)</f>
        <v>#N/A</v>
      </c>
      <c r="R23" s="63"/>
      <c r="S23" s="66"/>
    </row>
    <row r="24" ht="16.5" spans="1:19">
      <c r="A24" s="62">
        <v>21</v>
      </c>
      <c r="B24" s="62" t="s">
        <v>493</v>
      </c>
      <c r="C24" s="62" t="s">
        <v>494</v>
      </c>
      <c r="D24" s="62" t="s">
        <v>467</v>
      </c>
      <c r="E24" s="62" t="s">
        <v>507</v>
      </c>
      <c r="F24" s="62" t="s">
        <v>545</v>
      </c>
      <c r="G24" s="62" t="s">
        <v>546</v>
      </c>
      <c r="H24" s="62" t="s">
        <v>547</v>
      </c>
      <c r="I24" s="63"/>
      <c r="J24" s="62" t="str">
        <f t="shared" si="0"/>
        <v>布帘01_/</v>
      </c>
      <c r="K24" s="64" t="s">
        <v>492</v>
      </c>
      <c r="L24" s="64" t="s">
        <v>499</v>
      </c>
      <c r="M24" s="64" t="e">
        <f>VLOOKUP($I24,[1]资产项汇总!$G:$M,4,0)</f>
        <v>#N/A</v>
      </c>
      <c r="N24" s="64" t="s">
        <v>499</v>
      </c>
      <c r="O24" s="65">
        <v>2</v>
      </c>
      <c r="P24" s="64" t="e">
        <f>VLOOKUP($I24,[1]资产项汇总!$G:$M,6,0)</f>
        <v>#N/A</v>
      </c>
      <c r="Q24" s="64" t="e">
        <f>VLOOKUP($I24,[1]资产项汇总!$G:$M,7,0)</f>
        <v>#N/A</v>
      </c>
      <c r="R24" s="63"/>
      <c r="S24" s="66"/>
    </row>
    <row r="25" ht="16.5" spans="1:19">
      <c r="A25" s="62">
        <v>22</v>
      </c>
      <c r="B25" s="62" t="s">
        <v>493</v>
      </c>
      <c r="C25" s="62" t="s">
        <v>494</v>
      </c>
      <c r="D25" s="62" t="s">
        <v>467</v>
      </c>
      <c r="E25" s="62" t="s">
        <v>507</v>
      </c>
      <c r="F25" s="62" t="s">
        <v>511</v>
      </c>
      <c r="G25" s="62" t="s">
        <v>452</v>
      </c>
      <c r="H25" s="62" t="s">
        <v>548</v>
      </c>
      <c r="I25" s="63"/>
      <c r="J25" s="62" t="str">
        <f t="shared" si="0"/>
        <v>操作台02洗衣机1.6m_/</v>
      </c>
      <c r="K25" s="64" t="s">
        <v>492</v>
      </c>
      <c r="L25" s="64" t="s">
        <v>499</v>
      </c>
      <c r="M25" s="64" t="e">
        <f>VLOOKUP($I25,[1]资产项汇总!$G:$M,4,0)</f>
        <v>#N/A</v>
      </c>
      <c r="N25" s="64" t="s">
        <v>499</v>
      </c>
      <c r="O25" s="65">
        <v>1</v>
      </c>
      <c r="P25" s="64" t="e">
        <f>VLOOKUP($I25,[1]资产项汇总!$G:$M,6,0)</f>
        <v>#N/A</v>
      </c>
      <c r="Q25" s="64" t="e">
        <f>VLOOKUP($I25,[1]资产项汇总!$G:$M,7,0)</f>
        <v>#N/A</v>
      </c>
      <c r="R25" s="63"/>
      <c r="S25" s="66"/>
    </row>
    <row r="26" ht="16.5" spans="1:19">
      <c r="A26" s="62">
        <v>23</v>
      </c>
      <c r="B26" s="62" t="s">
        <v>493</v>
      </c>
      <c r="C26" s="62" t="s">
        <v>494</v>
      </c>
      <c r="D26" s="62" t="s">
        <v>467</v>
      </c>
      <c r="E26" s="62" t="s">
        <v>507</v>
      </c>
      <c r="F26" s="62" t="s">
        <v>511</v>
      </c>
      <c r="G26" s="62" t="s">
        <v>549</v>
      </c>
      <c r="H26" s="62" t="s">
        <v>550</v>
      </c>
      <c r="I26" s="63"/>
      <c r="J26" s="62" t="str">
        <f t="shared" si="0"/>
        <v>镜子01_/</v>
      </c>
      <c r="K26" s="64" t="s">
        <v>492</v>
      </c>
      <c r="L26" s="64" t="s">
        <v>499</v>
      </c>
      <c r="M26" s="64" t="e">
        <f>VLOOKUP($I26,[1]资产项汇总!$G:$M,4,0)</f>
        <v>#N/A</v>
      </c>
      <c r="N26" s="64" t="s">
        <v>499</v>
      </c>
      <c r="O26" s="65">
        <v>1</v>
      </c>
      <c r="P26" s="64" t="e">
        <f>VLOOKUP($I26,[1]资产项汇总!$G:$M,6,0)</f>
        <v>#N/A</v>
      </c>
      <c r="Q26" s="64" t="e">
        <f>VLOOKUP($I26,[1]资产项汇总!$G:$M,7,0)</f>
        <v>#N/A</v>
      </c>
      <c r="R26" s="63"/>
      <c r="S26" s="66"/>
    </row>
    <row r="27" ht="16.5" spans="1:19">
      <c r="A27" s="62">
        <v>24</v>
      </c>
      <c r="B27" s="62" t="s">
        <v>493</v>
      </c>
      <c r="C27" s="62" t="s">
        <v>494</v>
      </c>
      <c r="D27" s="62" t="s">
        <v>467</v>
      </c>
      <c r="E27" s="62" t="s">
        <v>507</v>
      </c>
      <c r="F27" s="62" t="s">
        <v>526</v>
      </c>
      <c r="G27" s="62" t="s">
        <v>551</v>
      </c>
      <c r="H27" s="62" t="s">
        <v>552</v>
      </c>
      <c r="I27" s="63"/>
      <c r="J27" s="62" t="str">
        <f t="shared" si="0"/>
        <v>镜前灯01_/</v>
      </c>
      <c r="K27" s="64" t="s">
        <v>492</v>
      </c>
      <c r="L27" s="64" t="s">
        <v>499</v>
      </c>
      <c r="M27" s="64" t="e">
        <f>VLOOKUP($I27,[1]资产项汇总!$G:$M,4,0)</f>
        <v>#N/A</v>
      </c>
      <c r="N27" s="64" t="s">
        <v>499</v>
      </c>
      <c r="O27" s="65">
        <v>1</v>
      </c>
      <c r="P27" s="64" t="e">
        <f>VLOOKUP($I27,[1]资产项汇总!$G:$M,6,0)</f>
        <v>#N/A</v>
      </c>
      <c r="Q27" s="64" t="e">
        <f>VLOOKUP($I27,[1]资产项汇总!$G:$M,7,0)</f>
        <v>#N/A</v>
      </c>
      <c r="R27" s="63"/>
      <c r="S27" s="66"/>
    </row>
    <row r="28" ht="16.5" spans="1:19">
      <c r="A28" s="62">
        <v>25</v>
      </c>
      <c r="B28" s="62" t="s">
        <v>493</v>
      </c>
      <c r="C28" s="62" t="s">
        <v>494</v>
      </c>
      <c r="D28" s="62" t="s">
        <v>467</v>
      </c>
      <c r="E28" s="62" t="s">
        <v>507</v>
      </c>
      <c r="F28" s="62" t="s">
        <v>533</v>
      </c>
      <c r="G28" s="62" t="s">
        <v>553</v>
      </c>
      <c r="H28" s="62" t="s">
        <v>554</v>
      </c>
      <c r="I28" s="63"/>
      <c r="J28" s="62" t="str">
        <f t="shared" si="0"/>
        <v>等电位箱01_/</v>
      </c>
      <c r="K28" s="64" t="s">
        <v>492</v>
      </c>
      <c r="L28" s="64" t="s">
        <v>499</v>
      </c>
      <c r="M28" s="64" t="e">
        <f>VLOOKUP($I28,[1]资产项汇总!$G:$M,4,0)</f>
        <v>#N/A</v>
      </c>
      <c r="N28" s="64" t="s">
        <v>499</v>
      </c>
      <c r="O28" s="65">
        <v>1</v>
      </c>
      <c r="P28" s="64" t="e">
        <f>VLOOKUP($I28,[1]资产项汇总!$G:$M,6,0)</f>
        <v>#N/A</v>
      </c>
      <c r="Q28" s="64" t="e">
        <f>VLOOKUP($I28,[1]资产项汇总!$G:$M,7,0)</f>
        <v>#N/A</v>
      </c>
      <c r="R28" s="63"/>
      <c r="S28" s="66"/>
    </row>
    <row r="29" ht="16.5" spans="1:19">
      <c r="A29" s="62">
        <v>26</v>
      </c>
      <c r="B29" s="62" t="s">
        <v>493</v>
      </c>
      <c r="C29" s="62" t="s">
        <v>494</v>
      </c>
      <c r="D29" s="62" t="s">
        <v>467</v>
      </c>
      <c r="E29" s="62" t="s">
        <v>507</v>
      </c>
      <c r="F29" s="62" t="s">
        <v>511</v>
      </c>
      <c r="G29" s="62" t="s">
        <v>555</v>
      </c>
      <c r="H29" s="62" t="s">
        <v>556</v>
      </c>
      <c r="I29" s="63"/>
      <c r="J29" s="62" t="str">
        <f t="shared" si="0"/>
        <v>墙上/天花晾衣杆_/</v>
      </c>
      <c r="K29" s="64" t="s">
        <v>492</v>
      </c>
      <c r="L29" s="64" t="s">
        <v>499</v>
      </c>
      <c r="M29" s="64" t="e">
        <f>VLOOKUP($I29,[1]资产项汇总!$G:$M,4,0)</f>
        <v>#N/A</v>
      </c>
      <c r="N29" s="64" t="s">
        <v>499</v>
      </c>
      <c r="O29" s="65">
        <v>1</v>
      </c>
      <c r="P29" s="64" t="e">
        <f>VLOOKUP($I29,[1]资产项汇总!$G:$M,6,0)</f>
        <v>#N/A</v>
      </c>
      <c r="Q29" s="64" t="e">
        <f>VLOOKUP($I29,[1]资产项汇总!$G:$M,7,0)</f>
        <v>#N/A</v>
      </c>
      <c r="R29" s="63"/>
      <c r="S29" s="66"/>
    </row>
    <row r="30" ht="16.5" spans="1:19">
      <c r="A30" s="62">
        <v>27</v>
      </c>
      <c r="B30" s="62" t="s">
        <v>493</v>
      </c>
      <c r="C30" s="62" t="s">
        <v>494</v>
      </c>
      <c r="D30" s="62" t="s">
        <v>467</v>
      </c>
      <c r="E30" s="62" t="s">
        <v>557</v>
      </c>
      <c r="F30" s="62" t="s">
        <v>496</v>
      </c>
      <c r="G30" s="62" t="s">
        <v>558</v>
      </c>
      <c r="H30" s="62" t="s">
        <v>559</v>
      </c>
      <c r="I30" s="63"/>
      <c r="J30" s="62" t="str">
        <f t="shared" si="0"/>
        <v>房间门01_/</v>
      </c>
      <c r="K30" s="64" t="s">
        <v>492</v>
      </c>
      <c r="L30" s="64" t="s">
        <v>499</v>
      </c>
      <c r="M30" s="64" t="e">
        <f>VLOOKUP($I30,[1]资产项汇总!$G:$M,4,0)</f>
        <v>#N/A</v>
      </c>
      <c r="N30" s="64" t="s">
        <v>499</v>
      </c>
      <c r="O30" s="65">
        <v>1</v>
      </c>
      <c r="P30" s="64" t="e">
        <f>VLOOKUP($I30,[1]资产项汇总!$G:$M,6,0)</f>
        <v>#N/A</v>
      </c>
      <c r="Q30" s="64" t="e">
        <f>VLOOKUP($I30,[1]资产项汇总!$G:$M,7,0)</f>
        <v>#N/A</v>
      </c>
      <c r="R30" s="63"/>
      <c r="S30" s="66"/>
    </row>
    <row r="31" ht="16.5" spans="1:19">
      <c r="A31" s="62">
        <v>28</v>
      </c>
      <c r="B31" s="62" t="s">
        <v>493</v>
      </c>
      <c r="C31" s="62" t="s">
        <v>494</v>
      </c>
      <c r="D31" s="62" t="s">
        <v>467</v>
      </c>
      <c r="E31" s="62" t="s">
        <v>557</v>
      </c>
      <c r="F31" s="62" t="s">
        <v>496</v>
      </c>
      <c r="G31" s="62" t="s">
        <v>543</v>
      </c>
      <c r="H31" s="62" t="s">
        <v>544</v>
      </c>
      <c r="I31" s="63"/>
      <c r="J31" s="62" t="str">
        <f t="shared" si="0"/>
        <v>窗户02磨砂_/</v>
      </c>
      <c r="K31" s="64" t="s">
        <v>492</v>
      </c>
      <c r="L31" s="64" t="s">
        <v>499</v>
      </c>
      <c r="M31" s="64" t="e">
        <f>VLOOKUP($I31,[1]资产项汇总!$G:$M,4,0)</f>
        <v>#N/A</v>
      </c>
      <c r="N31" s="64" t="s">
        <v>499</v>
      </c>
      <c r="O31" s="65">
        <v>1</v>
      </c>
      <c r="P31" s="64" t="e">
        <f>VLOOKUP($I31,[1]资产项汇总!$G:$M,6,0)</f>
        <v>#N/A</v>
      </c>
      <c r="Q31" s="64" t="e">
        <f>VLOOKUP($I31,[1]资产项汇总!$G:$M,7,0)</f>
        <v>#N/A</v>
      </c>
      <c r="R31" s="63"/>
      <c r="S31" s="66"/>
    </row>
    <row r="32" ht="16.5" spans="1:19">
      <c r="A32" s="62">
        <v>29</v>
      </c>
      <c r="B32" s="62" t="s">
        <v>493</v>
      </c>
      <c r="C32" s="62" t="s">
        <v>494</v>
      </c>
      <c r="D32" s="62" t="s">
        <v>467</v>
      </c>
      <c r="E32" s="62" t="s">
        <v>557</v>
      </c>
      <c r="F32" s="62" t="s">
        <v>545</v>
      </c>
      <c r="G32" s="62" t="s">
        <v>546</v>
      </c>
      <c r="H32" s="62" t="s">
        <v>547</v>
      </c>
      <c r="I32" s="63"/>
      <c r="J32" s="62" t="str">
        <f t="shared" si="0"/>
        <v>布帘01_/</v>
      </c>
      <c r="K32" s="64" t="s">
        <v>492</v>
      </c>
      <c r="L32" s="64" t="s">
        <v>499</v>
      </c>
      <c r="M32" s="64" t="e">
        <f>VLOOKUP($I32,[1]资产项汇总!$G:$M,4,0)</f>
        <v>#N/A</v>
      </c>
      <c r="N32" s="64" t="s">
        <v>499</v>
      </c>
      <c r="O32" s="65">
        <v>1</v>
      </c>
      <c r="P32" s="64" t="e">
        <f>VLOOKUP($I32,[1]资产项汇总!$G:$M,6,0)</f>
        <v>#N/A</v>
      </c>
      <c r="Q32" s="64" t="e">
        <f>VLOOKUP($I32,[1]资产项汇总!$G:$M,7,0)</f>
        <v>#N/A</v>
      </c>
      <c r="R32" s="63"/>
      <c r="S32" s="66"/>
    </row>
    <row r="33" ht="16.5" spans="1:19">
      <c r="A33" s="62">
        <v>30</v>
      </c>
      <c r="B33" s="62" t="s">
        <v>493</v>
      </c>
      <c r="C33" s="62" t="s">
        <v>494</v>
      </c>
      <c r="D33" s="62" t="s">
        <v>467</v>
      </c>
      <c r="E33" s="62" t="s">
        <v>557</v>
      </c>
      <c r="F33" s="62" t="s">
        <v>511</v>
      </c>
      <c r="G33" s="62" t="s">
        <v>560</v>
      </c>
      <c r="H33" s="62" t="s">
        <v>561</v>
      </c>
      <c r="I33" s="63"/>
      <c r="J33" s="62" t="str">
        <f t="shared" si="0"/>
        <v>标准床01-1.5m宽_/</v>
      </c>
      <c r="K33" s="64" t="s">
        <v>492</v>
      </c>
      <c r="L33" s="64" t="s">
        <v>499</v>
      </c>
      <c r="M33" s="64" t="e">
        <f>VLOOKUP($I33,[1]资产项汇总!$G:$M,4,0)</f>
        <v>#N/A</v>
      </c>
      <c r="N33" s="64" t="s">
        <v>499</v>
      </c>
      <c r="O33" s="65">
        <v>1</v>
      </c>
      <c r="P33" s="64" t="e">
        <f>VLOOKUP($I33,[1]资产项汇总!$G:$M,6,0)</f>
        <v>#N/A</v>
      </c>
      <c r="Q33" s="64" t="e">
        <f>VLOOKUP($I33,[1]资产项汇总!$G:$M,7,0)</f>
        <v>#N/A</v>
      </c>
      <c r="R33" s="63"/>
      <c r="S33" s="66"/>
    </row>
    <row r="34" ht="16.5" spans="1:19">
      <c r="A34" s="62">
        <v>31</v>
      </c>
      <c r="B34" s="62" t="s">
        <v>493</v>
      </c>
      <c r="C34" s="62" t="s">
        <v>494</v>
      </c>
      <c r="D34" s="62" t="s">
        <v>467</v>
      </c>
      <c r="E34" s="62" t="s">
        <v>557</v>
      </c>
      <c r="F34" s="62" t="s">
        <v>511</v>
      </c>
      <c r="G34" s="62" t="s">
        <v>562</v>
      </c>
      <c r="H34" s="62" t="s">
        <v>563</v>
      </c>
      <c r="I34" s="63"/>
      <c r="J34" s="62" t="str">
        <f t="shared" si="0"/>
        <v>床垫01-1.5m_/</v>
      </c>
      <c r="K34" s="64" t="s">
        <v>492</v>
      </c>
      <c r="L34" s="64" t="s">
        <v>499</v>
      </c>
      <c r="M34" s="64" t="e">
        <f>VLOOKUP($I34,[1]资产项汇总!$G:$M,4,0)</f>
        <v>#N/A</v>
      </c>
      <c r="N34" s="64" t="s">
        <v>499</v>
      </c>
      <c r="O34" s="65">
        <v>1</v>
      </c>
      <c r="P34" s="64" t="e">
        <f>VLOOKUP($I34,[1]资产项汇总!$G:$M,6,0)</f>
        <v>#N/A</v>
      </c>
      <c r="Q34" s="64" t="e">
        <f>VLOOKUP($I34,[1]资产项汇总!$G:$M,7,0)</f>
        <v>#N/A</v>
      </c>
      <c r="R34" s="63"/>
      <c r="S34" s="66"/>
    </row>
    <row r="35" ht="16.5" spans="1:19">
      <c r="A35" s="62">
        <v>32</v>
      </c>
      <c r="B35" s="62" t="s">
        <v>493</v>
      </c>
      <c r="C35" s="62" t="s">
        <v>494</v>
      </c>
      <c r="D35" s="62" t="s">
        <v>467</v>
      </c>
      <c r="E35" s="62" t="s">
        <v>557</v>
      </c>
      <c r="F35" s="62" t="s">
        <v>511</v>
      </c>
      <c r="G35" s="62" t="s">
        <v>564</v>
      </c>
      <c r="H35" s="62" t="s">
        <v>565</v>
      </c>
      <c r="I35" s="63"/>
      <c r="J35" s="62" t="str">
        <f t="shared" si="0"/>
        <v>衣柜01-通用无冰箱_/</v>
      </c>
      <c r="K35" s="64" t="s">
        <v>492</v>
      </c>
      <c r="L35" s="64" t="s">
        <v>499</v>
      </c>
      <c r="M35" s="64" t="e">
        <f>VLOOKUP($I35,[1]资产项汇总!$G:$M,4,0)</f>
        <v>#N/A</v>
      </c>
      <c r="N35" s="64" t="s">
        <v>499</v>
      </c>
      <c r="O35" s="65">
        <v>1</v>
      </c>
      <c r="P35" s="64" t="e">
        <f>VLOOKUP($I35,[1]资产项汇总!$G:$M,6,0)</f>
        <v>#N/A</v>
      </c>
      <c r="Q35" s="64" t="e">
        <f>VLOOKUP($I35,[1]资产项汇总!$G:$M,7,0)</f>
        <v>#N/A</v>
      </c>
      <c r="R35" s="63"/>
      <c r="S35" s="66"/>
    </row>
    <row r="36" ht="16.5" spans="1:19">
      <c r="A36" s="62">
        <v>33</v>
      </c>
      <c r="B36" s="62" t="s">
        <v>493</v>
      </c>
      <c r="C36" s="62" t="s">
        <v>494</v>
      </c>
      <c r="D36" s="62" t="s">
        <v>467</v>
      </c>
      <c r="E36" s="62" t="s">
        <v>557</v>
      </c>
      <c r="F36" s="62" t="s">
        <v>521</v>
      </c>
      <c r="G36" s="62" t="s">
        <v>522</v>
      </c>
      <c r="H36" s="62" t="s">
        <v>523</v>
      </c>
      <c r="I36" s="63"/>
      <c r="J36" s="62" t="str">
        <f t="shared" si="0"/>
        <v>冷暖空调01-1p_/</v>
      </c>
      <c r="K36" s="64" t="s">
        <v>492</v>
      </c>
      <c r="L36" s="64" t="s">
        <v>499</v>
      </c>
      <c r="M36" s="64" t="e">
        <f>VLOOKUP($I36,[1]资产项汇总!$G:$M,4,0)</f>
        <v>#N/A</v>
      </c>
      <c r="N36" s="64" t="s">
        <v>499</v>
      </c>
      <c r="O36" s="65">
        <v>1</v>
      </c>
      <c r="P36" s="64" t="e">
        <f>VLOOKUP($I36,[1]资产项汇总!$G:$M,6,0)</f>
        <v>#N/A</v>
      </c>
      <c r="Q36" s="64" t="e">
        <f>VLOOKUP($I36,[1]资产项汇总!$G:$M,7,0)</f>
        <v>#N/A</v>
      </c>
      <c r="R36" s="63"/>
      <c r="S36" s="66"/>
    </row>
    <row r="37" ht="16.5" spans="1:19">
      <c r="A37" s="62">
        <v>34</v>
      </c>
      <c r="B37" s="62" t="s">
        <v>493</v>
      </c>
      <c r="C37" s="62" t="s">
        <v>494</v>
      </c>
      <c r="D37" s="62" t="s">
        <v>467</v>
      </c>
      <c r="E37" s="62" t="s">
        <v>557</v>
      </c>
      <c r="F37" s="62" t="s">
        <v>521</v>
      </c>
      <c r="G37" s="62" t="s">
        <v>524</v>
      </c>
      <c r="H37" s="62" t="s">
        <v>525</v>
      </c>
      <c r="I37" s="63"/>
      <c r="J37" s="62" t="str">
        <f t="shared" si="0"/>
        <v>空调遥控器01_/</v>
      </c>
      <c r="K37" s="64" t="s">
        <v>492</v>
      </c>
      <c r="L37" s="64" t="s">
        <v>499</v>
      </c>
      <c r="M37" s="64" t="e">
        <f>VLOOKUP($I37,[1]资产项汇总!$G:$M,4,0)</f>
        <v>#N/A</v>
      </c>
      <c r="N37" s="64" t="s">
        <v>499</v>
      </c>
      <c r="O37" s="65">
        <v>1</v>
      </c>
      <c r="P37" s="64" t="e">
        <f>VLOOKUP($I37,[1]资产项汇总!$G:$M,6,0)</f>
        <v>#N/A</v>
      </c>
      <c r="Q37" s="64" t="e">
        <f>VLOOKUP($I37,[1]资产项汇总!$G:$M,7,0)</f>
        <v>#N/A</v>
      </c>
      <c r="R37" s="63"/>
      <c r="S37" s="66"/>
    </row>
    <row r="38" ht="16.5" spans="1:19">
      <c r="A38" s="62">
        <v>35</v>
      </c>
      <c r="B38" s="62" t="s">
        <v>493</v>
      </c>
      <c r="C38" s="62" t="s">
        <v>494</v>
      </c>
      <c r="D38" s="62" t="s">
        <v>467</v>
      </c>
      <c r="E38" s="62" t="s">
        <v>557</v>
      </c>
      <c r="F38" s="62" t="s">
        <v>526</v>
      </c>
      <c r="G38" s="62" t="s">
        <v>529</v>
      </c>
      <c r="H38" s="62" t="s">
        <v>530</v>
      </c>
      <c r="I38" s="63"/>
      <c r="J38" s="62" t="str">
        <f t="shared" si="0"/>
        <v>吸顶灯01_/</v>
      </c>
      <c r="K38" s="64" t="s">
        <v>492</v>
      </c>
      <c r="L38" s="64" t="s">
        <v>499</v>
      </c>
      <c r="M38" s="64" t="e">
        <f>VLOOKUP($I38,[1]资产项汇总!$G:$M,4,0)</f>
        <v>#N/A</v>
      </c>
      <c r="N38" s="64" t="s">
        <v>499</v>
      </c>
      <c r="O38" s="65">
        <v>1</v>
      </c>
      <c r="P38" s="64" t="e">
        <f>VLOOKUP($I38,[1]资产项汇总!$G:$M,6,0)</f>
        <v>#N/A</v>
      </c>
      <c r="Q38" s="64" t="e">
        <f>VLOOKUP($I38,[1]资产项汇总!$G:$M,7,0)</f>
        <v>#N/A</v>
      </c>
      <c r="R38" s="63"/>
      <c r="S38" s="66"/>
    </row>
    <row r="39" ht="16.5" spans="1:19">
      <c r="A39" s="62">
        <v>36</v>
      </c>
      <c r="B39" s="62" t="s">
        <v>493</v>
      </c>
      <c r="C39" s="62" t="s">
        <v>494</v>
      </c>
      <c r="D39" s="62" t="s">
        <v>467</v>
      </c>
      <c r="E39" s="62" t="s">
        <v>557</v>
      </c>
      <c r="F39" s="62" t="s">
        <v>508</v>
      </c>
      <c r="G39" s="62" t="s">
        <v>531</v>
      </c>
      <c r="H39" s="62" t="s">
        <v>532</v>
      </c>
      <c r="I39" s="63"/>
      <c r="J39" s="62" t="str">
        <f t="shared" si="0"/>
        <v>烟感01_/</v>
      </c>
      <c r="K39" s="64" t="s">
        <v>492</v>
      </c>
      <c r="L39" s="64" t="s">
        <v>499</v>
      </c>
      <c r="M39" s="64" t="e">
        <f>VLOOKUP($I39,[1]资产项汇总!$G:$M,4,0)</f>
        <v>#N/A</v>
      </c>
      <c r="N39" s="64" t="s">
        <v>499</v>
      </c>
      <c r="O39" s="65">
        <v>1</v>
      </c>
      <c r="P39" s="64" t="e">
        <f>VLOOKUP($I39,[1]资产项汇总!$G:$M,6,0)</f>
        <v>#N/A</v>
      </c>
      <c r="Q39" s="64" t="e">
        <f>VLOOKUP($I39,[1]资产项汇总!$G:$M,7,0)</f>
        <v>#N/A</v>
      </c>
      <c r="R39" s="63"/>
      <c r="S39" s="66"/>
    </row>
    <row r="40" ht="16.5" spans="1:19">
      <c r="A40" s="62">
        <v>37</v>
      </c>
      <c r="B40" s="62" t="s">
        <v>493</v>
      </c>
      <c r="C40" s="62" t="s">
        <v>494</v>
      </c>
      <c r="D40" s="62" t="s">
        <v>467</v>
      </c>
      <c r="E40" s="62" t="s">
        <v>566</v>
      </c>
      <c r="F40" s="62" t="s">
        <v>496</v>
      </c>
      <c r="G40" s="62" t="s">
        <v>567</v>
      </c>
      <c r="H40" s="62" t="s">
        <v>568</v>
      </c>
      <c r="I40" s="63"/>
      <c r="J40" s="62" t="str">
        <f t="shared" si="0"/>
        <v>整体卫浴卫生间门01_/</v>
      </c>
      <c r="K40" s="64" t="s">
        <v>492</v>
      </c>
      <c r="L40" s="64" t="s">
        <v>499</v>
      </c>
      <c r="M40" s="64" t="e">
        <f>VLOOKUP($I40,[1]资产项汇总!$G:$M,4,0)</f>
        <v>#N/A</v>
      </c>
      <c r="N40" s="64" t="s">
        <v>499</v>
      </c>
      <c r="O40" s="65">
        <v>1</v>
      </c>
      <c r="P40" s="64" t="e">
        <f>VLOOKUP($I40,[1]资产项汇总!$G:$M,6,0)</f>
        <v>#N/A</v>
      </c>
      <c r="Q40" s="64" t="e">
        <f>VLOOKUP($I40,[1]资产项汇总!$G:$M,7,0)</f>
        <v>#N/A</v>
      </c>
      <c r="R40" s="63"/>
      <c r="S40" s="66"/>
    </row>
    <row r="41" ht="16.5" spans="1:19">
      <c r="A41" s="62">
        <v>38</v>
      </c>
      <c r="B41" s="62" t="s">
        <v>493</v>
      </c>
      <c r="C41" s="62" t="s">
        <v>494</v>
      </c>
      <c r="D41" s="62" t="s">
        <v>467</v>
      </c>
      <c r="E41" s="62" t="s">
        <v>566</v>
      </c>
      <c r="F41" s="62" t="s">
        <v>521</v>
      </c>
      <c r="G41" s="62" t="s">
        <v>569</v>
      </c>
      <c r="H41" s="62" t="s">
        <v>570</v>
      </c>
      <c r="I41" s="63"/>
      <c r="J41" s="62" t="str">
        <f t="shared" si="0"/>
        <v>排风扇01_/</v>
      </c>
      <c r="K41" s="64" t="s">
        <v>492</v>
      </c>
      <c r="L41" s="64" t="s">
        <v>499</v>
      </c>
      <c r="M41" s="64" t="e">
        <f>VLOOKUP($I41,[1]资产项汇总!$G:$M,4,0)</f>
        <v>#N/A</v>
      </c>
      <c r="N41" s="64" t="s">
        <v>499</v>
      </c>
      <c r="O41" s="65">
        <v>1</v>
      </c>
      <c r="P41" s="64" t="e">
        <f>VLOOKUP($I41,[1]资产项汇总!$G:$M,6,0)</f>
        <v>#N/A</v>
      </c>
      <c r="Q41" s="64" t="e">
        <f>VLOOKUP($I41,[1]资产项汇总!$G:$M,7,0)</f>
        <v>#N/A</v>
      </c>
      <c r="R41" s="63"/>
      <c r="S41" s="66"/>
    </row>
    <row r="42" ht="16.5" spans="1:19">
      <c r="A42" s="62">
        <v>39</v>
      </c>
      <c r="B42" s="62" t="s">
        <v>493</v>
      </c>
      <c r="C42" s="62" t="s">
        <v>494</v>
      </c>
      <c r="D42" s="62" t="s">
        <v>467</v>
      </c>
      <c r="E42" s="62" t="s">
        <v>566</v>
      </c>
      <c r="F42" s="62" t="s">
        <v>511</v>
      </c>
      <c r="G42" s="62" t="s">
        <v>549</v>
      </c>
      <c r="H42" s="62" t="s">
        <v>571</v>
      </c>
      <c r="I42" s="63"/>
      <c r="J42" s="62" t="str">
        <f t="shared" si="0"/>
        <v>整体卫浴镜子01_/</v>
      </c>
      <c r="K42" s="64" t="s">
        <v>492</v>
      </c>
      <c r="L42" s="64" t="s">
        <v>499</v>
      </c>
      <c r="M42" s="64" t="e">
        <f>VLOOKUP($I42,[1]资产项汇总!$G:$M,4,0)</f>
        <v>#N/A</v>
      </c>
      <c r="N42" s="64" t="s">
        <v>499</v>
      </c>
      <c r="O42" s="65">
        <v>1</v>
      </c>
      <c r="P42" s="64" t="e">
        <f>VLOOKUP($I42,[1]资产项汇总!$G:$M,6,0)</f>
        <v>#N/A</v>
      </c>
      <c r="Q42" s="64" t="e">
        <f>VLOOKUP($I42,[1]资产项汇总!$G:$M,7,0)</f>
        <v>#N/A</v>
      </c>
      <c r="R42" s="63"/>
      <c r="S42" s="66"/>
    </row>
    <row r="43" ht="16.5" spans="1:19">
      <c r="A43" s="62">
        <v>40</v>
      </c>
      <c r="B43" s="62" t="s">
        <v>493</v>
      </c>
      <c r="C43" s="62" t="s">
        <v>494</v>
      </c>
      <c r="D43" s="62" t="s">
        <v>467</v>
      </c>
      <c r="E43" s="62" t="s">
        <v>566</v>
      </c>
      <c r="F43" s="62" t="s">
        <v>526</v>
      </c>
      <c r="G43" s="62" t="s">
        <v>572</v>
      </c>
      <c r="H43" s="62" t="s">
        <v>573</v>
      </c>
      <c r="I43" s="63"/>
      <c r="J43" s="62" t="str">
        <f t="shared" si="0"/>
        <v>整体卫浴厨卫灯01_/</v>
      </c>
      <c r="K43" s="64" t="s">
        <v>492</v>
      </c>
      <c r="L43" s="64" t="s">
        <v>499</v>
      </c>
      <c r="M43" s="64" t="e">
        <f>VLOOKUP($I43,[1]资产项汇总!$G:$M,4,0)</f>
        <v>#N/A</v>
      </c>
      <c r="N43" s="64" t="s">
        <v>499</v>
      </c>
      <c r="O43" s="65">
        <v>1</v>
      </c>
      <c r="P43" s="64" t="e">
        <f>VLOOKUP($I43,[1]资产项汇总!$G:$M,6,0)</f>
        <v>#N/A</v>
      </c>
      <c r="Q43" s="64" t="e">
        <f>VLOOKUP($I43,[1]资产项汇总!$G:$M,7,0)</f>
        <v>#N/A</v>
      </c>
      <c r="R43" s="63"/>
      <c r="S43" s="66"/>
    </row>
    <row r="44" ht="16.5" spans="1:19">
      <c r="A44" s="62">
        <v>41</v>
      </c>
      <c r="B44" s="62" t="s">
        <v>493</v>
      </c>
      <c r="C44" s="62" t="s">
        <v>494</v>
      </c>
      <c r="D44" s="62" t="s">
        <v>467</v>
      </c>
      <c r="E44" s="62" t="s">
        <v>566</v>
      </c>
      <c r="F44" s="62" t="s">
        <v>574</v>
      </c>
      <c r="G44" s="62" t="s">
        <v>575</v>
      </c>
      <c r="H44" s="62" t="s">
        <v>576</v>
      </c>
      <c r="I44" s="63"/>
      <c r="J44" s="62" t="str">
        <f t="shared" si="0"/>
        <v>整体卫浴淋浴手持花洒01_/</v>
      </c>
      <c r="K44" s="64" t="s">
        <v>492</v>
      </c>
      <c r="L44" s="64" t="s">
        <v>499</v>
      </c>
      <c r="M44" s="64" t="e">
        <f>VLOOKUP($I44,[1]资产项汇总!$G:$M,4,0)</f>
        <v>#N/A</v>
      </c>
      <c r="N44" s="64" t="s">
        <v>499</v>
      </c>
      <c r="O44" s="65">
        <v>1</v>
      </c>
      <c r="P44" s="64" t="e">
        <f>VLOOKUP($I44,[1]资产项汇总!$G:$M,6,0)</f>
        <v>#N/A</v>
      </c>
      <c r="Q44" s="64" t="e">
        <f>VLOOKUP($I44,[1]资产项汇总!$G:$M,7,0)</f>
        <v>#N/A</v>
      </c>
      <c r="R44" s="63"/>
      <c r="S44" s="66"/>
    </row>
    <row r="45" ht="16.5" spans="1:19">
      <c r="A45" s="62">
        <v>42</v>
      </c>
      <c r="B45" s="62" t="s">
        <v>493</v>
      </c>
      <c r="C45" s="62" t="s">
        <v>494</v>
      </c>
      <c r="D45" s="62" t="s">
        <v>467</v>
      </c>
      <c r="E45" s="62" t="s">
        <v>566</v>
      </c>
      <c r="F45" s="62" t="s">
        <v>574</v>
      </c>
      <c r="G45" s="62" t="s">
        <v>577</v>
      </c>
      <c r="H45" s="62" t="s">
        <v>578</v>
      </c>
      <c r="I45" s="63"/>
      <c r="J45" s="62" t="str">
        <f t="shared" si="0"/>
        <v>整体卫浴坐便器01_/</v>
      </c>
      <c r="K45" s="64" t="s">
        <v>492</v>
      </c>
      <c r="L45" s="64" t="s">
        <v>499</v>
      </c>
      <c r="M45" s="64" t="e">
        <f>VLOOKUP($I45,[1]资产项汇总!$G:$M,4,0)</f>
        <v>#N/A</v>
      </c>
      <c r="N45" s="64" t="s">
        <v>499</v>
      </c>
      <c r="O45" s="65">
        <v>1</v>
      </c>
      <c r="P45" s="64" t="e">
        <f>VLOOKUP($I45,[1]资产项汇总!$G:$M,6,0)</f>
        <v>#N/A</v>
      </c>
      <c r="Q45" s="64" t="e">
        <f>VLOOKUP($I45,[1]资产项汇总!$G:$M,7,0)</f>
        <v>#N/A</v>
      </c>
      <c r="R45" s="63"/>
      <c r="S45" s="66"/>
    </row>
    <row r="46" ht="16.5" spans="1:19">
      <c r="A46" s="62">
        <v>43</v>
      </c>
      <c r="B46" s="62" t="s">
        <v>493</v>
      </c>
      <c r="C46" s="62" t="s">
        <v>494</v>
      </c>
      <c r="D46" s="62" t="s">
        <v>467</v>
      </c>
      <c r="E46" s="62" t="s">
        <v>566</v>
      </c>
      <c r="F46" s="62" t="s">
        <v>574</v>
      </c>
      <c r="G46" s="62" t="s">
        <v>579</v>
      </c>
      <c r="H46" s="62" t="s">
        <v>580</v>
      </c>
      <c r="I46" s="63"/>
      <c r="J46" s="62" t="str">
        <f t="shared" si="0"/>
        <v>整体卫浴毛巾架01_/</v>
      </c>
      <c r="K46" s="64" t="s">
        <v>492</v>
      </c>
      <c r="L46" s="64" t="s">
        <v>499</v>
      </c>
      <c r="M46" s="64" t="e">
        <f>VLOOKUP($I46,[1]资产项汇总!$G:$M,4,0)</f>
        <v>#N/A</v>
      </c>
      <c r="N46" s="64" t="s">
        <v>499</v>
      </c>
      <c r="O46" s="65">
        <v>1</v>
      </c>
      <c r="P46" s="64" t="e">
        <f>VLOOKUP($I46,[1]资产项汇总!$G:$M,6,0)</f>
        <v>#N/A</v>
      </c>
      <c r="Q46" s="64" t="e">
        <f>VLOOKUP($I46,[1]资产项汇总!$G:$M,7,0)</f>
        <v>#N/A</v>
      </c>
      <c r="R46" s="63"/>
      <c r="S46" s="66"/>
    </row>
    <row r="47" ht="16.5" spans="1:19">
      <c r="A47" s="62">
        <v>44</v>
      </c>
      <c r="B47" s="62" t="s">
        <v>493</v>
      </c>
      <c r="C47" s="62" t="s">
        <v>494</v>
      </c>
      <c r="D47" s="62" t="s">
        <v>467</v>
      </c>
      <c r="E47" s="62" t="s">
        <v>566</v>
      </c>
      <c r="F47" s="62" t="s">
        <v>521</v>
      </c>
      <c r="G47" s="62" t="s">
        <v>581</v>
      </c>
      <c r="H47" s="62" t="s">
        <v>582</v>
      </c>
      <c r="I47" s="63"/>
      <c r="J47" s="62" t="str">
        <f t="shared" si="0"/>
        <v>电热水器02-60L_/</v>
      </c>
      <c r="K47" s="64" t="s">
        <v>492</v>
      </c>
      <c r="L47" s="64" t="s">
        <v>499</v>
      </c>
      <c r="M47" s="64" t="e">
        <f>VLOOKUP($I47,[1]资产项汇总!$G:$M,4,0)</f>
        <v>#N/A</v>
      </c>
      <c r="N47" s="64" t="s">
        <v>499</v>
      </c>
      <c r="O47" s="65">
        <v>1</v>
      </c>
      <c r="P47" s="64" t="e">
        <f>VLOOKUP($I47,[1]资产项汇总!$G:$M,6,0)</f>
        <v>#N/A</v>
      </c>
      <c r="Q47" s="64" t="e">
        <f>VLOOKUP($I47,[1]资产项汇总!$G:$M,7,0)</f>
        <v>#N/A</v>
      </c>
      <c r="R47" s="63"/>
      <c r="S47" s="66"/>
    </row>
    <row r="48" ht="16.5" spans="1:19">
      <c r="A48" s="62">
        <v>45</v>
      </c>
      <c r="B48" s="62" t="s">
        <v>493</v>
      </c>
      <c r="C48" s="62" t="s">
        <v>494</v>
      </c>
      <c r="D48" s="62" t="s">
        <v>467</v>
      </c>
      <c r="E48" s="62" t="s">
        <v>566</v>
      </c>
      <c r="F48" s="62" t="s">
        <v>502</v>
      </c>
      <c r="G48" s="62" t="s">
        <v>583</v>
      </c>
      <c r="H48" s="62" t="s">
        <v>584</v>
      </c>
      <c r="I48" s="63"/>
      <c r="J48" s="62" t="str">
        <f t="shared" si="0"/>
        <v>防水贴纸_/</v>
      </c>
      <c r="K48" s="64" t="s">
        <v>492</v>
      </c>
      <c r="L48" s="64" t="s">
        <v>499</v>
      </c>
      <c r="M48" s="64" t="e">
        <f>VLOOKUP($I48,[1]资产项汇总!$G:$M,4,0)</f>
        <v>#N/A</v>
      </c>
      <c r="N48" s="64" t="s">
        <v>499</v>
      </c>
      <c r="O48" s="65">
        <v>1</v>
      </c>
      <c r="P48" s="64" t="e">
        <f>VLOOKUP($I48,[1]资产项汇总!$G:$M,6,0)</f>
        <v>#N/A</v>
      </c>
      <c r="Q48" s="64" t="e">
        <f>VLOOKUP($I48,[1]资产项汇总!$G:$M,7,0)</f>
        <v>#N/A</v>
      </c>
      <c r="R48" s="63"/>
      <c r="S48" s="66"/>
    </row>
    <row r="49" ht="16.5" spans="1:19">
      <c r="A49" s="62">
        <v>46</v>
      </c>
      <c r="B49" s="62" t="s">
        <v>493</v>
      </c>
      <c r="C49" s="62" t="s">
        <v>494</v>
      </c>
      <c r="D49" s="62" t="s">
        <v>467</v>
      </c>
      <c r="E49" s="62" t="s">
        <v>566</v>
      </c>
      <c r="F49" s="62" t="s">
        <v>574</v>
      </c>
      <c r="G49" s="62" t="s">
        <v>585</v>
      </c>
      <c r="H49" s="62" t="s">
        <v>586</v>
      </c>
      <c r="I49" s="63"/>
      <c r="J49" s="62" t="str">
        <f t="shared" si="0"/>
        <v>整体卫浴悬挂式洗手盆01_/</v>
      </c>
      <c r="K49" s="64" t="s">
        <v>492</v>
      </c>
      <c r="L49" s="64" t="s">
        <v>499</v>
      </c>
      <c r="M49" s="64" t="e">
        <f>VLOOKUP($I49,[1]资产项汇总!$G:$M,4,0)</f>
        <v>#N/A</v>
      </c>
      <c r="N49" s="64" t="s">
        <v>499</v>
      </c>
      <c r="O49" s="65">
        <v>1</v>
      </c>
      <c r="P49" s="64" t="e">
        <f>VLOOKUP($I49,[1]资产项汇总!$G:$M,6,0)</f>
        <v>#N/A</v>
      </c>
      <c r="Q49" s="64" t="e">
        <f>VLOOKUP($I49,[1]资产项汇总!$G:$M,7,0)</f>
        <v>#N/A</v>
      </c>
      <c r="R49" s="63"/>
      <c r="S49" s="66"/>
    </row>
    <row r="50" ht="16.5" spans="1:19">
      <c r="A50" s="62">
        <v>47</v>
      </c>
      <c r="B50" s="62" t="s">
        <v>493</v>
      </c>
      <c r="C50" s="62" t="s">
        <v>494</v>
      </c>
      <c r="D50" s="62" t="s">
        <v>467</v>
      </c>
      <c r="E50" s="62" t="s">
        <v>566</v>
      </c>
      <c r="F50" s="62" t="s">
        <v>574</v>
      </c>
      <c r="G50" s="62" t="s">
        <v>587</v>
      </c>
      <c r="H50" s="62" t="s">
        <v>588</v>
      </c>
      <c r="I50" s="63"/>
      <c r="J50" s="62" t="str">
        <f t="shared" si="0"/>
        <v>整体卫浴三角浴篮01_/</v>
      </c>
      <c r="K50" s="64" t="s">
        <v>492</v>
      </c>
      <c r="L50" s="64" t="s">
        <v>499</v>
      </c>
      <c r="M50" s="64" t="e">
        <f>VLOOKUP($I50,[1]资产项汇总!$G:$M,4,0)</f>
        <v>#N/A</v>
      </c>
      <c r="N50" s="64" t="s">
        <v>499</v>
      </c>
      <c r="O50" s="65">
        <v>1</v>
      </c>
      <c r="P50" s="64" t="e">
        <f>VLOOKUP($I50,[1]资产项汇总!$G:$M,6,0)</f>
        <v>#N/A</v>
      </c>
      <c r="Q50" s="64" t="e">
        <f>VLOOKUP($I50,[1]资产项汇总!$G:$M,7,0)</f>
        <v>#N/A</v>
      </c>
      <c r="R50" s="63"/>
      <c r="S50" s="66"/>
    </row>
    <row r="51" ht="16.5" spans="1:19">
      <c r="A51" s="62">
        <v>48</v>
      </c>
      <c r="B51" s="62" t="s">
        <v>493</v>
      </c>
      <c r="C51" s="62" t="s">
        <v>494</v>
      </c>
      <c r="D51" s="62" t="s">
        <v>467</v>
      </c>
      <c r="E51" s="62" t="s">
        <v>566</v>
      </c>
      <c r="F51" s="62" t="s">
        <v>574</v>
      </c>
      <c r="G51" s="62" t="s">
        <v>589</v>
      </c>
      <c r="H51" s="62" t="s">
        <v>590</v>
      </c>
      <c r="I51" s="63"/>
      <c r="J51" s="62" t="str">
        <f t="shared" si="0"/>
        <v>整体卫浴纸巾架01_/</v>
      </c>
      <c r="K51" s="64" t="s">
        <v>492</v>
      </c>
      <c r="L51" s="64" t="s">
        <v>499</v>
      </c>
      <c r="M51" s="64" t="e">
        <f>VLOOKUP($I51,[1]资产项汇总!$G:$M,4,0)</f>
        <v>#N/A</v>
      </c>
      <c r="N51" s="64" t="s">
        <v>499</v>
      </c>
      <c r="O51" s="65">
        <v>1</v>
      </c>
      <c r="P51" s="64" t="e">
        <f>VLOOKUP($I51,[1]资产项汇总!$G:$M,6,0)</f>
        <v>#N/A</v>
      </c>
      <c r="Q51" s="64" t="e">
        <f>VLOOKUP($I51,[1]资产项汇总!$G:$M,7,0)</f>
        <v>#N/A</v>
      </c>
      <c r="R51" s="63"/>
      <c r="S51" s="66"/>
    </row>
    <row r="52" ht="16.5" spans="1:19">
      <c r="A52" s="62">
        <v>1</v>
      </c>
      <c r="B52" s="62" t="s">
        <v>493</v>
      </c>
      <c r="C52" s="62" t="s">
        <v>494</v>
      </c>
      <c r="D52" s="62" t="s">
        <v>468</v>
      </c>
      <c r="E52" s="62" t="s">
        <v>495</v>
      </c>
      <c r="F52" s="62" t="s">
        <v>496</v>
      </c>
      <c r="G52" s="62" t="s">
        <v>497</v>
      </c>
      <c r="H52" s="62" t="s">
        <v>498</v>
      </c>
      <c r="I52" s="63"/>
      <c r="J52" s="62" t="str">
        <f t="shared" si="0"/>
        <v>入户门02钢门_/</v>
      </c>
      <c r="K52" s="64" t="s">
        <v>492</v>
      </c>
      <c r="L52" s="64" t="s">
        <v>499</v>
      </c>
      <c r="M52" s="64" t="e">
        <f>VLOOKUP($I52,[1]资产项汇总!$G:$M,4,0)</f>
        <v>#N/A</v>
      </c>
      <c r="N52" s="64" t="s">
        <v>499</v>
      </c>
      <c r="O52" s="65">
        <v>1</v>
      </c>
      <c r="P52" s="64" t="e">
        <f>VLOOKUP($I52,[1]资产项汇总!$G:$M,6,0)</f>
        <v>#N/A</v>
      </c>
      <c r="Q52" s="64" t="e">
        <f>VLOOKUP($I52,[1]资产项汇总!$G:$M,7,0)</f>
        <v>#N/A</v>
      </c>
      <c r="R52" s="63"/>
      <c r="S52" s="66"/>
    </row>
    <row r="53" ht="16.5" spans="1:19">
      <c r="A53" s="62">
        <v>2</v>
      </c>
      <c r="B53" s="62" t="s">
        <v>493</v>
      </c>
      <c r="C53" s="62" t="s">
        <v>494</v>
      </c>
      <c r="D53" s="62" t="s">
        <v>468</v>
      </c>
      <c r="E53" s="62" t="s">
        <v>495</v>
      </c>
      <c r="F53" s="62" t="s">
        <v>496</v>
      </c>
      <c r="G53" s="62" t="s">
        <v>500</v>
      </c>
      <c r="H53" s="62" t="s">
        <v>501</v>
      </c>
      <c r="I53" s="63"/>
      <c r="J53" s="62" t="str">
        <f t="shared" si="0"/>
        <v>智能门锁01_/</v>
      </c>
      <c r="K53" s="64" t="s">
        <v>492</v>
      </c>
      <c r="L53" s="64" t="s">
        <v>499</v>
      </c>
      <c r="M53" s="64" t="e">
        <f>VLOOKUP($I53,[1]资产项汇总!$G:$M,4,0)</f>
        <v>#N/A</v>
      </c>
      <c r="N53" s="64" t="s">
        <v>499</v>
      </c>
      <c r="O53" s="65">
        <v>1</v>
      </c>
      <c r="P53" s="64" t="e">
        <f>VLOOKUP($I53,[1]资产项汇总!$G:$M,6,0)</f>
        <v>#N/A</v>
      </c>
      <c r="Q53" s="64" t="e">
        <f>VLOOKUP($I53,[1]资产项汇总!$G:$M,7,0)</f>
        <v>#N/A</v>
      </c>
      <c r="R53" s="63"/>
      <c r="S53" s="66"/>
    </row>
    <row r="54" ht="16.5" spans="1:19">
      <c r="A54" s="62">
        <v>3</v>
      </c>
      <c r="B54" s="62" t="s">
        <v>493</v>
      </c>
      <c r="C54" s="62" t="s">
        <v>494</v>
      </c>
      <c r="D54" s="62" t="s">
        <v>468</v>
      </c>
      <c r="E54" s="62" t="s">
        <v>495</v>
      </c>
      <c r="F54" s="62" t="s">
        <v>502</v>
      </c>
      <c r="G54" s="62" t="s">
        <v>503</v>
      </c>
      <c r="H54" s="62" t="s">
        <v>504</v>
      </c>
      <c r="I54" s="63"/>
      <c r="J54" s="62" t="str">
        <f t="shared" si="0"/>
        <v>门牌号01_/</v>
      </c>
      <c r="K54" s="64" t="s">
        <v>492</v>
      </c>
      <c r="L54" s="64" t="s">
        <v>499</v>
      </c>
      <c r="M54" s="64" t="e">
        <f>VLOOKUP($I54,[1]资产项汇总!$G:$M,4,0)</f>
        <v>#N/A</v>
      </c>
      <c r="N54" s="64" t="s">
        <v>499</v>
      </c>
      <c r="O54" s="65">
        <v>1</v>
      </c>
      <c r="P54" s="64" t="e">
        <f>VLOOKUP($I54,[1]资产项汇总!$G:$M,6,0)</f>
        <v>#N/A</v>
      </c>
      <c r="Q54" s="64" t="e">
        <f>VLOOKUP($I54,[1]资产项汇总!$G:$M,7,0)</f>
        <v>#N/A</v>
      </c>
      <c r="R54" s="63"/>
      <c r="S54" s="66"/>
    </row>
    <row r="55" ht="16.5" spans="1:19">
      <c r="A55" s="62">
        <v>4</v>
      </c>
      <c r="B55" s="62" t="s">
        <v>493</v>
      </c>
      <c r="C55" s="62" t="s">
        <v>494</v>
      </c>
      <c r="D55" s="62" t="s">
        <v>468</v>
      </c>
      <c r="E55" s="62" t="s">
        <v>495</v>
      </c>
      <c r="F55" s="62" t="s">
        <v>502</v>
      </c>
      <c r="G55" s="62" t="s">
        <v>505</v>
      </c>
      <c r="H55" s="62" t="s">
        <v>506</v>
      </c>
      <c r="I55" s="63"/>
      <c r="J55" s="62" t="str">
        <f t="shared" si="0"/>
        <v>户内公告栏01_/</v>
      </c>
      <c r="K55" s="64" t="s">
        <v>492</v>
      </c>
      <c r="L55" s="64" t="s">
        <v>499</v>
      </c>
      <c r="M55" s="64" t="e">
        <f>VLOOKUP($I55,[1]资产项汇总!$G:$M,4,0)</f>
        <v>#N/A</v>
      </c>
      <c r="N55" s="64" t="s">
        <v>499</v>
      </c>
      <c r="O55" s="65">
        <v>1</v>
      </c>
      <c r="P55" s="64" t="e">
        <f>VLOOKUP($I55,[1]资产项汇总!$G:$M,6,0)</f>
        <v>#N/A</v>
      </c>
      <c r="Q55" s="64" t="e">
        <f>VLOOKUP($I55,[1]资产项汇总!$G:$M,7,0)</f>
        <v>#N/A</v>
      </c>
      <c r="R55" s="63"/>
      <c r="S55" s="66"/>
    </row>
    <row r="56" ht="16.5" spans="1:19">
      <c r="A56" s="62">
        <v>5</v>
      </c>
      <c r="B56" s="62" t="s">
        <v>493</v>
      </c>
      <c r="C56" s="62" t="s">
        <v>494</v>
      </c>
      <c r="D56" s="62" t="s">
        <v>468</v>
      </c>
      <c r="E56" s="62" t="s">
        <v>557</v>
      </c>
      <c r="F56" s="62" t="s">
        <v>508</v>
      </c>
      <c r="G56" s="62" t="s">
        <v>509</v>
      </c>
      <c r="H56" s="62" t="s">
        <v>510</v>
      </c>
      <c r="I56" s="63"/>
      <c r="J56" s="62" t="str">
        <f t="shared" si="0"/>
        <v>灭火器01_/</v>
      </c>
      <c r="K56" s="64" t="s">
        <v>492</v>
      </c>
      <c r="L56" s="64" t="s">
        <v>499</v>
      </c>
      <c r="M56" s="64" t="e">
        <f>VLOOKUP($I56,[1]资产项汇总!$G:$M,4,0)</f>
        <v>#N/A</v>
      </c>
      <c r="N56" s="64" t="s">
        <v>499</v>
      </c>
      <c r="O56" s="65">
        <v>1</v>
      </c>
      <c r="P56" s="64" t="e">
        <f>VLOOKUP($I56,[1]资产项汇总!$G:$M,6,0)</f>
        <v>#N/A</v>
      </c>
      <c r="Q56" s="64" t="e">
        <f>VLOOKUP($I56,[1]资产项汇总!$G:$M,7,0)</f>
        <v>#N/A</v>
      </c>
      <c r="R56" s="63"/>
      <c r="S56" s="66"/>
    </row>
    <row r="57" ht="16.5" spans="1:19">
      <c r="A57" s="62">
        <v>6</v>
      </c>
      <c r="B57" s="62" t="s">
        <v>493</v>
      </c>
      <c r="C57" s="62" t="s">
        <v>494</v>
      </c>
      <c r="D57" s="62" t="s">
        <v>468</v>
      </c>
      <c r="E57" s="62" t="s">
        <v>557</v>
      </c>
      <c r="F57" s="62" t="s">
        <v>511</v>
      </c>
      <c r="G57" s="62" t="s">
        <v>512</v>
      </c>
      <c r="H57" s="62" t="s">
        <v>513</v>
      </c>
      <c r="I57" s="63"/>
      <c r="J57" s="62" t="str">
        <f t="shared" si="0"/>
        <v>鞋柜01_/</v>
      </c>
      <c r="K57" s="64" t="s">
        <v>492</v>
      </c>
      <c r="L57" s="64" t="s">
        <v>499</v>
      </c>
      <c r="M57" s="64" t="e">
        <f>VLOOKUP($I57,[1]资产项汇总!$G:$M,4,0)</f>
        <v>#N/A</v>
      </c>
      <c r="N57" s="64" t="s">
        <v>499</v>
      </c>
      <c r="O57" s="65">
        <v>1</v>
      </c>
      <c r="P57" s="64" t="e">
        <f>VLOOKUP($I57,[1]资产项汇总!$G:$M,6,0)</f>
        <v>#N/A</v>
      </c>
      <c r="Q57" s="64" t="e">
        <f>VLOOKUP($I57,[1]资产项汇总!$G:$M,7,0)</f>
        <v>#N/A</v>
      </c>
      <c r="R57" s="63"/>
      <c r="S57" s="66"/>
    </row>
    <row r="58" ht="16.5" spans="1:19">
      <c r="A58" s="62">
        <v>7</v>
      </c>
      <c r="B58" s="62" t="s">
        <v>493</v>
      </c>
      <c r="C58" s="62" t="s">
        <v>494</v>
      </c>
      <c r="D58" s="62" t="s">
        <v>468</v>
      </c>
      <c r="E58" s="62" t="s">
        <v>557</v>
      </c>
      <c r="F58" s="62" t="s">
        <v>511</v>
      </c>
      <c r="G58" s="62" t="s">
        <v>560</v>
      </c>
      <c r="H58" s="62" t="s">
        <v>561</v>
      </c>
      <c r="I58" s="63"/>
      <c r="J58" s="62" t="str">
        <f t="shared" si="0"/>
        <v>标准床01-1.5m宽_/</v>
      </c>
      <c r="K58" s="64" t="s">
        <v>492</v>
      </c>
      <c r="L58" s="64" t="s">
        <v>499</v>
      </c>
      <c r="M58" s="64" t="e">
        <f>VLOOKUP($I58,[1]资产项汇总!$G:$M,4,0)</f>
        <v>#N/A</v>
      </c>
      <c r="N58" s="64" t="s">
        <v>499</v>
      </c>
      <c r="O58" s="65">
        <v>1</v>
      </c>
      <c r="P58" s="64" t="e">
        <f>VLOOKUP($I58,[1]资产项汇总!$G:$M,6,0)</f>
        <v>#N/A</v>
      </c>
      <c r="Q58" s="64" t="e">
        <f>VLOOKUP($I58,[1]资产项汇总!$G:$M,7,0)</f>
        <v>#N/A</v>
      </c>
      <c r="R58" s="63"/>
      <c r="S58" s="66"/>
    </row>
    <row r="59" ht="16.5" spans="1:19">
      <c r="A59" s="62">
        <v>8</v>
      </c>
      <c r="B59" s="62" t="s">
        <v>493</v>
      </c>
      <c r="C59" s="62" t="s">
        <v>494</v>
      </c>
      <c r="D59" s="62" t="s">
        <v>468</v>
      </c>
      <c r="E59" s="62" t="s">
        <v>557</v>
      </c>
      <c r="F59" s="62" t="s">
        <v>511</v>
      </c>
      <c r="G59" s="62" t="s">
        <v>562</v>
      </c>
      <c r="H59" s="62" t="s">
        <v>563</v>
      </c>
      <c r="I59" s="63"/>
      <c r="J59" s="62" t="str">
        <f t="shared" si="0"/>
        <v>床垫01-1.5m_/</v>
      </c>
      <c r="K59" s="64" t="s">
        <v>492</v>
      </c>
      <c r="L59" s="64" t="s">
        <v>499</v>
      </c>
      <c r="M59" s="64" t="e">
        <f>VLOOKUP($I59,[1]资产项汇总!$G:$M,4,0)</f>
        <v>#N/A</v>
      </c>
      <c r="N59" s="64" t="s">
        <v>499</v>
      </c>
      <c r="O59" s="65">
        <v>1</v>
      </c>
      <c r="P59" s="64" t="e">
        <f>VLOOKUP($I59,[1]资产项汇总!$G:$M,6,0)</f>
        <v>#N/A</v>
      </c>
      <c r="Q59" s="64" t="e">
        <f>VLOOKUP($I59,[1]资产项汇总!$G:$M,7,0)</f>
        <v>#N/A</v>
      </c>
      <c r="R59" s="63"/>
      <c r="S59" s="66"/>
    </row>
    <row r="60" ht="16.5" spans="1:19">
      <c r="A60" s="62">
        <v>9</v>
      </c>
      <c r="B60" s="62" t="s">
        <v>493</v>
      </c>
      <c r="C60" s="62" t="s">
        <v>494</v>
      </c>
      <c r="D60" s="62" t="s">
        <v>468</v>
      </c>
      <c r="E60" s="62" t="s">
        <v>557</v>
      </c>
      <c r="F60" s="62" t="s">
        <v>511</v>
      </c>
      <c r="G60" s="62" t="s">
        <v>564</v>
      </c>
      <c r="H60" s="62" t="s">
        <v>591</v>
      </c>
      <c r="I60" s="63"/>
      <c r="J60" s="62" t="str">
        <f t="shared" si="0"/>
        <v>衣柜02-通用有冰箱_/</v>
      </c>
      <c r="K60" s="64" t="s">
        <v>492</v>
      </c>
      <c r="L60" s="64" t="s">
        <v>499</v>
      </c>
      <c r="M60" s="64" t="e">
        <f>VLOOKUP($I60,[1]资产项汇总!$G:$M,4,0)</f>
        <v>#N/A</v>
      </c>
      <c r="N60" s="64" t="s">
        <v>499</v>
      </c>
      <c r="O60" s="65">
        <v>1</v>
      </c>
      <c r="P60" s="64" t="e">
        <f>VLOOKUP($I60,[1]资产项汇总!$G:$M,6,0)</f>
        <v>#N/A</v>
      </c>
      <c r="Q60" s="64" t="e">
        <f>VLOOKUP($I60,[1]资产项汇总!$G:$M,7,0)</f>
        <v>#N/A</v>
      </c>
      <c r="R60" s="63"/>
      <c r="S60" s="66"/>
    </row>
    <row r="61" ht="16.5" spans="1:19">
      <c r="A61" s="62">
        <v>10</v>
      </c>
      <c r="B61" s="62" t="s">
        <v>493</v>
      </c>
      <c r="C61" s="62" t="s">
        <v>494</v>
      </c>
      <c r="D61" s="62" t="s">
        <v>468</v>
      </c>
      <c r="E61" s="62" t="s">
        <v>557</v>
      </c>
      <c r="F61" s="62" t="s">
        <v>521</v>
      </c>
      <c r="G61" s="62" t="s">
        <v>522</v>
      </c>
      <c r="H61" s="62" t="s">
        <v>523</v>
      </c>
      <c r="I61" s="63"/>
      <c r="J61" s="62" t="str">
        <f t="shared" si="0"/>
        <v>冷暖空调01-1p_/</v>
      </c>
      <c r="K61" s="64" t="s">
        <v>492</v>
      </c>
      <c r="L61" s="64" t="s">
        <v>499</v>
      </c>
      <c r="M61" s="64" t="e">
        <f>VLOOKUP($I61,[1]资产项汇总!$G:$M,4,0)</f>
        <v>#N/A</v>
      </c>
      <c r="N61" s="64" t="s">
        <v>499</v>
      </c>
      <c r="O61" s="65">
        <v>1</v>
      </c>
      <c r="P61" s="64" t="e">
        <f>VLOOKUP($I61,[1]资产项汇总!$G:$M,6,0)</f>
        <v>#N/A</v>
      </c>
      <c r="Q61" s="64" t="e">
        <f>VLOOKUP($I61,[1]资产项汇总!$G:$M,7,0)</f>
        <v>#N/A</v>
      </c>
      <c r="R61" s="63"/>
      <c r="S61" s="66"/>
    </row>
    <row r="62" ht="16.5" spans="1:19">
      <c r="A62" s="62">
        <v>11</v>
      </c>
      <c r="B62" s="62" t="s">
        <v>493</v>
      </c>
      <c r="C62" s="62" t="s">
        <v>494</v>
      </c>
      <c r="D62" s="62" t="s">
        <v>468</v>
      </c>
      <c r="E62" s="62" t="s">
        <v>557</v>
      </c>
      <c r="F62" s="62" t="s">
        <v>521</v>
      </c>
      <c r="G62" s="62" t="s">
        <v>524</v>
      </c>
      <c r="H62" s="62" t="s">
        <v>525</v>
      </c>
      <c r="I62" s="63"/>
      <c r="J62" s="62" t="str">
        <f t="shared" si="0"/>
        <v>空调遥控器01_/</v>
      </c>
      <c r="K62" s="64" t="s">
        <v>492</v>
      </c>
      <c r="L62" s="64" t="s">
        <v>499</v>
      </c>
      <c r="M62" s="64" t="e">
        <f>VLOOKUP($I62,[1]资产项汇总!$G:$M,4,0)</f>
        <v>#N/A</v>
      </c>
      <c r="N62" s="64" t="s">
        <v>499</v>
      </c>
      <c r="O62" s="65">
        <v>1</v>
      </c>
      <c r="P62" s="64" t="e">
        <f>VLOOKUP($I62,[1]资产项汇总!$G:$M,6,0)</f>
        <v>#N/A</v>
      </c>
      <c r="Q62" s="64" t="e">
        <f>VLOOKUP($I62,[1]资产项汇总!$G:$M,7,0)</f>
        <v>#N/A</v>
      </c>
      <c r="R62" s="63"/>
      <c r="S62" s="66"/>
    </row>
    <row r="63" ht="16.5" spans="1:19">
      <c r="A63" s="62">
        <v>12</v>
      </c>
      <c r="B63" s="62" t="s">
        <v>493</v>
      </c>
      <c r="C63" s="62" t="s">
        <v>494</v>
      </c>
      <c r="D63" s="62" t="s">
        <v>468</v>
      </c>
      <c r="E63" s="62" t="s">
        <v>557</v>
      </c>
      <c r="F63" s="62" t="s">
        <v>526</v>
      </c>
      <c r="G63" s="62" t="s">
        <v>529</v>
      </c>
      <c r="H63" s="62" t="s">
        <v>530</v>
      </c>
      <c r="I63" s="63"/>
      <c r="J63" s="62" t="str">
        <f t="shared" si="0"/>
        <v>吸顶灯01_/</v>
      </c>
      <c r="K63" s="64" t="s">
        <v>492</v>
      </c>
      <c r="L63" s="64" t="s">
        <v>499</v>
      </c>
      <c r="M63" s="64" t="e">
        <f>VLOOKUP($I63,[1]资产项汇总!$G:$M,4,0)</f>
        <v>#N/A</v>
      </c>
      <c r="N63" s="64" t="s">
        <v>499</v>
      </c>
      <c r="O63" s="65">
        <v>1</v>
      </c>
      <c r="P63" s="64" t="e">
        <f>VLOOKUP($I63,[1]资产项汇总!$G:$M,6,0)</f>
        <v>#N/A</v>
      </c>
      <c r="Q63" s="64" t="e">
        <f>VLOOKUP($I63,[1]资产项汇总!$G:$M,7,0)</f>
        <v>#N/A</v>
      </c>
      <c r="R63" s="63"/>
      <c r="S63" s="66"/>
    </row>
    <row r="64" ht="16.5" spans="1:19">
      <c r="A64" s="62">
        <v>13</v>
      </c>
      <c r="B64" s="62" t="s">
        <v>493</v>
      </c>
      <c r="C64" s="62" t="s">
        <v>494</v>
      </c>
      <c r="D64" s="62" t="s">
        <v>468</v>
      </c>
      <c r="E64" s="62" t="s">
        <v>557</v>
      </c>
      <c r="F64" s="62" t="s">
        <v>508</v>
      </c>
      <c r="G64" s="62" t="s">
        <v>531</v>
      </c>
      <c r="H64" s="62" t="s">
        <v>532</v>
      </c>
      <c r="I64" s="63"/>
      <c r="J64" s="62" t="str">
        <f t="shared" si="0"/>
        <v>烟感01_/</v>
      </c>
      <c r="K64" s="64" t="s">
        <v>492</v>
      </c>
      <c r="L64" s="64" t="s">
        <v>499</v>
      </c>
      <c r="M64" s="64" t="e">
        <f>VLOOKUP($I64,[1]资产项汇总!$G:$M,4,0)</f>
        <v>#N/A</v>
      </c>
      <c r="N64" s="64" t="s">
        <v>499</v>
      </c>
      <c r="O64" s="65">
        <v>1</v>
      </c>
      <c r="P64" s="64" t="e">
        <f>VLOOKUP($I64,[1]资产项汇总!$G:$M,6,0)</f>
        <v>#N/A</v>
      </c>
      <c r="Q64" s="64" t="e">
        <f>VLOOKUP($I64,[1]资产项汇总!$G:$M,7,0)</f>
        <v>#N/A</v>
      </c>
      <c r="R64" s="63"/>
      <c r="S64" s="66"/>
    </row>
    <row r="65" ht="16.5" spans="1:19">
      <c r="A65" s="62">
        <v>14</v>
      </c>
      <c r="B65" s="62" t="s">
        <v>493</v>
      </c>
      <c r="C65" s="62" t="s">
        <v>494</v>
      </c>
      <c r="D65" s="62" t="s">
        <v>468</v>
      </c>
      <c r="E65" s="62" t="s">
        <v>557</v>
      </c>
      <c r="F65" s="62" t="s">
        <v>533</v>
      </c>
      <c r="G65" s="62" t="s">
        <v>534</v>
      </c>
      <c r="H65" s="62" t="s">
        <v>535</v>
      </c>
      <c r="I65" s="63"/>
      <c r="J65" s="62" t="str">
        <f t="shared" si="0"/>
        <v>户内配电箱01_/</v>
      </c>
      <c r="K65" s="64" t="s">
        <v>492</v>
      </c>
      <c r="L65" s="64" t="s">
        <v>499</v>
      </c>
      <c r="M65" s="64" t="e">
        <f>VLOOKUP($I65,[1]资产项汇总!$G:$M,4,0)</f>
        <v>#N/A</v>
      </c>
      <c r="N65" s="64" t="s">
        <v>499</v>
      </c>
      <c r="O65" s="65">
        <v>1</v>
      </c>
      <c r="P65" s="64" t="e">
        <f>VLOOKUP($I65,[1]资产项汇总!$G:$M,6,0)</f>
        <v>#N/A</v>
      </c>
      <c r="Q65" s="64" t="e">
        <f>VLOOKUP($I65,[1]资产项汇总!$G:$M,7,0)</f>
        <v>#N/A</v>
      </c>
      <c r="R65" s="63"/>
      <c r="S65" s="66"/>
    </row>
    <row r="66" ht="16.5" spans="1:19">
      <c r="A66" s="62">
        <v>15</v>
      </c>
      <c r="B66" s="62" t="s">
        <v>493</v>
      </c>
      <c r="C66" s="62" t="s">
        <v>494</v>
      </c>
      <c r="D66" s="62" t="s">
        <v>468</v>
      </c>
      <c r="E66" s="62" t="s">
        <v>557</v>
      </c>
      <c r="F66" s="62" t="s">
        <v>511</v>
      </c>
      <c r="G66" s="62" t="s">
        <v>536</v>
      </c>
      <c r="H66" s="62" t="s">
        <v>537</v>
      </c>
      <c r="I66" s="63"/>
      <c r="J66" s="62" t="str">
        <f t="shared" si="0"/>
        <v>网络收纳盒01_/</v>
      </c>
      <c r="K66" s="64" t="s">
        <v>492</v>
      </c>
      <c r="L66" s="64" t="s">
        <v>499</v>
      </c>
      <c r="M66" s="64" t="e">
        <f>VLOOKUP($I66,[1]资产项汇总!$G:$M,4,0)</f>
        <v>#N/A</v>
      </c>
      <c r="N66" s="64" t="s">
        <v>499</v>
      </c>
      <c r="O66" s="65">
        <v>1</v>
      </c>
      <c r="P66" s="64" t="e">
        <f>VLOOKUP($I66,[1]资产项汇总!$G:$M,6,0)</f>
        <v>#N/A</v>
      </c>
      <c r="Q66" s="64" t="e">
        <f>VLOOKUP($I66,[1]资产项汇总!$G:$M,7,0)</f>
        <v>#N/A</v>
      </c>
      <c r="R66" s="63"/>
      <c r="S66" s="66"/>
    </row>
    <row r="67" ht="16.5" spans="1:19">
      <c r="A67" s="62">
        <v>16</v>
      </c>
      <c r="B67" s="62" t="s">
        <v>493</v>
      </c>
      <c r="C67" s="62" t="s">
        <v>494</v>
      </c>
      <c r="D67" s="62" t="s">
        <v>468</v>
      </c>
      <c r="E67" s="62" t="s">
        <v>557</v>
      </c>
      <c r="F67" s="62" t="s">
        <v>538</v>
      </c>
      <c r="G67" s="62" t="s">
        <v>539</v>
      </c>
      <c r="H67" s="62" t="s">
        <v>540</v>
      </c>
      <c r="I67" s="63"/>
      <c r="J67" s="62" t="str">
        <f t="shared" si="0"/>
        <v>光猫01_/</v>
      </c>
      <c r="K67" s="64" t="s">
        <v>492</v>
      </c>
      <c r="L67" s="64" t="s">
        <v>499</v>
      </c>
      <c r="M67" s="64" t="e">
        <f>VLOOKUP($I67,[1]资产项汇总!$G:$M,4,0)</f>
        <v>#N/A</v>
      </c>
      <c r="N67" s="64" t="s">
        <v>499</v>
      </c>
      <c r="O67" s="65">
        <v>1</v>
      </c>
      <c r="P67" s="64" t="e">
        <f>VLOOKUP($I67,[1]资产项汇总!$G:$M,6,0)</f>
        <v>#N/A</v>
      </c>
      <c r="Q67" s="64" t="e">
        <f>VLOOKUP($I67,[1]资产项汇总!$G:$M,7,0)</f>
        <v>#N/A</v>
      </c>
      <c r="R67" s="63"/>
      <c r="S67" s="66"/>
    </row>
    <row r="68" ht="16.5" spans="1:19">
      <c r="A68" s="62">
        <v>17</v>
      </c>
      <c r="B68" s="62" t="s">
        <v>493</v>
      </c>
      <c r="C68" s="62" t="s">
        <v>494</v>
      </c>
      <c r="D68" s="62" t="s">
        <v>468</v>
      </c>
      <c r="E68" s="62" t="s">
        <v>557</v>
      </c>
      <c r="F68" s="62" t="s">
        <v>511</v>
      </c>
      <c r="G68" s="62" t="s">
        <v>541</v>
      </c>
      <c r="H68" s="62" t="s">
        <v>542</v>
      </c>
      <c r="I68" s="63"/>
      <c r="J68" s="62" t="str">
        <f t="shared" si="0"/>
        <v>试衣镜01_/</v>
      </c>
      <c r="K68" s="64" t="s">
        <v>492</v>
      </c>
      <c r="L68" s="64" t="s">
        <v>499</v>
      </c>
      <c r="M68" s="64" t="e">
        <f>VLOOKUP($I68,[1]资产项汇总!$G:$M,4,0)</f>
        <v>#N/A</v>
      </c>
      <c r="N68" s="64" t="s">
        <v>499</v>
      </c>
      <c r="O68" s="65">
        <v>1</v>
      </c>
      <c r="P68" s="64" t="e">
        <f>VLOOKUP($I68,[1]资产项汇总!$G:$M,6,0)</f>
        <v>#N/A</v>
      </c>
      <c r="Q68" s="64" t="e">
        <f>VLOOKUP($I68,[1]资产项汇总!$G:$M,7,0)</f>
        <v>#N/A</v>
      </c>
      <c r="R68" s="63"/>
      <c r="S68" s="66"/>
    </row>
    <row r="69" ht="16.5" spans="1:19">
      <c r="A69" s="62">
        <v>18</v>
      </c>
      <c r="B69" s="62" t="s">
        <v>493</v>
      </c>
      <c r="C69" s="62" t="s">
        <v>494</v>
      </c>
      <c r="D69" s="62" t="s">
        <v>468</v>
      </c>
      <c r="E69" s="62" t="s">
        <v>557</v>
      </c>
      <c r="F69" s="62" t="s">
        <v>496</v>
      </c>
      <c r="G69" s="62" t="s">
        <v>543</v>
      </c>
      <c r="H69" s="62" t="s">
        <v>544</v>
      </c>
      <c r="I69" s="63"/>
      <c r="J69" s="62" t="str">
        <f t="shared" ref="J69:J132" si="1">H69&amp;K69&amp;N69</f>
        <v>窗户02磨砂_/</v>
      </c>
      <c r="K69" s="64" t="s">
        <v>492</v>
      </c>
      <c r="L69" s="64" t="s">
        <v>499</v>
      </c>
      <c r="M69" s="64" t="e">
        <f>VLOOKUP($I69,[1]资产项汇总!$G:$M,4,0)</f>
        <v>#N/A</v>
      </c>
      <c r="N69" s="64" t="s">
        <v>499</v>
      </c>
      <c r="O69" s="65">
        <v>2</v>
      </c>
      <c r="P69" s="64" t="e">
        <f>VLOOKUP($I69,[1]资产项汇总!$G:$M,6,0)</f>
        <v>#N/A</v>
      </c>
      <c r="Q69" s="64" t="e">
        <f>VLOOKUP($I69,[1]资产项汇总!$G:$M,7,0)</f>
        <v>#N/A</v>
      </c>
      <c r="R69" s="63"/>
      <c r="S69" s="66"/>
    </row>
    <row r="70" ht="16.5" spans="1:19">
      <c r="A70" s="62">
        <v>19</v>
      </c>
      <c r="B70" s="62" t="s">
        <v>493</v>
      </c>
      <c r="C70" s="62" t="s">
        <v>494</v>
      </c>
      <c r="D70" s="62" t="s">
        <v>468</v>
      </c>
      <c r="E70" s="62" t="s">
        <v>557</v>
      </c>
      <c r="F70" s="62" t="s">
        <v>545</v>
      </c>
      <c r="G70" s="62" t="s">
        <v>546</v>
      </c>
      <c r="H70" s="62" t="s">
        <v>547</v>
      </c>
      <c r="I70" s="63"/>
      <c r="J70" s="62" t="str">
        <f t="shared" si="1"/>
        <v>布帘01_/</v>
      </c>
      <c r="K70" s="64" t="s">
        <v>492</v>
      </c>
      <c r="L70" s="64" t="s">
        <v>499</v>
      </c>
      <c r="M70" s="64" t="e">
        <f>VLOOKUP($I70,[1]资产项汇总!$G:$M,4,0)</f>
        <v>#N/A</v>
      </c>
      <c r="N70" s="64" t="s">
        <v>499</v>
      </c>
      <c r="O70" s="65">
        <v>1</v>
      </c>
      <c r="P70" s="64" t="e">
        <f>VLOOKUP($I70,[1]资产项汇总!$G:$M,6,0)</f>
        <v>#N/A</v>
      </c>
      <c r="Q70" s="64" t="e">
        <f>VLOOKUP($I70,[1]资产项汇总!$G:$M,7,0)</f>
        <v>#N/A</v>
      </c>
      <c r="R70" s="63"/>
      <c r="S70" s="66"/>
    </row>
    <row r="71" ht="16.5" spans="1:19">
      <c r="A71" s="62">
        <v>20</v>
      </c>
      <c r="B71" s="62" t="s">
        <v>493</v>
      </c>
      <c r="C71" s="62" t="s">
        <v>494</v>
      </c>
      <c r="D71" s="62" t="s">
        <v>468</v>
      </c>
      <c r="E71" s="62" t="s">
        <v>557</v>
      </c>
      <c r="F71" s="62" t="s">
        <v>545</v>
      </c>
      <c r="G71" s="62" t="s">
        <v>546</v>
      </c>
      <c r="H71" s="62" t="s">
        <v>592</v>
      </c>
      <c r="I71" s="63"/>
      <c r="J71" s="62" t="str">
        <f t="shared" si="1"/>
        <v>卷帘01_/</v>
      </c>
      <c r="K71" s="64" t="s">
        <v>492</v>
      </c>
      <c r="L71" s="64" t="s">
        <v>499</v>
      </c>
      <c r="M71" s="64" t="e">
        <f>VLOOKUP($I71,[1]资产项汇总!$G:$M,4,0)</f>
        <v>#N/A</v>
      </c>
      <c r="N71" s="64" t="s">
        <v>499</v>
      </c>
      <c r="O71" s="65">
        <v>1</v>
      </c>
      <c r="P71" s="64" t="e">
        <f>VLOOKUP($I71,[1]资产项汇总!$G:$M,6,0)</f>
        <v>#N/A</v>
      </c>
      <c r="Q71" s="64" t="e">
        <f>VLOOKUP($I71,[1]资产项汇总!$G:$M,7,0)</f>
        <v>#N/A</v>
      </c>
      <c r="R71" s="63"/>
      <c r="S71" s="66"/>
    </row>
    <row r="72" ht="16.5" spans="1:19">
      <c r="A72" s="62">
        <v>21</v>
      </c>
      <c r="B72" s="62" t="s">
        <v>493</v>
      </c>
      <c r="C72" s="62" t="s">
        <v>494</v>
      </c>
      <c r="D72" s="62" t="s">
        <v>468</v>
      </c>
      <c r="E72" s="62" t="s">
        <v>557</v>
      </c>
      <c r="F72" s="62" t="s">
        <v>511</v>
      </c>
      <c r="G72" s="62" t="s">
        <v>452</v>
      </c>
      <c r="H72" s="62" t="s">
        <v>593</v>
      </c>
      <c r="I72" s="63"/>
      <c r="J72" s="62" t="str">
        <f t="shared" si="1"/>
        <v>操作台03洗衣机1.2m_/</v>
      </c>
      <c r="K72" s="64" t="s">
        <v>492</v>
      </c>
      <c r="L72" s="64" t="s">
        <v>499</v>
      </c>
      <c r="M72" s="64" t="e">
        <f>VLOOKUP($I72,[1]资产项汇总!$G:$M,4,0)</f>
        <v>#N/A</v>
      </c>
      <c r="N72" s="64" t="s">
        <v>499</v>
      </c>
      <c r="O72" s="65">
        <v>1</v>
      </c>
      <c r="P72" s="64" t="e">
        <f>VLOOKUP($I72,[1]资产项汇总!$G:$M,6,0)</f>
        <v>#N/A</v>
      </c>
      <c r="Q72" s="64" t="e">
        <f>VLOOKUP($I72,[1]资产项汇总!$G:$M,7,0)</f>
        <v>#N/A</v>
      </c>
      <c r="R72" s="63"/>
      <c r="S72" s="66"/>
    </row>
    <row r="73" ht="16.5" spans="1:19">
      <c r="A73" s="62">
        <v>22</v>
      </c>
      <c r="B73" s="62" t="s">
        <v>493</v>
      </c>
      <c r="C73" s="62" t="s">
        <v>494</v>
      </c>
      <c r="D73" s="62" t="s">
        <v>468</v>
      </c>
      <c r="E73" s="62" t="s">
        <v>557</v>
      </c>
      <c r="F73" s="62" t="s">
        <v>511</v>
      </c>
      <c r="G73" s="62" t="s">
        <v>549</v>
      </c>
      <c r="H73" s="62" t="s">
        <v>550</v>
      </c>
      <c r="I73" s="63"/>
      <c r="J73" s="62" t="str">
        <f t="shared" si="1"/>
        <v>镜子01_/</v>
      </c>
      <c r="K73" s="64" t="s">
        <v>492</v>
      </c>
      <c r="L73" s="64" t="s">
        <v>499</v>
      </c>
      <c r="M73" s="64" t="e">
        <f>VLOOKUP($I73,[1]资产项汇总!$G:$M,4,0)</f>
        <v>#N/A</v>
      </c>
      <c r="N73" s="64" t="s">
        <v>499</v>
      </c>
      <c r="O73" s="65">
        <v>1</v>
      </c>
      <c r="P73" s="64" t="e">
        <f>VLOOKUP($I73,[1]资产项汇总!$G:$M,6,0)</f>
        <v>#N/A</v>
      </c>
      <c r="Q73" s="64" t="e">
        <f>VLOOKUP($I73,[1]资产项汇总!$G:$M,7,0)</f>
        <v>#N/A</v>
      </c>
      <c r="R73" s="63"/>
      <c r="S73" s="66"/>
    </row>
    <row r="74" ht="16.5" spans="1:19">
      <c r="A74" s="62">
        <v>23</v>
      </c>
      <c r="B74" s="62" t="s">
        <v>493</v>
      </c>
      <c r="C74" s="62" t="s">
        <v>494</v>
      </c>
      <c r="D74" s="62" t="s">
        <v>468</v>
      </c>
      <c r="E74" s="62" t="s">
        <v>557</v>
      </c>
      <c r="F74" s="62" t="s">
        <v>526</v>
      </c>
      <c r="G74" s="62" t="s">
        <v>551</v>
      </c>
      <c r="H74" s="62" t="s">
        <v>552</v>
      </c>
      <c r="I74" s="63"/>
      <c r="J74" s="62" t="str">
        <f t="shared" si="1"/>
        <v>镜前灯01_/</v>
      </c>
      <c r="K74" s="64" t="s">
        <v>492</v>
      </c>
      <c r="L74" s="64" t="s">
        <v>499</v>
      </c>
      <c r="M74" s="64" t="e">
        <f>VLOOKUP($I74,[1]资产项汇总!$G:$M,4,0)</f>
        <v>#N/A</v>
      </c>
      <c r="N74" s="64" t="s">
        <v>499</v>
      </c>
      <c r="O74" s="65">
        <v>1</v>
      </c>
      <c r="P74" s="64" t="e">
        <f>VLOOKUP($I74,[1]资产项汇总!$G:$M,6,0)</f>
        <v>#N/A</v>
      </c>
      <c r="Q74" s="64" t="e">
        <f>VLOOKUP($I74,[1]资产项汇总!$G:$M,7,0)</f>
        <v>#N/A</v>
      </c>
      <c r="R74" s="63"/>
      <c r="S74" s="66"/>
    </row>
    <row r="75" ht="16.5" spans="1:19">
      <c r="A75" s="62">
        <v>24</v>
      </c>
      <c r="B75" s="62" t="s">
        <v>493</v>
      </c>
      <c r="C75" s="62" t="s">
        <v>494</v>
      </c>
      <c r="D75" s="62" t="s">
        <v>468</v>
      </c>
      <c r="E75" s="62" t="s">
        <v>557</v>
      </c>
      <c r="F75" s="62" t="s">
        <v>533</v>
      </c>
      <c r="G75" s="62" t="s">
        <v>553</v>
      </c>
      <c r="H75" s="62" t="s">
        <v>554</v>
      </c>
      <c r="I75" s="63"/>
      <c r="J75" s="62" t="str">
        <f t="shared" si="1"/>
        <v>等电位箱01_/</v>
      </c>
      <c r="K75" s="64" t="s">
        <v>492</v>
      </c>
      <c r="L75" s="64" t="s">
        <v>499</v>
      </c>
      <c r="M75" s="64" t="e">
        <f>VLOOKUP($I75,[1]资产项汇总!$G:$M,4,0)</f>
        <v>#N/A</v>
      </c>
      <c r="N75" s="64" t="s">
        <v>499</v>
      </c>
      <c r="O75" s="65">
        <v>1</v>
      </c>
      <c r="P75" s="64" t="e">
        <f>VLOOKUP($I75,[1]资产项汇总!$G:$M,6,0)</f>
        <v>#N/A</v>
      </c>
      <c r="Q75" s="64" t="e">
        <f>VLOOKUP($I75,[1]资产项汇总!$G:$M,7,0)</f>
        <v>#N/A</v>
      </c>
      <c r="R75" s="63"/>
      <c r="S75" s="66"/>
    </row>
    <row r="76" ht="16.5" spans="1:19">
      <c r="A76" s="62">
        <v>25</v>
      </c>
      <c r="B76" s="62" t="s">
        <v>493</v>
      </c>
      <c r="C76" s="62" t="s">
        <v>494</v>
      </c>
      <c r="D76" s="62" t="s">
        <v>468</v>
      </c>
      <c r="E76" s="62" t="s">
        <v>557</v>
      </c>
      <c r="F76" s="62" t="s">
        <v>511</v>
      </c>
      <c r="G76" s="62" t="s">
        <v>453</v>
      </c>
      <c r="H76" s="62" t="s">
        <v>594</v>
      </c>
      <c r="I76" s="63"/>
      <c r="J76" s="62" t="str">
        <f t="shared" si="1"/>
        <v>书桌03小书桌0.6m_/</v>
      </c>
      <c r="K76" s="64" t="s">
        <v>492</v>
      </c>
      <c r="L76" s="64" t="s">
        <v>499</v>
      </c>
      <c r="M76" s="64" t="e">
        <f>VLOOKUP($I76,[1]资产项汇总!$G:$M,4,0)</f>
        <v>#N/A</v>
      </c>
      <c r="N76" s="64" t="s">
        <v>499</v>
      </c>
      <c r="O76" s="65">
        <v>1</v>
      </c>
      <c r="P76" s="64" t="e">
        <f>VLOOKUP($I76,[1]资产项汇总!$G:$M,6,0)</f>
        <v>#N/A</v>
      </c>
      <c r="Q76" s="64" t="e">
        <f>VLOOKUP($I76,[1]资产项汇总!$G:$M,7,0)</f>
        <v>#N/A</v>
      </c>
      <c r="R76" s="63"/>
      <c r="S76" s="66"/>
    </row>
    <row r="77" ht="16.5" spans="1:19">
      <c r="A77" s="62">
        <v>26</v>
      </c>
      <c r="B77" s="62" t="s">
        <v>493</v>
      </c>
      <c r="C77" s="62" t="s">
        <v>494</v>
      </c>
      <c r="D77" s="62" t="s">
        <v>468</v>
      </c>
      <c r="E77" s="62" t="s">
        <v>557</v>
      </c>
      <c r="F77" s="62" t="s">
        <v>511</v>
      </c>
      <c r="G77" s="62" t="s">
        <v>519</v>
      </c>
      <c r="H77" s="62" t="s">
        <v>595</v>
      </c>
      <c r="I77" s="63"/>
      <c r="J77" s="62" t="str">
        <f t="shared" si="1"/>
        <v>椅子01配书桌_/</v>
      </c>
      <c r="K77" s="64" t="s">
        <v>492</v>
      </c>
      <c r="L77" s="64" t="s">
        <v>499</v>
      </c>
      <c r="M77" s="64" t="e">
        <f>VLOOKUP($I77,[1]资产项汇总!$G:$M,4,0)</f>
        <v>#N/A</v>
      </c>
      <c r="N77" s="64" t="s">
        <v>499</v>
      </c>
      <c r="O77" s="65">
        <v>1</v>
      </c>
      <c r="P77" s="64" t="e">
        <f>VLOOKUP($I77,[1]资产项汇总!$G:$M,6,0)</f>
        <v>#N/A</v>
      </c>
      <c r="Q77" s="64" t="e">
        <f>VLOOKUP($I77,[1]资产项汇总!$G:$M,7,0)</f>
        <v>#N/A</v>
      </c>
      <c r="R77" s="63"/>
      <c r="S77" s="66"/>
    </row>
    <row r="78" ht="16.5" spans="1:19">
      <c r="A78" s="62">
        <v>27</v>
      </c>
      <c r="B78" s="62" t="s">
        <v>493</v>
      </c>
      <c r="C78" s="62" t="s">
        <v>494</v>
      </c>
      <c r="D78" s="62" t="s">
        <v>468</v>
      </c>
      <c r="E78" s="62" t="s">
        <v>557</v>
      </c>
      <c r="F78" s="62" t="s">
        <v>511</v>
      </c>
      <c r="G78" s="62" t="s">
        <v>555</v>
      </c>
      <c r="H78" s="62" t="s">
        <v>556</v>
      </c>
      <c r="I78" s="63"/>
      <c r="J78" s="62" t="str">
        <f t="shared" si="1"/>
        <v>墙上/天花晾衣杆_/</v>
      </c>
      <c r="K78" s="64" t="s">
        <v>492</v>
      </c>
      <c r="L78" s="64" t="s">
        <v>499</v>
      </c>
      <c r="M78" s="64" t="e">
        <f>VLOOKUP($I78,[1]资产项汇总!$G:$M,4,0)</f>
        <v>#N/A</v>
      </c>
      <c r="N78" s="64" t="s">
        <v>499</v>
      </c>
      <c r="O78" s="65">
        <v>1</v>
      </c>
      <c r="P78" s="64" t="e">
        <f>VLOOKUP($I78,[1]资产项汇总!$G:$M,6,0)</f>
        <v>#N/A</v>
      </c>
      <c r="Q78" s="64" t="e">
        <f>VLOOKUP($I78,[1]资产项汇总!$G:$M,7,0)</f>
        <v>#N/A</v>
      </c>
      <c r="R78" s="63"/>
      <c r="S78" s="66"/>
    </row>
    <row r="79" ht="16.5" spans="1:19">
      <c r="A79" s="62">
        <v>28</v>
      </c>
      <c r="B79" s="62" t="s">
        <v>493</v>
      </c>
      <c r="C79" s="62" t="s">
        <v>494</v>
      </c>
      <c r="D79" s="62" t="s">
        <v>468</v>
      </c>
      <c r="E79" s="62" t="s">
        <v>566</v>
      </c>
      <c r="F79" s="62" t="s">
        <v>496</v>
      </c>
      <c r="G79" s="62" t="s">
        <v>567</v>
      </c>
      <c r="H79" s="62" t="s">
        <v>568</v>
      </c>
      <c r="I79" s="63"/>
      <c r="J79" s="62" t="str">
        <f t="shared" si="1"/>
        <v>整体卫浴卫生间门01_/</v>
      </c>
      <c r="K79" s="64" t="s">
        <v>492</v>
      </c>
      <c r="L79" s="64" t="s">
        <v>499</v>
      </c>
      <c r="M79" s="64" t="e">
        <f>VLOOKUP($I79,[1]资产项汇总!$G:$M,4,0)</f>
        <v>#N/A</v>
      </c>
      <c r="N79" s="64" t="s">
        <v>499</v>
      </c>
      <c r="O79" s="65">
        <v>1</v>
      </c>
      <c r="P79" s="64" t="e">
        <f>VLOOKUP($I79,[1]资产项汇总!$G:$M,6,0)</f>
        <v>#N/A</v>
      </c>
      <c r="Q79" s="64" t="e">
        <f>VLOOKUP($I79,[1]资产项汇总!$G:$M,7,0)</f>
        <v>#N/A</v>
      </c>
      <c r="R79" s="63"/>
      <c r="S79" s="66"/>
    </row>
    <row r="80" ht="16.5" spans="1:19">
      <c r="A80" s="62">
        <v>29</v>
      </c>
      <c r="B80" s="62" t="s">
        <v>493</v>
      </c>
      <c r="C80" s="62" t="s">
        <v>494</v>
      </c>
      <c r="D80" s="62" t="s">
        <v>468</v>
      </c>
      <c r="E80" s="62" t="s">
        <v>566</v>
      </c>
      <c r="F80" s="62" t="s">
        <v>521</v>
      </c>
      <c r="G80" s="62" t="s">
        <v>569</v>
      </c>
      <c r="H80" s="62" t="s">
        <v>596</v>
      </c>
      <c r="I80" s="63"/>
      <c r="J80" s="62" t="str">
        <f t="shared" si="1"/>
        <v>整体卫浴排风扇01_/</v>
      </c>
      <c r="K80" s="64" t="s">
        <v>492</v>
      </c>
      <c r="L80" s="64" t="s">
        <v>499</v>
      </c>
      <c r="M80" s="64" t="e">
        <f>VLOOKUP($I80,[1]资产项汇总!$G:$M,4,0)</f>
        <v>#N/A</v>
      </c>
      <c r="N80" s="64" t="s">
        <v>499</v>
      </c>
      <c r="O80" s="65">
        <v>1</v>
      </c>
      <c r="P80" s="64" t="e">
        <f>VLOOKUP($I80,[1]资产项汇总!$G:$M,6,0)</f>
        <v>#N/A</v>
      </c>
      <c r="Q80" s="64" t="e">
        <f>VLOOKUP($I80,[1]资产项汇总!$G:$M,7,0)</f>
        <v>#N/A</v>
      </c>
      <c r="R80" s="63"/>
      <c r="S80" s="66"/>
    </row>
    <row r="81" ht="16.5" spans="1:19">
      <c r="A81" s="62">
        <v>30</v>
      </c>
      <c r="B81" s="62" t="s">
        <v>493</v>
      </c>
      <c r="C81" s="62" t="s">
        <v>494</v>
      </c>
      <c r="D81" s="62" t="s">
        <v>468</v>
      </c>
      <c r="E81" s="62" t="s">
        <v>566</v>
      </c>
      <c r="F81" s="62" t="s">
        <v>511</v>
      </c>
      <c r="G81" s="62" t="s">
        <v>549</v>
      </c>
      <c r="H81" s="62" t="s">
        <v>571</v>
      </c>
      <c r="I81" s="63"/>
      <c r="J81" s="62" t="str">
        <f t="shared" si="1"/>
        <v>整体卫浴镜子01_/</v>
      </c>
      <c r="K81" s="64" t="s">
        <v>492</v>
      </c>
      <c r="L81" s="64" t="s">
        <v>499</v>
      </c>
      <c r="M81" s="64" t="e">
        <f>VLOOKUP($I81,[1]资产项汇总!$G:$M,4,0)</f>
        <v>#N/A</v>
      </c>
      <c r="N81" s="64" t="s">
        <v>499</v>
      </c>
      <c r="O81" s="65">
        <v>1</v>
      </c>
      <c r="P81" s="64" t="e">
        <f>VLOOKUP($I81,[1]资产项汇总!$G:$M,6,0)</f>
        <v>#N/A</v>
      </c>
      <c r="Q81" s="64" t="e">
        <f>VLOOKUP($I81,[1]资产项汇总!$G:$M,7,0)</f>
        <v>#N/A</v>
      </c>
      <c r="R81" s="63"/>
      <c r="S81" s="66"/>
    </row>
    <row r="82" ht="16.5" spans="1:19">
      <c r="A82" s="62">
        <v>31</v>
      </c>
      <c r="B82" s="62" t="s">
        <v>493</v>
      </c>
      <c r="C82" s="62" t="s">
        <v>494</v>
      </c>
      <c r="D82" s="62" t="s">
        <v>468</v>
      </c>
      <c r="E82" s="62" t="s">
        <v>566</v>
      </c>
      <c r="F82" s="62" t="s">
        <v>526</v>
      </c>
      <c r="G82" s="62" t="s">
        <v>572</v>
      </c>
      <c r="H82" s="62" t="s">
        <v>573</v>
      </c>
      <c r="I82" s="63"/>
      <c r="J82" s="62" t="str">
        <f t="shared" si="1"/>
        <v>整体卫浴厨卫灯01_/</v>
      </c>
      <c r="K82" s="64" t="s">
        <v>492</v>
      </c>
      <c r="L82" s="64" t="s">
        <v>499</v>
      </c>
      <c r="M82" s="64" t="e">
        <f>VLOOKUP($I82,[1]资产项汇总!$G:$M,4,0)</f>
        <v>#N/A</v>
      </c>
      <c r="N82" s="64" t="s">
        <v>499</v>
      </c>
      <c r="O82" s="65">
        <v>1</v>
      </c>
      <c r="P82" s="64" t="e">
        <f>VLOOKUP($I82,[1]资产项汇总!$G:$M,6,0)</f>
        <v>#N/A</v>
      </c>
      <c r="Q82" s="64" t="e">
        <f>VLOOKUP($I82,[1]资产项汇总!$G:$M,7,0)</f>
        <v>#N/A</v>
      </c>
      <c r="R82" s="63"/>
      <c r="S82" s="66"/>
    </row>
    <row r="83" ht="16.5" spans="1:19">
      <c r="A83" s="62">
        <v>32</v>
      </c>
      <c r="B83" s="62" t="s">
        <v>493</v>
      </c>
      <c r="C83" s="62" t="s">
        <v>494</v>
      </c>
      <c r="D83" s="62" t="s">
        <v>468</v>
      </c>
      <c r="E83" s="62" t="s">
        <v>566</v>
      </c>
      <c r="F83" s="62" t="s">
        <v>574</v>
      </c>
      <c r="G83" s="62" t="s">
        <v>575</v>
      </c>
      <c r="H83" s="62" t="s">
        <v>576</v>
      </c>
      <c r="I83" s="63"/>
      <c r="J83" s="62" t="str">
        <f t="shared" si="1"/>
        <v>整体卫浴淋浴手持花洒01_/</v>
      </c>
      <c r="K83" s="64" t="s">
        <v>492</v>
      </c>
      <c r="L83" s="64" t="s">
        <v>499</v>
      </c>
      <c r="M83" s="64" t="e">
        <f>VLOOKUP($I83,[1]资产项汇总!$G:$M,4,0)</f>
        <v>#N/A</v>
      </c>
      <c r="N83" s="64" t="s">
        <v>499</v>
      </c>
      <c r="O83" s="65">
        <v>1</v>
      </c>
      <c r="P83" s="64" t="e">
        <f>VLOOKUP($I83,[1]资产项汇总!$G:$M,6,0)</f>
        <v>#N/A</v>
      </c>
      <c r="Q83" s="64" t="e">
        <f>VLOOKUP($I83,[1]资产项汇总!$G:$M,7,0)</f>
        <v>#N/A</v>
      </c>
      <c r="R83" s="63"/>
      <c r="S83" s="66"/>
    </row>
    <row r="84" ht="16.5" spans="1:19">
      <c r="A84" s="62">
        <v>33</v>
      </c>
      <c r="B84" s="62" t="s">
        <v>493</v>
      </c>
      <c r="C84" s="62" t="s">
        <v>494</v>
      </c>
      <c r="D84" s="62" t="s">
        <v>468</v>
      </c>
      <c r="E84" s="62" t="s">
        <v>566</v>
      </c>
      <c r="F84" s="62" t="s">
        <v>574</v>
      </c>
      <c r="G84" s="62" t="s">
        <v>577</v>
      </c>
      <c r="H84" s="62" t="s">
        <v>578</v>
      </c>
      <c r="I84" s="63"/>
      <c r="J84" s="62" t="str">
        <f t="shared" si="1"/>
        <v>整体卫浴坐便器01_/</v>
      </c>
      <c r="K84" s="64" t="s">
        <v>492</v>
      </c>
      <c r="L84" s="64" t="s">
        <v>499</v>
      </c>
      <c r="M84" s="64" t="e">
        <f>VLOOKUP($I84,[1]资产项汇总!$G:$M,4,0)</f>
        <v>#N/A</v>
      </c>
      <c r="N84" s="64" t="s">
        <v>499</v>
      </c>
      <c r="O84" s="65">
        <v>1</v>
      </c>
      <c r="P84" s="64" t="e">
        <f>VLOOKUP($I84,[1]资产项汇总!$G:$M,6,0)</f>
        <v>#N/A</v>
      </c>
      <c r="Q84" s="64" t="e">
        <f>VLOOKUP($I84,[1]资产项汇总!$G:$M,7,0)</f>
        <v>#N/A</v>
      </c>
      <c r="R84" s="63"/>
      <c r="S84" s="66"/>
    </row>
    <row r="85" ht="16.5" spans="1:19">
      <c r="A85" s="62">
        <v>34</v>
      </c>
      <c r="B85" s="62" t="s">
        <v>493</v>
      </c>
      <c r="C85" s="62" t="s">
        <v>494</v>
      </c>
      <c r="D85" s="62" t="s">
        <v>468</v>
      </c>
      <c r="E85" s="62" t="s">
        <v>566</v>
      </c>
      <c r="F85" s="62" t="s">
        <v>574</v>
      </c>
      <c r="G85" s="62" t="s">
        <v>579</v>
      </c>
      <c r="H85" s="62" t="s">
        <v>580</v>
      </c>
      <c r="I85" s="63"/>
      <c r="J85" s="62" t="str">
        <f t="shared" si="1"/>
        <v>整体卫浴毛巾架01_/</v>
      </c>
      <c r="K85" s="64" t="s">
        <v>492</v>
      </c>
      <c r="L85" s="64" t="s">
        <v>499</v>
      </c>
      <c r="M85" s="64" t="e">
        <f>VLOOKUP($I85,[1]资产项汇总!$G:$M,4,0)</f>
        <v>#N/A</v>
      </c>
      <c r="N85" s="64" t="s">
        <v>499</v>
      </c>
      <c r="O85" s="65">
        <v>1</v>
      </c>
      <c r="P85" s="64" t="e">
        <f>VLOOKUP($I85,[1]资产项汇总!$G:$M,6,0)</f>
        <v>#N/A</v>
      </c>
      <c r="Q85" s="64" t="e">
        <f>VLOOKUP($I85,[1]资产项汇总!$G:$M,7,0)</f>
        <v>#N/A</v>
      </c>
      <c r="R85" s="63"/>
      <c r="S85" s="66"/>
    </row>
    <row r="86" ht="16.5" spans="1:19">
      <c r="A86" s="62">
        <v>35</v>
      </c>
      <c r="B86" s="62" t="s">
        <v>493</v>
      </c>
      <c r="C86" s="62" t="s">
        <v>494</v>
      </c>
      <c r="D86" s="62" t="s">
        <v>468</v>
      </c>
      <c r="E86" s="62" t="s">
        <v>566</v>
      </c>
      <c r="F86" s="62" t="s">
        <v>521</v>
      </c>
      <c r="G86" s="62" t="s">
        <v>581</v>
      </c>
      <c r="H86" s="62" t="s">
        <v>597</v>
      </c>
      <c r="I86" s="63"/>
      <c r="J86" s="62" t="str">
        <f t="shared" si="1"/>
        <v>电热水器01-40L_/</v>
      </c>
      <c r="K86" s="64" t="s">
        <v>492</v>
      </c>
      <c r="L86" s="64" t="s">
        <v>499</v>
      </c>
      <c r="M86" s="64" t="e">
        <f>VLOOKUP($I86,[1]资产项汇总!$G:$M,4,0)</f>
        <v>#N/A</v>
      </c>
      <c r="N86" s="64" t="s">
        <v>499</v>
      </c>
      <c r="O86" s="65">
        <v>1</v>
      </c>
      <c r="P86" s="64" t="e">
        <f>VLOOKUP($I86,[1]资产项汇总!$G:$M,6,0)</f>
        <v>#N/A</v>
      </c>
      <c r="Q86" s="64" t="e">
        <f>VLOOKUP($I86,[1]资产项汇总!$G:$M,7,0)</f>
        <v>#N/A</v>
      </c>
      <c r="R86" s="63"/>
      <c r="S86" s="66"/>
    </row>
    <row r="87" ht="16.5" spans="1:19">
      <c r="A87" s="62">
        <v>36</v>
      </c>
      <c r="B87" s="62" t="s">
        <v>493</v>
      </c>
      <c r="C87" s="62" t="s">
        <v>494</v>
      </c>
      <c r="D87" s="62" t="s">
        <v>468</v>
      </c>
      <c r="E87" s="62" t="s">
        <v>566</v>
      </c>
      <c r="F87" s="62" t="s">
        <v>502</v>
      </c>
      <c r="G87" s="62" t="s">
        <v>583</v>
      </c>
      <c r="H87" s="62" t="s">
        <v>584</v>
      </c>
      <c r="I87" s="63"/>
      <c r="J87" s="62" t="str">
        <f t="shared" si="1"/>
        <v>防水贴纸_/</v>
      </c>
      <c r="K87" s="64" t="s">
        <v>492</v>
      </c>
      <c r="L87" s="64" t="s">
        <v>499</v>
      </c>
      <c r="M87" s="64" t="e">
        <f>VLOOKUP($I87,[1]资产项汇总!$G:$M,4,0)</f>
        <v>#N/A</v>
      </c>
      <c r="N87" s="64" t="s">
        <v>499</v>
      </c>
      <c r="O87" s="65">
        <v>1</v>
      </c>
      <c r="P87" s="64" t="e">
        <f>VLOOKUP($I87,[1]资产项汇总!$G:$M,6,0)</f>
        <v>#N/A</v>
      </c>
      <c r="Q87" s="64" t="e">
        <f>VLOOKUP($I87,[1]资产项汇总!$G:$M,7,0)</f>
        <v>#N/A</v>
      </c>
      <c r="R87" s="63"/>
      <c r="S87" s="66"/>
    </row>
    <row r="88" ht="16.5" spans="1:19">
      <c r="A88" s="62">
        <v>37</v>
      </c>
      <c r="B88" s="62" t="s">
        <v>493</v>
      </c>
      <c r="C88" s="62" t="s">
        <v>494</v>
      </c>
      <c r="D88" s="62" t="s">
        <v>468</v>
      </c>
      <c r="E88" s="62" t="s">
        <v>566</v>
      </c>
      <c r="F88" s="62" t="s">
        <v>574</v>
      </c>
      <c r="G88" s="62" t="s">
        <v>585</v>
      </c>
      <c r="H88" s="62" t="s">
        <v>586</v>
      </c>
      <c r="I88" s="63"/>
      <c r="J88" s="62" t="str">
        <f t="shared" si="1"/>
        <v>整体卫浴悬挂式洗手盆01_/</v>
      </c>
      <c r="K88" s="64" t="s">
        <v>492</v>
      </c>
      <c r="L88" s="64" t="s">
        <v>499</v>
      </c>
      <c r="M88" s="64" t="e">
        <f>VLOOKUP($I88,[1]资产项汇总!$G:$M,4,0)</f>
        <v>#N/A</v>
      </c>
      <c r="N88" s="64" t="s">
        <v>499</v>
      </c>
      <c r="O88" s="65">
        <v>1</v>
      </c>
      <c r="P88" s="64" t="e">
        <f>VLOOKUP($I88,[1]资产项汇总!$G:$M,6,0)</f>
        <v>#N/A</v>
      </c>
      <c r="Q88" s="64" t="e">
        <f>VLOOKUP($I88,[1]资产项汇总!$G:$M,7,0)</f>
        <v>#N/A</v>
      </c>
      <c r="R88" s="63"/>
      <c r="S88" s="66"/>
    </row>
    <row r="89" ht="16.5" spans="1:19">
      <c r="A89" s="62">
        <v>38</v>
      </c>
      <c r="B89" s="62" t="s">
        <v>493</v>
      </c>
      <c r="C89" s="62" t="s">
        <v>494</v>
      </c>
      <c r="D89" s="62" t="s">
        <v>468</v>
      </c>
      <c r="E89" s="62" t="s">
        <v>566</v>
      </c>
      <c r="F89" s="62" t="s">
        <v>574</v>
      </c>
      <c r="G89" s="62" t="s">
        <v>587</v>
      </c>
      <c r="H89" s="62" t="s">
        <v>588</v>
      </c>
      <c r="I89" s="63"/>
      <c r="J89" s="62" t="str">
        <f t="shared" si="1"/>
        <v>整体卫浴三角浴篮01_/</v>
      </c>
      <c r="K89" s="64" t="s">
        <v>492</v>
      </c>
      <c r="L89" s="64" t="s">
        <v>499</v>
      </c>
      <c r="M89" s="64" t="e">
        <f>VLOOKUP($I89,[1]资产项汇总!$G:$M,4,0)</f>
        <v>#N/A</v>
      </c>
      <c r="N89" s="64" t="s">
        <v>499</v>
      </c>
      <c r="O89" s="65">
        <v>1</v>
      </c>
      <c r="P89" s="64" t="e">
        <f>VLOOKUP($I89,[1]资产项汇总!$G:$M,6,0)</f>
        <v>#N/A</v>
      </c>
      <c r="Q89" s="64" t="e">
        <f>VLOOKUP($I89,[1]资产项汇总!$G:$M,7,0)</f>
        <v>#N/A</v>
      </c>
      <c r="R89" s="63"/>
      <c r="S89" s="66"/>
    </row>
    <row r="90" ht="16.5" spans="1:19">
      <c r="A90" s="62">
        <v>39</v>
      </c>
      <c r="B90" s="62" t="s">
        <v>493</v>
      </c>
      <c r="C90" s="62" t="s">
        <v>494</v>
      </c>
      <c r="D90" s="62" t="s">
        <v>468</v>
      </c>
      <c r="E90" s="62" t="s">
        <v>566</v>
      </c>
      <c r="F90" s="62" t="s">
        <v>574</v>
      </c>
      <c r="G90" s="62" t="s">
        <v>589</v>
      </c>
      <c r="H90" s="62" t="s">
        <v>590</v>
      </c>
      <c r="I90" s="63"/>
      <c r="J90" s="62" t="str">
        <f t="shared" si="1"/>
        <v>整体卫浴纸巾架01_/</v>
      </c>
      <c r="K90" s="64" t="s">
        <v>492</v>
      </c>
      <c r="L90" s="64" t="s">
        <v>499</v>
      </c>
      <c r="M90" s="64" t="e">
        <f>VLOOKUP($I90,[1]资产项汇总!$G:$M,4,0)</f>
        <v>#N/A</v>
      </c>
      <c r="N90" s="64" t="s">
        <v>499</v>
      </c>
      <c r="O90" s="65">
        <v>1</v>
      </c>
      <c r="P90" s="64" t="e">
        <f>VLOOKUP($I90,[1]资产项汇总!$G:$M,6,0)</f>
        <v>#N/A</v>
      </c>
      <c r="Q90" s="64" t="e">
        <f>VLOOKUP($I90,[1]资产项汇总!$G:$M,7,0)</f>
        <v>#N/A</v>
      </c>
      <c r="R90" s="63"/>
      <c r="S90" s="66"/>
    </row>
    <row r="91" ht="16.5" spans="1:19">
      <c r="A91" s="62">
        <v>1</v>
      </c>
      <c r="B91" s="62" t="s">
        <v>493</v>
      </c>
      <c r="C91" s="62" t="s">
        <v>494</v>
      </c>
      <c r="D91" s="62" t="s">
        <v>469</v>
      </c>
      <c r="E91" s="62" t="s">
        <v>495</v>
      </c>
      <c r="F91" s="62" t="s">
        <v>496</v>
      </c>
      <c r="G91" s="62" t="s">
        <v>497</v>
      </c>
      <c r="H91" s="62" t="s">
        <v>498</v>
      </c>
      <c r="I91" s="63"/>
      <c r="J91" s="62" t="str">
        <f t="shared" si="1"/>
        <v>入户门02钢门_/</v>
      </c>
      <c r="K91" s="64" t="s">
        <v>492</v>
      </c>
      <c r="L91" s="64" t="s">
        <v>499</v>
      </c>
      <c r="M91" s="64" t="e">
        <f>VLOOKUP($I91,[1]资产项汇总!$G:$M,4,0)</f>
        <v>#N/A</v>
      </c>
      <c r="N91" s="64" t="s">
        <v>499</v>
      </c>
      <c r="O91" s="65">
        <v>1</v>
      </c>
      <c r="P91" s="64" t="e">
        <f>VLOOKUP($I91,[1]资产项汇总!$G:$M,6,0)</f>
        <v>#N/A</v>
      </c>
      <c r="Q91" s="64" t="e">
        <f>VLOOKUP($I91,[1]资产项汇总!$G:$M,7,0)</f>
        <v>#N/A</v>
      </c>
      <c r="R91" s="63"/>
      <c r="S91" s="66"/>
    </row>
    <row r="92" ht="16.5" spans="1:19">
      <c r="A92" s="62">
        <v>2</v>
      </c>
      <c r="B92" s="62" t="s">
        <v>493</v>
      </c>
      <c r="C92" s="62" t="s">
        <v>494</v>
      </c>
      <c r="D92" s="62" t="s">
        <v>469</v>
      </c>
      <c r="E92" s="62" t="s">
        <v>495</v>
      </c>
      <c r="F92" s="62" t="s">
        <v>496</v>
      </c>
      <c r="G92" s="62" t="s">
        <v>500</v>
      </c>
      <c r="H92" s="62" t="s">
        <v>501</v>
      </c>
      <c r="I92" s="63"/>
      <c r="J92" s="62" t="str">
        <f t="shared" si="1"/>
        <v>智能门锁01_/</v>
      </c>
      <c r="K92" s="64" t="s">
        <v>492</v>
      </c>
      <c r="L92" s="64" t="s">
        <v>499</v>
      </c>
      <c r="M92" s="64" t="e">
        <f>VLOOKUP($I92,[1]资产项汇总!$G:$M,4,0)</f>
        <v>#N/A</v>
      </c>
      <c r="N92" s="64" t="s">
        <v>499</v>
      </c>
      <c r="O92" s="65">
        <v>1</v>
      </c>
      <c r="P92" s="64" t="e">
        <f>VLOOKUP($I92,[1]资产项汇总!$G:$M,6,0)</f>
        <v>#N/A</v>
      </c>
      <c r="Q92" s="64" t="e">
        <f>VLOOKUP($I92,[1]资产项汇总!$G:$M,7,0)</f>
        <v>#N/A</v>
      </c>
      <c r="R92" s="63"/>
      <c r="S92" s="66"/>
    </row>
    <row r="93" ht="16.5" spans="1:19">
      <c r="A93" s="62">
        <v>3</v>
      </c>
      <c r="B93" s="62" t="s">
        <v>493</v>
      </c>
      <c r="C93" s="62" t="s">
        <v>494</v>
      </c>
      <c r="D93" s="62" t="s">
        <v>469</v>
      </c>
      <c r="E93" s="62" t="s">
        <v>495</v>
      </c>
      <c r="F93" s="62" t="s">
        <v>502</v>
      </c>
      <c r="G93" s="62" t="s">
        <v>503</v>
      </c>
      <c r="H93" s="62" t="s">
        <v>504</v>
      </c>
      <c r="I93" s="63"/>
      <c r="J93" s="62" t="str">
        <f t="shared" si="1"/>
        <v>门牌号01_/</v>
      </c>
      <c r="K93" s="64" t="s">
        <v>492</v>
      </c>
      <c r="L93" s="64" t="s">
        <v>499</v>
      </c>
      <c r="M93" s="64" t="e">
        <f>VLOOKUP($I93,[1]资产项汇总!$G:$M,4,0)</f>
        <v>#N/A</v>
      </c>
      <c r="N93" s="64" t="s">
        <v>499</v>
      </c>
      <c r="O93" s="65">
        <v>1</v>
      </c>
      <c r="P93" s="64" t="e">
        <f>VLOOKUP($I93,[1]资产项汇总!$G:$M,6,0)</f>
        <v>#N/A</v>
      </c>
      <c r="Q93" s="64" t="e">
        <f>VLOOKUP($I93,[1]资产项汇总!$G:$M,7,0)</f>
        <v>#N/A</v>
      </c>
      <c r="R93" s="63"/>
      <c r="S93" s="66"/>
    </row>
    <row r="94" ht="16.5" spans="1:19">
      <c r="A94" s="62">
        <v>4</v>
      </c>
      <c r="B94" s="62" t="s">
        <v>493</v>
      </c>
      <c r="C94" s="62" t="s">
        <v>494</v>
      </c>
      <c r="D94" s="62" t="s">
        <v>469</v>
      </c>
      <c r="E94" s="62" t="s">
        <v>495</v>
      </c>
      <c r="F94" s="62" t="s">
        <v>502</v>
      </c>
      <c r="G94" s="62" t="s">
        <v>505</v>
      </c>
      <c r="H94" s="62" t="s">
        <v>506</v>
      </c>
      <c r="I94" s="63"/>
      <c r="J94" s="62" t="str">
        <f t="shared" si="1"/>
        <v>户内公告栏01_/</v>
      </c>
      <c r="K94" s="64" t="s">
        <v>492</v>
      </c>
      <c r="L94" s="64" t="s">
        <v>499</v>
      </c>
      <c r="M94" s="64" t="e">
        <f>VLOOKUP($I94,[1]资产项汇总!$G:$M,4,0)</f>
        <v>#N/A</v>
      </c>
      <c r="N94" s="64" t="s">
        <v>499</v>
      </c>
      <c r="O94" s="65">
        <v>1</v>
      </c>
      <c r="P94" s="64" t="e">
        <f>VLOOKUP($I94,[1]资产项汇总!$G:$M,6,0)</f>
        <v>#N/A</v>
      </c>
      <c r="Q94" s="64" t="e">
        <f>VLOOKUP($I94,[1]资产项汇总!$G:$M,7,0)</f>
        <v>#N/A</v>
      </c>
      <c r="R94" s="63"/>
      <c r="S94" s="66"/>
    </row>
    <row r="95" ht="16.5" spans="1:19">
      <c r="A95" s="62">
        <v>5</v>
      </c>
      <c r="B95" s="62" t="s">
        <v>493</v>
      </c>
      <c r="C95" s="62" t="s">
        <v>494</v>
      </c>
      <c r="D95" s="62" t="s">
        <v>469</v>
      </c>
      <c r="E95" s="62" t="s">
        <v>557</v>
      </c>
      <c r="F95" s="62" t="s">
        <v>508</v>
      </c>
      <c r="G95" s="62" t="s">
        <v>509</v>
      </c>
      <c r="H95" s="62" t="s">
        <v>510</v>
      </c>
      <c r="I95" s="63"/>
      <c r="J95" s="62" t="str">
        <f t="shared" si="1"/>
        <v>灭火器01_/</v>
      </c>
      <c r="K95" s="64" t="s">
        <v>492</v>
      </c>
      <c r="L95" s="64" t="s">
        <v>499</v>
      </c>
      <c r="M95" s="64" t="e">
        <f>VLOOKUP($I95,[1]资产项汇总!$G:$M,4,0)</f>
        <v>#N/A</v>
      </c>
      <c r="N95" s="64" t="s">
        <v>499</v>
      </c>
      <c r="O95" s="65">
        <v>1</v>
      </c>
      <c r="P95" s="64" t="e">
        <f>VLOOKUP($I95,[1]资产项汇总!$G:$M,6,0)</f>
        <v>#N/A</v>
      </c>
      <c r="Q95" s="64" t="e">
        <f>VLOOKUP($I95,[1]资产项汇总!$G:$M,7,0)</f>
        <v>#N/A</v>
      </c>
      <c r="R95" s="63"/>
      <c r="S95" s="66"/>
    </row>
    <row r="96" ht="16.5" spans="1:19">
      <c r="A96" s="62">
        <v>6</v>
      </c>
      <c r="B96" s="62" t="s">
        <v>493</v>
      </c>
      <c r="C96" s="62" t="s">
        <v>494</v>
      </c>
      <c r="D96" s="62" t="s">
        <v>469</v>
      </c>
      <c r="E96" s="62" t="s">
        <v>557</v>
      </c>
      <c r="F96" s="62" t="s">
        <v>511</v>
      </c>
      <c r="G96" s="62" t="s">
        <v>512</v>
      </c>
      <c r="H96" s="62" t="s">
        <v>513</v>
      </c>
      <c r="I96" s="63"/>
      <c r="J96" s="62" t="str">
        <f t="shared" si="1"/>
        <v>鞋柜01_/</v>
      </c>
      <c r="K96" s="64" t="s">
        <v>492</v>
      </c>
      <c r="L96" s="64" t="s">
        <v>499</v>
      </c>
      <c r="M96" s="64" t="e">
        <f>VLOOKUP($I96,[1]资产项汇总!$G:$M,4,0)</f>
        <v>#N/A</v>
      </c>
      <c r="N96" s="64" t="s">
        <v>499</v>
      </c>
      <c r="O96" s="65">
        <v>1</v>
      </c>
      <c r="P96" s="64" t="e">
        <f>VLOOKUP($I96,[1]资产项汇总!$G:$M,6,0)</f>
        <v>#N/A</v>
      </c>
      <c r="Q96" s="64" t="e">
        <f>VLOOKUP($I96,[1]资产项汇总!$G:$M,7,0)</f>
        <v>#N/A</v>
      </c>
      <c r="R96" s="63"/>
      <c r="S96" s="66"/>
    </row>
    <row r="97" ht="16.5" spans="1:19">
      <c r="A97" s="62">
        <v>7</v>
      </c>
      <c r="B97" s="62" t="s">
        <v>493</v>
      </c>
      <c r="C97" s="62" t="s">
        <v>494</v>
      </c>
      <c r="D97" s="62" t="s">
        <v>469</v>
      </c>
      <c r="E97" s="62" t="s">
        <v>557</v>
      </c>
      <c r="F97" s="62" t="s">
        <v>511</v>
      </c>
      <c r="G97" s="62" t="s">
        <v>560</v>
      </c>
      <c r="H97" s="62" t="s">
        <v>561</v>
      </c>
      <c r="I97" s="63"/>
      <c r="J97" s="62" t="str">
        <f t="shared" si="1"/>
        <v>标准床01-1.5m宽_/</v>
      </c>
      <c r="K97" s="64" t="s">
        <v>492</v>
      </c>
      <c r="L97" s="64" t="s">
        <v>499</v>
      </c>
      <c r="M97" s="64" t="e">
        <f>VLOOKUP($I97,[1]资产项汇总!$G:$M,4,0)</f>
        <v>#N/A</v>
      </c>
      <c r="N97" s="64" t="s">
        <v>499</v>
      </c>
      <c r="O97" s="65">
        <v>1</v>
      </c>
      <c r="P97" s="64" t="e">
        <f>VLOOKUP($I97,[1]资产项汇总!$G:$M,6,0)</f>
        <v>#N/A</v>
      </c>
      <c r="Q97" s="64" t="e">
        <f>VLOOKUP($I97,[1]资产项汇总!$G:$M,7,0)</f>
        <v>#N/A</v>
      </c>
      <c r="R97" s="63"/>
      <c r="S97" s="66"/>
    </row>
    <row r="98" ht="16.5" spans="1:19">
      <c r="A98" s="62">
        <v>8</v>
      </c>
      <c r="B98" s="62" t="s">
        <v>493</v>
      </c>
      <c r="C98" s="62" t="s">
        <v>494</v>
      </c>
      <c r="D98" s="62" t="s">
        <v>469</v>
      </c>
      <c r="E98" s="62" t="s">
        <v>557</v>
      </c>
      <c r="F98" s="62" t="s">
        <v>511</v>
      </c>
      <c r="G98" s="62" t="s">
        <v>562</v>
      </c>
      <c r="H98" s="62" t="s">
        <v>563</v>
      </c>
      <c r="I98" s="63"/>
      <c r="J98" s="62" t="str">
        <f t="shared" si="1"/>
        <v>床垫01-1.5m_/</v>
      </c>
      <c r="K98" s="64" t="s">
        <v>492</v>
      </c>
      <c r="L98" s="64" t="s">
        <v>499</v>
      </c>
      <c r="M98" s="64" t="e">
        <f>VLOOKUP($I98,[1]资产项汇总!$G:$M,4,0)</f>
        <v>#N/A</v>
      </c>
      <c r="N98" s="64" t="s">
        <v>499</v>
      </c>
      <c r="O98" s="65">
        <v>1</v>
      </c>
      <c r="P98" s="64" t="e">
        <f>VLOOKUP($I98,[1]资产项汇总!$G:$M,6,0)</f>
        <v>#N/A</v>
      </c>
      <c r="Q98" s="64" t="e">
        <f>VLOOKUP($I98,[1]资产项汇总!$G:$M,7,0)</f>
        <v>#N/A</v>
      </c>
      <c r="R98" s="63"/>
      <c r="S98" s="66"/>
    </row>
    <row r="99" ht="16.5" spans="1:19">
      <c r="A99" s="62">
        <v>9</v>
      </c>
      <c r="B99" s="62" t="s">
        <v>493</v>
      </c>
      <c r="C99" s="62" t="s">
        <v>494</v>
      </c>
      <c r="D99" s="62" t="s">
        <v>469</v>
      </c>
      <c r="E99" s="62" t="s">
        <v>557</v>
      </c>
      <c r="F99" s="62" t="s">
        <v>511</v>
      </c>
      <c r="G99" s="62" t="s">
        <v>564</v>
      </c>
      <c r="H99" s="62" t="s">
        <v>591</v>
      </c>
      <c r="I99" s="63"/>
      <c r="J99" s="62" t="str">
        <f t="shared" si="1"/>
        <v>衣柜02-通用有冰箱_/</v>
      </c>
      <c r="K99" s="64" t="s">
        <v>492</v>
      </c>
      <c r="L99" s="64" t="s">
        <v>499</v>
      </c>
      <c r="M99" s="64" t="e">
        <f>VLOOKUP($I99,[1]资产项汇总!$G:$M,4,0)</f>
        <v>#N/A</v>
      </c>
      <c r="N99" s="64" t="s">
        <v>499</v>
      </c>
      <c r="O99" s="65">
        <v>1</v>
      </c>
      <c r="P99" s="64" t="e">
        <f>VLOOKUP($I99,[1]资产项汇总!$G:$M,6,0)</f>
        <v>#N/A</v>
      </c>
      <c r="Q99" s="64" t="e">
        <f>VLOOKUP($I99,[1]资产项汇总!$G:$M,7,0)</f>
        <v>#N/A</v>
      </c>
      <c r="R99" s="63"/>
      <c r="S99" s="66"/>
    </row>
    <row r="100" ht="16.5" spans="1:19">
      <c r="A100" s="62">
        <v>10</v>
      </c>
      <c r="B100" s="62" t="s">
        <v>493</v>
      </c>
      <c r="C100" s="62" t="s">
        <v>494</v>
      </c>
      <c r="D100" s="62" t="s">
        <v>469</v>
      </c>
      <c r="E100" s="62" t="s">
        <v>557</v>
      </c>
      <c r="F100" s="62" t="s">
        <v>521</v>
      </c>
      <c r="G100" s="62" t="s">
        <v>522</v>
      </c>
      <c r="H100" s="62" t="s">
        <v>523</v>
      </c>
      <c r="I100" s="63"/>
      <c r="J100" s="62" t="str">
        <f t="shared" si="1"/>
        <v>冷暖空调01-1p_/</v>
      </c>
      <c r="K100" s="64" t="s">
        <v>492</v>
      </c>
      <c r="L100" s="64" t="s">
        <v>499</v>
      </c>
      <c r="M100" s="64" t="e">
        <f>VLOOKUP($I100,[1]资产项汇总!$G:$M,4,0)</f>
        <v>#N/A</v>
      </c>
      <c r="N100" s="64" t="s">
        <v>499</v>
      </c>
      <c r="O100" s="65">
        <v>1</v>
      </c>
      <c r="P100" s="64" t="e">
        <f>VLOOKUP($I100,[1]资产项汇总!$G:$M,6,0)</f>
        <v>#N/A</v>
      </c>
      <c r="Q100" s="64" t="e">
        <f>VLOOKUP($I100,[1]资产项汇总!$G:$M,7,0)</f>
        <v>#N/A</v>
      </c>
      <c r="R100" s="63"/>
      <c r="S100" s="66"/>
    </row>
    <row r="101" ht="16.5" spans="1:19">
      <c r="A101" s="62">
        <v>11</v>
      </c>
      <c r="B101" s="62" t="s">
        <v>493</v>
      </c>
      <c r="C101" s="62" t="s">
        <v>494</v>
      </c>
      <c r="D101" s="62" t="s">
        <v>469</v>
      </c>
      <c r="E101" s="62" t="s">
        <v>557</v>
      </c>
      <c r="F101" s="62" t="s">
        <v>521</v>
      </c>
      <c r="G101" s="62" t="s">
        <v>524</v>
      </c>
      <c r="H101" s="62" t="s">
        <v>525</v>
      </c>
      <c r="I101" s="63"/>
      <c r="J101" s="62" t="str">
        <f t="shared" si="1"/>
        <v>空调遥控器01_/</v>
      </c>
      <c r="K101" s="64" t="s">
        <v>492</v>
      </c>
      <c r="L101" s="64" t="s">
        <v>499</v>
      </c>
      <c r="M101" s="64" t="e">
        <f>VLOOKUP($I101,[1]资产项汇总!$G:$M,4,0)</f>
        <v>#N/A</v>
      </c>
      <c r="N101" s="64" t="s">
        <v>499</v>
      </c>
      <c r="O101" s="65">
        <v>1</v>
      </c>
      <c r="P101" s="64" t="e">
        <f>VLOOKUP($I101,[1]资产项汇总!$G:$M,6,0)</f>
        <v>#N/A</v>
      </c>
      <c r="Q101" s="64" t="e">
        <f>VLOOKUP($I101,[1]资产项汇总!$G:$M,7,0)</f>
        <v>#N/A</v>
      </c>
      <c r="R101" s="63"/>
      <c r="S101" s="66"/>
    </row>
    <row r="102" ht="16.5" spans="1:19">
      <c r="A102" s="62">
        <v>12</v>
      </c>
      <c r="B102" s="62" t="s">
        <v>493</v>
      </c>
      <c r="C102" s="62" t="s">
        <v>494</v>
      </c>
      <c r="D102" s="62" t="s">
        <v>469</v>
      </c>
      <c r="E102" s="62" t="s">
        <v>557</v>
      </c>
      <c r="F102" s="62" t="s">
        <v>526</v>
      </c>
      <c r="G102" s="62" t="s">
        <v>529</v>
      </c>
      <c r="H102" s="62" t="s">
        <v>530</v>
      </c>
      <c r="I102" s="63"/>
      <c r="J102" s="62" t="str">
        <f t="shared" si="1"/>
        <v>吸顶灯01_/</v>
      </c>
      <c r="K102" s="64" t="s">
        <v>492</v>
      </c>
      <c r="L102" s="64" t="s">
        <v>499</v>
      </c>
      <c r="M102" s="64" t="e">
        <f>VLOOKUP($I102,[1]资产项汇总!$G:$M,4,0)</f>
        <v>#N/A</v>
      </c>
      <c r="N102" s="64" t="s">
        <v>499</v>
      </c>
      <c r="O102" s="65">
        <v>1</v>
      </c>
      <c r="P102" s="64" t="e">
        <f>VLOOKUP($I102,[1]资产项汇总!$G:$M,6,0)</f>
        <v>#N/A</v>
      </c>
      <c r="Q102" s="64" t="e">
        <f>VLOOKUP($I102,[1]资产项汇总!$G:$M,7,0)</f>
        <v>#N/A</v>
      </c>
      <c r="R102" s="63"/>
      <c r="S102" s="66"/>
    </row>
    <row r="103" ht="16.5" spans="1:19">
      <c r="A103" s="62">
        <v>13</v>
      </c>
      <c r="B103" s="62" t="s">
        <v>493</v>
      </c>
      <c r="C103" s="62" t="s">
        <v>494</v>
      </c>
      <c r="D103" s="62" t="s">
        <v>469</v>
      </c>
      <c r="E103" s="62" t="s">
        <v>557</v>
      </c>
      <c r="F103" s="62" t="s">
        <v>508</v>
      </c>
      <c r="G103" s="62" t="s">
        <v>531</v>
      </c>
      <c r="H103" s="62" t="s">
        <v>532</v>
      </c>
      <c r="I103" s="63"/>
      <c r="J103" s="62" t="str">
        <f t="shared" si="1"/>
        <v>烟感01_/</v>
      </c>
      <c r="K103" s="64" t="s">
        <v>492</v>
      </c>
      <c r="L103" s="64" t="s">
        <v>499</v>
      </c>
      <c r="M103" s="64" t="e">
        <f>VLOOKUP($I103,[1]资产项汇总!$G:$M,4,0)</f>
        <v>#N/A</v>
      </c>
      <c r="N103" s="64" t="s">
        <v>499</v>
      </c>
      <c r="O103" s="65">
        <v>1</v>
      </c>
      <c r="P103" s="64" t="e">
        <f>VLOOKUP($I103,[1]资产项汇总!$G:$M,6,0)</f>
        <v>#N/A</v>
      </c>
      <c r="Q103" s="64" t="e">
        <f>VLOOKUP($I103,[1]资产项汇总!$G:$M,7,0)</f>
        <v>#N/A</v>
      </c>
      <c r="R103" s="63"/>
      <c r="S103" s="66"/>
    </row>
    <row r="104" ht="16.5" spans="1:19">
      <c r="A104" s="62">
        <v>14</v>
      </c>
      <c r="B104" s="62" t="s">
        <v>493</v>
      </c>
      <c r="C104" s="62" t="s">
        <v>494</v>
      </c>
      <c r="D104" s="62" t="s">
        <v>469</v>
      </c>
      <c r="E104" s="62" t="s">
        <v>557</v>
      </c>
      <c r="F104" s="62" t="s">
        <v>533</v>
      </c>
      <c r="G104" s="62" t="s">
        <v>534</v>
      </c>
      <c r="H104" s="62" t="s">
        <v>535</v>
      </c>
      <c r="I104" s="63"/>
      <c r="J104" s="62" t="str">
        <f t="shared" si="1"/>
        <v>户内配电箱01_/</v>
      </c>
      <c r="K104" s="64" t="s">
        <v>492</v>
      </c>
      <c r="L104" s="64" t="s">
        <v>499</v>
      </c>
      <c r="M104" s="64" t="e">
        <f>VLOOKUP($I104,[1]资产项汇总!$G:$M,4,0)</f>
        <v>#N/A</v>
      </c>
      <c r="N104" s="64" t="s">
        <v>499</v>
      </c>
      <c r="O104" s="65">
        <v>1</v>
      </c>
      <c r="P104" s="64" t="e">
        <f>VLOOKUP($I104,[1]资产项汇总!$G:$M,6,0)</f>
        <v>#N/A</v>
      </c>
      <c r="Q104" s="64" t="e">
        <f>VLOOKUP($I104,[1]资产项汇总!$G:$M,7,0)</f>
        <v>#N/A</v>
      </c>
      <c r="R104" s="63"/>
      <c r="S104" s="66"/>
    </row>
    <row r="105" ht="16.5" spans="1:19">
      <c r="A105" s="62">
        <v>15</v>
      </c>
      <c r="B105" s="62" t="s">
        <v>493</v>
      </c>
      <c r="C105" s="62" t="s">
        <v>494</v>
      </c>
      <c r="D105" s="62" t="s">
        <v>469</v>
      </c>
      <c r="E105" s="62" t="s">
        <v>557</v>
      </c>
      <c r="F105" s="62" t="s">
        <v>511</v>
      </c>
      <c r="G105" s="62" t="s">
        <v>536</v>
      </c>
      <c r="H105" s="62" t="s">
        <v>537</v>
      </c>
      <c r="I105" s="63"/>
      <c r="J105" s="62" t="str">
        <f t="shared" si="1"/>
        <v>网络收纳盒01_/</v>
      </c>
      <c r="K105" s="64" t="s">
        <v>492</v>
      </c>
      <c r="L105" s="64" t="s">
        <v>499</v>
      </c>
      <c r="M105" s="64" t="e">
        <f>VLOOKUP($I105,[1]资产项汇总!$G:$M,4,0)</f>
        <v>#N/A</v>
      </c>
      <c r="N105" s="64" t="s">
        <v>499</v>
      </c>
      <c r="O105" s="65">
        <v>1</v>
      </c>
      <c r="P105" s="64" t="e">
        <f>VLOOKUP($I105,[1]资产项汇总!$G:$M,6,0)</f>
        <v>#N/A</v>
      </c>
      <c r="Q105" s="64" t="e">
        <f>VLOOKUP($I105,[1]资产项汇总!$G:$M,7,0)</f>
        <v>#N/A</v>
      </c>
      <c r="R105" s="63"/>
      <c r="S105" s="66"/>
    </row>
    <row r="106" ht="16.5" spans="1:19">
      <c r="A106" s="62">
        <v>16</v>
      </c>
      <c r="B106" s="62" t="s">
        <v>493</v>
      </c>
      <c r="C106" s="62" t="s">
        <v>494</v>
      </c>
      <c r="D106" s="62" t="s">
        <v>469</v>
      </c>
      <c r="E106" s="62" t="s">
        <v>557</v>
      </c>
      <c r="F106" s="62" t="s">
        <v>538</v>
      </c>
      <c r="G106" s="62" t="s">
        <v>539</v>
      </c>
      <c r="H106" s="62" t="s">
        <v>540</v>
      </c>
      <c r="I106" s="63"/>
      <c r="J106" s="62" t="str">
        <f t="shared" si="1"/>
        <v>光猫01_/</v>
      </c>
      <c r="K106" s="64" t="s">
        <v>492</v>
      </c>
      <c r="L106" s="64" t="s">
        <v>499</v>
      </c>
      <c r="M106" s="64" t="e">
        <f>VLOOKUP($I106,[1]资产项汇总!$G:$M,4,0)</f>
        <v>#N/A</v>
      </c>
      <c r="N106" s="64" t="s">
        <v>499</v>
      </c>
      <c r="O106" s="65">
        <v>1</v>
      </c>
      <c r="P106" s="64" t="e">
        <f>VLOOKUP($I106,[1]资产项汇总!$G:$M,6,0)</f>
        <v>#N/A</v>
      </c>
      <c r="Q106" s="64" t="e">
        <f>VLOOKUP($I106,[1]资产项汇总!$G:$M,7,0)</f>
        <v>#N/A</v>
      </c>
      <c r="R106" s="63"/>
      <c r="S106" s="66"/>
    </row>
    <row r="107" ht="16.5" spans="1:19">
      <c r="A107" s="62">
        <v>17</v>
      </c>
      <c r="B107" s="62" t="s">
        <v>493</v>
      </c>
      <c r="C107" s="62" t="s">
        <v>494</v>
      </c>
      <c r="D107" s="62" t="s">
        <v>469</v>
      </c>
      <c r="E107" s="62" t="s">
        <v>557</v>
      </c>
      <c r="F107" s="62" t="s">
        <v>511</v>
      </c>
      <c r="G107" s="62" t="s">
        <v>541</v>
      </c>
      <c r="H107" s="62" t="s">
        <v>542</v>
      </c>
      <c r="I107" s="63"/>
      <c r="J107" s="62" t="str">
        <f t="shared" si="1"/>
        <v>试衣镜01_/</v>
      </c>
      <c r="K107" s="64" t="s">
        <v>492</v>
      </c>
      <c r="L107" s="64" t="s">
        <v>499</v>
      </c>
      <c r="M107" s="64" t="e">
        <f>VLOOKUP($I107,[1]资产项汇总!$G:$M,4,0)</f>
        <v>#N/A</v>
      </c>
      <c r="N107" s="64" t="s">
        <v>499</v>
      </c>
      <c r="O107" s="65">
        <v>1</v>
      </c>
      <c r="P107" s="64" t="e">
        <f>VLOOKUP($I107,[1]资产项汇总!$G:$M,6,0)</f>
        <v>#N/A</v>
      </c>
      <c r="Q107" s="64" t="e">
        <f>VLOOKUP($I107,[1]资产项汇总!$G:$M,7,0)</f>
        <v>#N/A</v>
      </c>
      <c r="R107" s="63"/>
      <c r="S107" s="66"/>
    </row>
    <row r="108" ht="16.5" spans="1:19">
      <c r="A108" s="62">
        <v>18</v>
      </c>
      <c r="B108" s="62" t="s">
        <v>493</v>
      </c>
      <c r="C108" s="62" t="s">
        <v>494</v>
      </c>
      <c r="D108" s="62" t="s">
        <v>469</v>
      </c>
      <c r="E108" s="62" t="s">
        <v>557</v>
      </c>
      <c r="F108" s="62" t="s">
        <v>496</v>
      </c>
      <c r="G108" s="62" t="s">
        <v>543</v>
      </c>
      <c r="H108" s="62" t="s">
        <v>544</v>
      </c>
      <c r="I108" s="63"/>
      <c r="J108" s="62" t="str">
        <f t="shared" si="1"/>
        <v>窗户02磨砂_/</v>
      </c>
      <c r="K108" s="64" t="s">
        <v>492</v>
      </c>
      <c r="L108" s="64" t="s">
        <v>499</v>
      </c>
      <c r="M108" s="64" t="e">
        <f>VLOOKUP($I108,[1]资产项汇总!$G:$M,4,0)</f>
        <v>#N/A</v>
      </c>
      <c r="N108" s="64" t="s">
        <v>499</v>
      </c>
      <c r="O108" s="65">
        <v>1</v>
      </c>
      <c r="P108" s="64" t="e">
        <f>VLOOKUP($I108,[1]资产项汇总!$G:$M,6,0)</f>
        <v>#N/A</v>
      </c>
      <c r="Q108" s="64" t="e">
        <f>VLOOKUP($I108,[1]资产项汇总!$G:$M,7,0)</f>
        <v>#N/A</v>
      </c>
      <c r="R108" s="63"/>
      <c r="S108" s="66"/>
    </row>
    <row r="109" ht="16.5" spans="1:19">
      <c r="A109" s="62">
        <v>19</v>
      </c>
      <c r="B109" s="62" t="s">
        <v>493</v>
      </c>
      <c r="C109" s="62" t="s">
        <v>494</v>
      </c>
      <c r="D109" s="62" t="s">
        <v>469</v>
      </c>
      <c r="E109" s="62" t="s">
        <v>557</v>
      </c>
      <c r="F109" s="62" t="s">
        <v>545</v>
      </c>
      <c r="G109" s="62" t="s">
        <v>546</v>
      </c>
      <c r="H109" s="62" t="s">
        <v>547</v>
      </c>
      <c r="I109" s="63"/>
      <c r="J109" s="62" t="str">
        <f t="shared" si="1"/>
        <v>布帘01_/</v>
      </c>
      <c r="K109" s="64" t="s">
        <v>492</v>
      </c>
      <c r="L109" s="64" t="s">
        <v>499</v>
      </c>
      <c r="M109" s="64" t="e">
        <f>VLOOKUP($I109,[1]资产项汇总!$G:$M,4,0)</f>
        <v>#N/A</v>
      </c>
      <c r="N109" s="64" t="s">
        <v>499</v>
      </c>
      <c r="O109" s="65">
        <v>1</v>
      </c>
      <c r="P109" s="64" t="e">
        <f>VLOOKUP($I109,[1]资产项汇总!$G:$M,6,0)</f>
        <v>#N/A</v>
      </c>
      <c r="Q109" s="64" t="e">
        <f>VLOOKUP($I109,[1]资产项汇总!$G:$M,7,0)</f>
        <v>#N/A</v>
      </c>
      <c r="R109" s="63"/>
      <c r="S109" s="66"/>
    </row>
    <row r="110" ht="16.5" spans="1:19">
      <c r="A110" s="62">
        <v>20</v>
      </c>
      <c r="B110" s="62" t="s">
        <v>493</v>
      </c>
      <c r="C110" s="62" t="s">
        <v>494</v>
      </c>
      <c r="D110" s="62" t="s">
        <v>469</v>
      </c>
      <c r="E110" s="62" t="s">
        <v>557</v>
      </c>
      <c r="F110" s="62" t="s">
        <v>511</v>
      </c>
      <c r="G110" s="62" t="s">
        <v>452</v>
      </c>
      <c r="H110" s="62" t="s">
        <v>593</v>
      </c>
      <c r="I110" s="63"/>
      <c r="J110" s="62" t="str">
        <f t="shared" si="1"/>
        <v>操作台03洗衣机1.2m_/</v>
      </c>
      <c r="K110" s="64" t="s">
        <v>492</v>
      </c>
      <c r="L110" s="64" t="s">
        <v>499</v>
      </c>
      <c r="M110" s="64" t="e">
        <f>VLOOKUP($I110,[1]资产项汇总!$G:$M,4,0)</f>
        <v>#N/A</v>
      </c>
      <c r="N110" s="64" t="s">
        <v>499</v>
      </c>
      <c r="O110" s="65">
        <v>1</v>
      </c>
      <c r="P110" s="64" t="e">
        <f>VLOOKUP($I110,[1]资产项汇总!$G:$M,6,0)</f>
        <v>#N/A</v>
      </c>
      <c r="Q110" s="64" t="e">
        <f>VLOOKUP($I110,[1]资产项汇总!$G:$M,7,0)</f>
        <v>#N/A</v>
      </c>
      <c r="R110" s="63"/>
      <c r="S110" s="66"/>
    </row>
    <row r="111" ht="16.5" spans="1:19">
      <c r="A111" s="62">
        <v>21</v>
      </c>
      <c r="B111" s="62" t="s">
        <v>493</v>
      </c>
      <c r="C111" s="62" t="s">
        <v>494</v>
      </c>
      <c r="D111" s="62" t="s">
        <v>469</v>
      </c>
      <c r="E111" s="62" t="s">
        <v>557</v>
      </c>
      <c r="F111" s="62" t="s">
        <v>511</v>
      </c>
      <c r="G111" s="62" t="s">
        <v>549</v>
      </c>
      <c r="H111" s="62" t="s">
        <v>550</v>
      </c>
      <c r="I111" s="63"/>
      <c r="J111" s="62" t="str">
        <f t="shared" si="1"/>
        <v>镜子01_/</v>
      </c>
      <c r="K111" s="64" t="s">
        <v>492</v>
      </c>
      <c r="L111" s="64" t="s">
        <v>499</v>
      </c>
      <c r="M111" s="64" t="e">
        <f>VLOOKUP($I111,[1]资产项汇总!$G:$M,4,0)</f>
        <v>#N/A</v>
      </c>
      <c r="N111" s="64" t="s">
        <v>499</v>
      </c>
      <c r="O111" s="65">
        <v>1</v>
      </c>
      <c r="P111" s="64" t="e">
        <f>VLOOKUP($I111,[1]资产项汇总!$G:$M,6,0)</f>
        <v>#N/A</v>
      </c>
      <c r="Q111" s="64" t="e">
        <f>VLOOKUP($I111,[1]资产项汇总!$G:$M,7,0)</f>
        <v>#N/A</v>
      </c>
      <c r="R111" s="63"/>
      <c r="S111" s="66"/>
    </row>
    <row r="112" ht="16.5" spans="1:19">
      <c r="A112" s="62">
        <v>22</v>
      </c>
      <c r="B112" s="62" t="s">
        <v>493</v>
      </c>
      <c r="C112" s="62" t="s">
        <v>494</v>
      </c>
      <c r="D112" s="62" t="s">
        <v>469</v>
      </c>
      <c r="E112" s="62" t="s">
        <v>557</v>
      </c>
      <c r="F112" s="62" t="s">
        <v>526</v>
      </c>
      <c r="G112" s="62" t="s">
        <v>551</v>
      </c>
      <c r="H112" s="62" t="s">
        <v>552</v>
      </c>
      <c r="I112" s="63"/>
      <c r="J112" s="62" t="str">
        <f t="shared" si="1"/>
        <v>镜前灯01_/</v>
      </c>
      <c r="K112" s="64" t="s">
        <v>492</v>
      </c>
      <c r="L112" s="64" t="s">
        <v>499</v>
      </c>
      <c r="M112" s="64" t="e">
        <f>VLOOKUP($I112,[1]资产项汇总!$G:$M,4,0)</f>
        <v>#N/A</v>
      </c>
      <c r="N112" s="64" t="s">
        <v>499</v>
      </c>
      <c r="O112" s="65">
        <v>1</v>
      </c>
      <c r="P112" s="64" t="e">
        <f>VLOOKUP($I112,[1]资产项汇总!$G:$M,6,0)</f>
        <v>#N/A</v>
      </c>
      <c r="Q112" s="64" t="e">
        <f>VLOOKUP($I112,[1]资产项汇总!$G:$M,7,0)</f>
        <v>#N/A</v>
      </c>
      <c r="R112" s="63"/>
      <c r="S112" s="66"/>
    </row>
    <row r="113" ht="16.5" spans="1:19">
      <c r="A113" s="62">
        <v>23</v>
      </c>
      <c r="B113" s="62" t="s">
        <v>493</v>
      </c>
      <c r="C113" s="62" t="s">
        <v>494</v>
      </c>
      <c r="D113" s="62" t="s">
        <v>469</v>
      </c>
      <c r="E113" s="62" t="s">
        <v>557</v>
      </c>
      <c r="F113" s="62" t="s">
        <v>533</v>
      </c>
      <c r="G113" s="62" t="s">
        <v>553</v>
      </c>
      <c r="H113" s="62" t="s">
        <v>554</v>
      </c>
      <c r="I113" s="63"/>
      <c r="J113" s="62" t="str">
        <f t="shared" si="1"/>
        <v>等电位箱01_/</v>
      </c>
      <c r="K113" s="64" t="s">
        <v>492</v>
      </c>
      <c r="L113" s="64" t="s">
        <v>499</v>
      </c>
      <c r="M113" s="64" t="e">
        <f>VLOOKUP($I113,[1]资产项汇总!$G:$M,4,0)</f>
        <v>#N/A</v>
      </c>
      <c r="N113" s="64" t="s">
        <v>499</v>
      </c>
      <c r="O113" s="65">
        <v>1</v>
      </c>
      <c r="P113" s="64" t="e">
        <f>VLOOKUP($I113,[1]资产项汇总!$G:$M,6,0)</f>
        <v>#N/A</v>
      </c>
      <c r="Q113" s="64" t="e">
        <f>VLOOKUP($I113,[1]资产项汇总!$G:$M,7,0)</f>
        <v>#N/A</v>
      </c>
      <c r="R113" s="63"/>
      <c r="S113" s="66"/>
    </row>
    <row r="114" ht="16.5" spans="1:19">
      <c r="A114" s="62">
        <v>24</v>
      </c>
      <c r="B114" s="62" t="s">
        <v>493</v>
      </c>
      <c r="C114" s="62" t="s">
        <v>494</v>
      </c>
      <c r="D114" s="62" t="s">
        <v>469</v>
      </c>
      <c r="E114" s="62" t="s">
        <v>557</v>
      </c>
      <c r="F114" s="62" t="s">
        <v>511</v>
      </c>
      <c r="G114" s="62" t="s">
        <v>453</v>
      </c>
      <c r="H114" s="62" t="s">
        <v>598</v>
      </c>
      <c r="I114" s="63"/>
      <c r="J114" s="62" t="str">
        <f t="shared" si="1"/>
        <v>书桌02带挡板0.9m_/</v>
      </c>
      <c r="K114" s="64" t="s">
        <v>492</v>
      </c>
      <c r="L114" s="64" t="s">
        <v>499</v>
      </c>
      <c r="M114" s="64" t="e">
        <f>VLOOKUP($I114,[1]资产项汇总!$G:$M,4,0)</f>
        <v>#N/A</v>
      </c>
      <c r="N114" s="64" t="s">
        <v>499</v>
      </c>
      <c r="O114" s="65">
        <v>1</v>
      </c>
      <c r="P114" s="64" t="e">
        <f>VLOOKUP($I114,[1]资产项汇总!$G:$M,6,0)</f>
        <v>#N/A</v>
      </c>
      <c r="Q114" s="64" t="e">
        <f>VLOOKUP($I114,[1]资产项汇总!$G:$M,7,0)</f>
        <v>#N/A</v>
      </c>
      <c r="R114" s="63"/>
      <c r="S114" s="66"/>
    </row>
    <row r="115" ht="16.5" spans="1:19">
      <c r="A115" s="62">
        <v>25</v>
      </c>
      <c r="B115" s="62" t="s">
        <v>493</v>
      </c>
      <c r="C115" s="62" t="s">
        <v>494</v>
      </c>
      <c r="D115" s="62" t="s">
        <v>469</v>
      </c>
      <c r="E115" s="62" t="s">
        <v>557</v>
      </c>
      <c r="F115" s="62" t="s">
        <v>511</v>
      </c>
      <c r="G115" s="62" t="s">
        <v>519</v>
      </c>
      <c r="H115" s="62" t="s">
        <v>595</v>
      </c>
      <c r="I115" s="63"/>
      <c r="J115" s="62" t="str">
        <f t="shared" si="1"/>
        <v>椅子01配书桌_/</v>
      </c>
      <c r="K115" s="64" t="s">
        <v>492</v>
      </c>
      <c r="L115" s="64" t="s">
        <v>499</v>
      </c>
      <c r="M115" s="64" t="e">
        <f>VLOOKUP($I115,[1]资产项汇总!$G:$M,4,0)</f>
        <v>#N/A</v>
      </c>
      <c r="N115" s="64" t="s">
        <v>499</v>
      </c>
      <c r="O115" s="65">
        <v>1</v>
      </c>
      <c r="P115" s="64" t="e">
        <f>VLOOKUP($I115,[1]资产项汇总!$G:$M,6,0)</f>
        <v>#N/A</v>
      </c>
      <c r="Q115" s="64" t="e">
        <f>VLOOKUP($I115,[1]资产项汇总!$G:$M,7,0)</f>
        <v>#N/A</v>
      </c>
      <c r="R115" s="63"/>
      <c r="S115" s="66"/>
    </row>
    <row r="116" ht="16.5" spans="1:19">
      <c r="A116" s="62">
        <v>26</v>
      </c>
      <c r="B116" s="62" t="s">
        <v>493</v>
      </c>
      <c r="C116" s="62" t="s">
        <v>494</v>
      </c>
      <c r="D116" s="62" t="s">
        <v>469</v>
      </c>
      <c r="E116" s="62" t="s">
        <v>557</v>
      </c>
      <c r="F116" s="62" t="s">
        <v>511</v>
      </c>
      <c r="G116" s="62" t="s">
        <v>555</v>
      </c>
      <c r="H116" s="62" t="s">
        <v>556</v>
      </c>
      <c r="I116" s="63"/>
      <c r="J116" s="62" t="str">
        <f t="shared" si="1"/>
        <v>墙上/天花晾衣杆_/</v>
      </c>
      <c r="K116" s="64" t="s">
        <v>492</v>
      </c>
      <c r="L116" s="64" t="s">
        <v>499</v>
      </c>
      <c r="M116" s="64" t="e">
        <f>VLOOKUP($I116,[1]资产项汇总!$G:$M,4,0)</f>
        <v>#N/A</v>
      </c>
      <c r="N116" s="64" t="s">
        <v>499</v>
      </c>
      <c r="O116" s="65">
        <v>1</v>
      </c>
      <c r="P116" s="64" t="e">
        <f>VLOOKUP($I116,[1]资产项汇总!$G:$M,6,0)</f>
        <v>#N/A</v>
      </c>
      <c r="Q116" s="64" t="e">
        <f>VLOOKUP($I116,[1]资产项汇总!$G:$M,7,0)</f>
        <v>#N/A</v>
      </c>
      <c r="R116" s="63"/>
      <c r="S116" s="66"/>
    </row>
    <row r="117" ht="16.5" spans="1:19">
      <c r="A117" s="62">
        <v>27</v>
      </c>
      <c r="B117" s="62" t="s">
        <v>493</v>
      </c>
      <c r="C117" s="62" t="s">
        <v>494</v>
      </c>
      <c r="D117" s="62" t="s">
        <v>469</v>
      </c>
      <c r="E117" s="62" t="s">
        <v>566</v>
      </c>
      <c r="F117" s="62" t="s">
        <v>496</v>
      </c>
      <c r="G117" s="62" t="s">
        <v>567</v>
      </c>
      <c r="H117" s="62" t="s">
        <v>568</v>
      </c>
      <c r="I117" s="63"/>
      <c r="J117" s="62" t="str">
        <f t="shared" si="1"/>
        <v>整体卫浴卫生间门01_/</v>
      </c>
      <c r="K117" s="64" t="s">
        <v>492</v>
      </c>
      <c r="L117" s="64" t="s">
        <v>499</v>
      </c>
      <c r="M117" s="64" t="e">
        <f>VLOOKUP($I117,[1]资产项汇总!$G:$M,4,0)</f>
        <v>#N/A</v>
      </c>
      <c r="N117" s="64" t="s">
        <v>499</v>
      </c>
      <c r="O117" s="65">
        <v>1</v>
      </c>
      <c r="P117" s="64" t="e">
        <f>VLOOKUP($I117,[1]资产项汇总!$G:$M,6,0)</f>
        <v>#N/A</v>
      </c>
      <c r="Q117" s="64" t="e">
        <f>VLOOKUP($I117,[1]资产项汇总!$G:$M,7,0)</f>
        <v>#N/A</v>
      </c>
      <c r="R117" s="63"/>
      <c r="S117" s="66"/>
    </row>
    <row r="118" ht="16.5" spans="1:19">
      <c r="A118" s="62">
        <v>28</v>
      </c>
      <c r="B118" s="62" t="s">
        <v>493</v>
      </c>
      <c r="C118" s="62" t="s">
        <v>494</v>
      </c>
      <c r="D118" s="62" t="s">
        <v>469</v>
      </c>
      <c r="E118" s="62" t="s">
        <v>566</v>
      </c>
      <c r="F118" s="62" t="s">
        <v>521</v>
      </c>
      <c r="G118" s="62" t="s">
        <v>569</v>
      </c>
      <c r="H118" s="62" t="s">
        <v>596</v>
      </c>
      <c r="I118" s="63"/>
      <c r="J118" s="62" t="str">
        <f t="shared" si="1"/>
        <v>整体卫浴排风扇01_/</v>
      </c>
      <c r="K118" s="64" t="s">
        <v>492</v>
      </c>
      <c r="L118" s="64" t="s">
        <v>499</v>
      </c>
      <c r="M118" s="64" t="e">
        <f>VLOOKUP($I118,[1]资产项汇总!$G:$M,4,0)</f>
        <v>#N/A</v>
      </c>
      <c r="N118" s="64" t="s">
        <v>499</v>
      </c>
      <c r="O118" s="65">
        <v>1</v>
      </c>
      <c r="P118" s="64" t="e">
        <f>VLOOKUP($I118,[1]资产项汇总!$G:$M,6,0)</f>
        <v>#N/A</v>
      </c>
      <c r="Q118" s="64" t="e">
        <f>VLOOKUP($I118,[1]资产项汇总!$G:$M,7,0)</f>
        <v>#N/A</v>
      </c>
      <c r="R118" s="63"/>
      <c r="S118" s="66"/>
    </row>
    <row r="119" ht="16.5" spans="1:19">
      <c r="A119" s="62">
        <v>29</v>
      </c>
      <c r="B119" s="62" t="s">
        <v>493</v>
      </c>
      <c r="C119" s="62" t="s">
        <v>494</v>
      </c>
      <c r="D119" s="62" t="s">
        <v>469</v>
      </c>
      <c r="E119" s="62" t="s">
        <v>566</v>
      </c>
      <c r="F119" s="62" t="s">
        <v>511</v>
      </c>
      <c r="G119" s="62" t="s">
        <v>549</v>
      </c>
      <c r="H119" s="62" t="s">
        <v>571</v>
      </c>
      <c r="I119" s="63"/>
      <c r="J119" s="62" t="str">
        <f t="shared" si="1"/>
        <v>整体卫浴镜子01_/</v>
      </c>
      <c r="K119" s="64" t="s">
        <v>492</v>
      </c>
      <c r="L119" s="64" t="s">
        <v>499</v>
      </c>
      <c r="M119" s="64" t="e">
        <f>VLOOKUP($I119,[1]资产项汇总!$G:$M,4,0)</f>
        <v>#N/A</v>
      </c>
      <c r="N119" s="64" t="s">
        <v>499</v>
      </c>
      <c r="O119" s="65">
        <v>1</v>
      </c>
      <c r="P119" s="64" t="e">
        <f>VLOOKUP($I119,[1]资产项汇总!$G:$M,6,0)</f>
        <v>#N/A</v>
      </c>
      <c r="Q119" s="64" t="e">
        <f>VLOOKUP($I119,[1]资产项汇总!$G:$M,7,0)</f>
        <v>#N/A</v>
      </c>
      <c r="R119" s="63"/>
      <c r="S119" s="66"/>
    </row>
    <row r="120" ht="16.5" spans="1:19">
      <c r="A120" s="62">
        <v>30</v>
      </c>
      <c r="B120" s="62" t="s">
        <v>493</v>
      </c>
      <c r="C120" s="62" t="s">
        <v>494</v>
      </c>
      <c r="D120" s="62" t="s">
        <v>469</v>
      </c>
      <c r="E120" s="62" t="s">
        <v>566</v>
      </c>
      <c r="F120" s="62" t="s">
        <v>526</v>
      </c>
      <c r="G120" s="62" t="s">
        <v>572</v>
      </c>
      <c r="H120" s="62" t="s">
        <v>573</v>
      </c>
      <c r="I120" s="63"/>
      <c r="J120" s="62" t="str">
        <f t="shared" si="1"/>
        <v>整体卫浴厨卫灯01_/</v>
      </c>
      <c r="K120" s="64" t="s">
        <v>492</v>
      </c>
      <c r="L120" s="64" t="s">
        <v>499</v>
      </c>
      <c r="M120" s="64" t="e">
        <f>VLOOKUP($I120,[1]资产项汇总!$G:$M,4,0)</f>
        <v>#N/A</v>
      </c>
      <c r="N120" s="64" t="s">
        <v>499</v>
      </c>
      <c r="O120" s="65">
        <v>1</v>
      </c>
      <c r="P120" s="64" t="e">
        <f>VLOOKUP($I120,[1]资产项汇总!$G:$M,6,0)</f>
        <v>#N/A</v>
      </c>
      <c r="Q120" s="64" t="e">
        <f>VLOOKUP($I120,[1]资产项汇总!$G:$M,7,0)</f>
        <v>#N/A</v>
      </c>
      <c r="R120" s="63"/>
      <c r="S120" s="66"/>
    </row>
    <row r="121" ht="16.5" spans="1:19">
      <c r="A121" s="62">
        <v>31</v>
      </c>
      <c r="B121" s="62" t="s">
        <v>493</v>
      </c>
      <c r="C121" s="62" t="s">
        <v>494</v>
      </c>
      <c r="D121" s="62" t="s">
        <v>469</v>
      </c>
      <c r="E121" s="62" t="s">
        <v>566</v>
      </c>
      <c r="F121" s="62" t="s">
        <v>574</v>
      </c>
      <c r="G121" s="62" t="s">
        <v>575</v>
      </c>
      <c r="H121" s="62" t="s">
        <v>576</v>
      </c>
      <c r="I121" s="63"/>
      <c r="J121" s="62" t="str">
        <f t="shared" si="1"/>
        <v>整体卫浴淋浴手持花洒01_/</v>
      </c>
      <c r="K121" s="64" t="s">
        <v>492</v>
      </c>
      <c r="L121" s="64" t="s">
        <v>499</v>
      </c>
      <c r="M121" s="64" t="e">
        <f>VLOOKUP($I121,[1]资产项汇总!$G:$M,4,0)</f>
        <v>#N/A</v>
      </c>
      <c r="N121" s="64" t="s">
        <v>499</v>
      </c>
      <c r="O121" s="65">
        <v>1</v>
      </c>
      <c r="P121" s="64" t="e">
        <f>VLOOKUP($I121,[1]资产项汇总!$G:$M,6,0)</f>
        <v>#N/A</v>
      </c>
      <c r="Q121" s="64" t="e">
        <f>VLOOKUP($I121,[1]资产项汇总!$G:$M,7,0)</f>
        <v>#N/A</v>
      </c>
      <c r="R121" s="63"/>
      <c r="S121" s="66"/>
    </row>
    <row r="122" ht="16.5" spans="1:19">
      <c r="A122" s="62">
        <v>32</v>
      </c>
      <c r="B122" s="62" t="s">
        <v>493</v>
      </c>
      <c r="C122" s="62" t="s">
        <v>494</v>
      </c>
      <c r="D122" s="62" t="s">
        <v>469</v>
      </c>
      <c r="E122" s="62" t="s">
        <v>566</v>
      </c>
      <c r="F122" s="62" t="s">
        <v>574</v>
      </c>
      <c r="G122" s="62" t="s">
        <v>577</v>
      </c>
      <c r="H122" s="62" t="s">
        <v>578</v>
      </c>
      <c r="I122" s="63"/>
      <c r="J122" s="62" t="str">
        <f t="shared" si="1"/>
        <v>整体卫浴坐便器01_/</v>
      </c>
      <c r="K122" s="64" t="s">
        <v>492</v>
      </c>
      <c r="L122" s="64" t="s">
        <v>499</v>
      </c>
      <c r="M122" s="64" t="e">
        <f>VLOOKUP($I122,[1]资产项汇总!$G:$M,4,0)</f>
        <v>#N/A</v>
      </c>
      <c r="N122" s="64" t="s">
        <v>499</v>
      </c>
      <c r="O122" s="65">
        <v>1</v>
      </c>
      <c r="P122" s="64" t="e">
        <f>VLOOKUP($I122,[1]资产项汇总!$G:$M,6,0)</f>
        <v>#N/A</v>
      </c>
      <c r="Q122" s="64" t="e">
        <f>VLOOKUP($I122,[1]资产项汇总!$G:$M,7,0)</f>
        <v>#N/A</v>
      </c>
      <c r="R122" s="63"/>
      <c r="S122" s="66"/>
    </row>
    <row r="123" ht="16.5" spans="1:19">
      <c r="A123" s="62">
        <v>33</v>
      </c>
      <c r="B123" s="62" t="s">
        <v>493</v>
      </c>
      <c r="C123" s="62" t="s">
        <v>494</v>
      </c>
      <c r="D123" s="62" t="s">
        <v>469</v>
      </c>
      <c r="E123" s="62" t="s">
        <v>566</v>
      </c>
      <c r="F123" s="62" t="s">
        <v>574</v>
      </c>
      <c r="G123" s="62" t="s">
        <v>579</v>
      </c>
      <c r="H123" s="62" t="s">
        <v>580</v>
      </c>
      <c r="I123" s="63"/>
      <c r="J123" s="62" t="str">
        <f t="shared" si="1"/>
        <v>整体卫浴毛巾架01_/</v>
      </c>
      <c r="K123" s="64" t="s">
        <v>492</v>
      </c>
      <c r="L123" s="64" t="s">
        <v>499</v>
      </c>
      <c r="M123" s="64" t="e">
        <f>VLOOKUP($I123,[1]资产项汇总!$G:$M,4,0)</f>
        <v>#N/A</v>
      </c>
      <c r="N123" s="64" t="s">
        <v>499</v>
      </c>
      <c r="O123" s="65">
        <v>1</v>
      </c>
      <c r="P123" s="64" t="e">
        <f>VLOOKUP($I123,[1]资产项汇总!$G:$M,6,0)</f>
        <v>#N/A</v>
      </c>
      <c r="Q123" s="64" t="e">
        <f>VLOOKUP($I123,[1]资产项汇总!$G:$M,7,0)</f>
        <v>#N/A</v>
      </c>
      <c r="R123" s="63"/>
      <c r="S123" s="66"/>
    </row>
    <row r="124" ht="16.5" spans="1:19">
      <c r="A124" s="62">
        <v>34</v>
      </c>
      <c r="B124" s="62" t="s">
        <v>493</v>
      </c>
      <c r="C124" s="62" t="s">
        <v>494</v>
      </c>
      <c r="D124" s="62" t="s">
        <v>469</v>
      </c>
      <c r="E124" s="62" t="s">
        <v>566</v>
      </c>
      <c r="F124" s="62" t="s">
        <v>521</v>
      </c>
      <c r="G124" s="62" t="s">
        <v>581</v>
      </c>
      <c r="H124" s="62" t="s">
        <v>597</v>
      </c>
      <c r="I124" s="63"/>
      <c r="J124" s="62" t="str">
        <f t="shared" si="1"/>
        <v>电热水器01-40L_/</v>
      </c>
      <c r="K124" s="64" t="s">
        <v>492</v>
      </c>
      <c r="L124" s="64" t="s">
        <v>499</v>
      </c>
      <c r="M124" s="64" t="e">
        <f>VLOOKUP($I124,[1]资产项汇总!$G:$M,4,0)</f>
        <v>#N/A</v>
      </c>
      <c r="N124" s="64" t="s">
        <v>499</v>
      </c>
      <c r="O124" s="65">
        <v>1</v>
      </c>
      <c r="P124" s="64" t="e">
        <f>VLOOKUP($I124,[1]资产项汇总!$G:$M,6,0)</f>
        <v>#N/A</v>
      </c>
      <c r="Q124" s="64" t="e">
        <f>VLOOKUP($I124,[1]资产项汇总!$G:$M,7,0)</f>
        <v>#N/A</v>
      </c>
      <c r="R124" s="63"/>
      <c r="S124" s="66"/>
    </row>
    <row r="125" ht="16.5" spans="1:19">
      <c r="A125" s="62">
        <v>35</v>
      </c>
      <c r="B125" s="62" t="s">
        <v>493</v>
      </c>
      <c r="C125" s="62" t="s">
        <v>494</v>
      </c>
      <c r="D125" s="62" t="s">
        <v>469</v>
      </c>
      <c r="E125" s="62" t="s">
        <v>566</v>
      </c>
      <c r="F125" s="62" t="s">
        <v>502</v>
      </c>
      <c r="G125" s="62" t="s">
        <v>583</v>
      </c>
      <c r="H125" s="62" t="s">
        <v>584</v>
      </c>
      <c r="I125" s="63"/>
      <c r="J125" s="62" t="str">
        <f t="shared" si="1"/>
        <v>防水贴纸_/</v>
      </c>
      <c r="K125" s="64" t="s">
        <v>492</v>
      </c>
      <c r="L125" s="64" t="s">
        <v>499</v>
      </c>
      <c r="M125" s="64" t="e">
        <f>VLOOKUP($I125,[1]资产项汇总!$G:$M,4,0)</f>
        <v>#N/A</v>
      </c>
      <c r="N125" s="64" t="s">
        <v>499</v>
      </c>
      <c r="O125" s="65">
        <v>1</v>
      </c>
      <c r="P125" s="64" t="e">
        <f>VLOOKUP($I125,[1]资产项汇总!$G:$M,6,0)</f>
        <v>#N/A</v>
      </c>
      <c r="Q125" s="64" t="e">
        <f>VLOOKUP($I125,[1]资产项汇总!$G:$M,7,0)</f>
        <v>#N/A</v>
      </c>
      <c r="R125" s="63"/>
      <c r="S125" s="66"/>
    </row>
    <row r="126" ht="16.5" spans="1:19">
      <c r="A126" s="62">
        <v>36</v>
      </c>
      <c r="B126" s="62" t="s">
        <v>493</v>
      </c>
      <c r="C126" s="62" t="s">
        <v>494</v>
      </c>
      <c r="D126" s="62" t="s">
        <v>469</v>
      </c>
      <c r="E126" s="62" t="s">
        <v>566</v>
      </c>
      <c r="F126" s="62" t="s">
        <v>574</v>
      </c>
      <c r="G126" s="62" t="s">
        <v>585</v>
      </c>
      <c r="H126" s="62" t="s">
        <v>586</v>
      </c>
      <c r="I126" s="63"/>
      <c r="J126" s="62" t="str">
        <f t="shared" si="1"/>
        <v>整体卫浴悬挂式洗手盆01_/</v>
      </c>
      <c r="K126" s="64" t="s">
        <v>492</v>
      </c>
      <c r="L126" s="64" t="s">
        <v>499</v>
      </c>
      <c r="M126" s="64" t="e">
        <f>VLOOKUP($I126,[1]资产项汇总!$G:$M,4,0)</f>
        <v>#N/A</v>
      </c>
      <c r="N126" s="64" t="s">
        <v>499</v>
      </c>
      <c r="O126" s="65">
        <v>1</v>
      </c>
      <c r="P126" s="64" t="e">
        <f>VLOOKUP($I126,[1]资产项汇总!$G:$M,6,0)</f>
        <v>#N/A</v>
      </c>
      <c r="Q126" s="64" t="e">
        <f>VLOOKUP($I126,[1]资产项汇总!$G:$M,7,0)</f>
        <v>#N/A</v>
      </c>
      <c r="R126" s="63"/>
      <c r="S126" s="66"/>
    </row>
    <row r="127" ht="16.5" spans="1:19">
      <c r="A127" s="62">
        <v>37</v>
      </c>
      <c r="B127" s="62" t="s">
        <v>493</v>
      </c>
      <c r="C127" s="62" t="s">
        <v>494</v>
      </c>
      <c r="D127" s="62" t="s">
        <v>469</v>
      </c>
      <c r="E127" s="62" t="s">
        <v>566</v>
      </c>
      <c r="F127" s="62" t="s">
        <v>574</v>
      </c>
      <c r="G127" s="62" t="s">
        <v>587</v>
      </c>
      <c r="H127" s="62" t="s">
        <v>588</v>
      </c>
      <c r="I127" s="63"/>
      <c r="J127" s="62" t="str">
        <f t="shared" si="1"/>
        <v>整体卫浴三角浴篮01_/</v>
      </c>
      <c r="K127" s="64" t="s">
        <v>492</v>
      </c>
      <c r="L127" s="64" t="s">
        <v>499</v>
      </c>
      <c r="M127" s="64" t="e">
        <f>VLOOKUP($I127,[1]资产项汇总!$G:$M,4,0)</f>
        <v>#N/A</v>
      </c>
      <c r="N127" s="64" t="s">
        <v>499</v>
      </c>
      <c r="O127" s="65">
        <v>1</v>
      </c>
      <c r="P127" s="64" t="e">
        <f>VLOOKUP($I127,[1]资产项汇总!$G:$M,6,0)</f>
        <v>#N/A</v>
      </c>
      <c r="Q127" s="64" t="e">
        <f>VLOOKUP($I127,[1]资产项汇总!$G:$M,7,0)</f>
        <v>#N/A</v>
      </c>
      <c r="R127" s="63"/>
      <c r="S127" s="66"/>
    </row>
    <row r="128" ht="16.5" spans="1:19">
      <c r="A128" s="62">
        <v>38</v>
      </c>
      <c r="B128" s="62" t="s">
        <v>493</v>
      </c>
      <c r="C128" s="62" t="s">
        <v>494</v>
      </c>
      <c r="D128" s="62" t="s">
        <v>469</v>
      </c>
      <c r="E128" s="62" t="s">
        <v>566</v>
      </c>
      <c r="F128" s="62" t="s">
        <v>574</v>
      </c>
      <c r="G128" s="62" t="s">
        <v>589</v>
      </c>
      <c r="H128" s="62" t="s">
        <v>590</v>
      </c>
      <c r="I128" s="63"/>
      <c r="J128" s="62" t="str">
        <f t="shared" si="1"/>
        <v>整体卫浴纸巾架01_/</v>
      </c>
      <c r="K128" s="64" t="s">
        <v>492</v>
      </c>
      <c r="L128" s="64" t="s">
        <v>499</v>
      </c>
      <c r="M128" s="64" t="e">
        <f>VLOOKUP($I128,[1]资产项汇总!$G:$M,4,0)</f>
        <v>#N/A</v>
      </c>
      <c r="N128" s="64" t="s">
        <v>499</v>
      </c>
      <c r="O128" s="65">
        <v>1</v>
      </c>
      <c r="P128" s="64" t="e">
        <f>VLOOKUP($I128,[1]资产项汇总!$G:$M,6,0)</f>
        <v>#N/A</v>
      </c>
      <c r="Q128" s="64" t="e">
        <f>VLOOKUP($I128,[1]资产项汇总!$G:$M,7,0)</f>
        <v>#N/A</v>
      </c>
      <c r="R128" s="63"/>
      <c r="S128" s="66"/>
    </row>
    <row r="129" ht="16.5" spans="1:19">
      <c r="A129" s="62">
        <v>1</v>
      </c>
      <c r="B129" s="62" t="s">
        <v>493</v>
      </c>
      <c r="C129" s="62" t="s">
        <v>494</v>
      </c>
      <c r="D129" s="62" t="s">
        <v>470</v>
      </c>
      <c r="E129" s="62" t="s">
        <v>495</v>
      </c>
      <c r="F129" s="62" t="s">
        <v>496</v>
      </c>
      <c r="G129" s="62" t="s">
        <v>497</v>
      </c>
      <c r="H129" s="62" t="s">
        <v>599</v>
      </c>
      <c r="I129" s="63"/>
      <c r="J129" s="62" t="str">
        <f t="shared" si="1"/>
        <v>入户门01木门_/</v>
      </c>
      <c r="K129" s="64" t="s">
        <v>492</v>
      </c>
      <c r="L129" s="64" t="s">
        <v>499</v>
      </c>
      <c r="M129" s="64" t="e">
        <f>VLOOKUP($I129,[1]资产项汇总!$G:$M,4,0)</f>
        <v>#N/A</v>
      </c>
      <c r="N129" s="64" t="s">
        <v>499</v>
      </c>
      <c r="O129" s="65">
        <v>1</v>
      </c>
      <c r="P129" s="64" t="e">
        <f>VLOOKUP($I129,[1]资产项汇总!$G:$M,6,0)</f>
        <v>#N/A</v>
      </c>
      <c r="Q129" s="64" t="e">
        <f>VLOOKUP($I129,[1]资产项汇总!$G:$M,7,0)</f>
        <v>#N/A</v>
      </c>
      <c r="R129" s="63"/>
      <c r="S129" s="66"/>
    </row>
    <row r="130" ht="16.5" spans="1:19">
      <c r="A130" s="62">
        <v>2</v>
      </c>
      <c r="B130" s="62" t="s">
        <v>493</v>
      </c>
      <c r="C130" s="62" t="s">
        <v>494</v>
      </c>
      <c r="D130" s="62" t="s">
        <v>470</v>
      </c>
      <c r="E130" s="62" t="s">
        <v>495</v>
      </c>
      <c r="F130" s="62" t="s">
        <v>496</v>
      </c>
      <c r="G130" s="62" t="s">
        <v>500</v>
      </c>
      <c r="H130" s="62" t="s">
        <v>501</v>
      </c>
      <c r="I130" s="63"/>
      <c r="J130" s="62" t="str">
        <f t="shared" si="1"/>
        <v>智能门锁01_/</v>
      </c>
      <c r="K130" s="64" t="s">
        <v>492</v>
      </c>
      <c r="L130" s="64" t="s">
        <v>499</v>
      </c>
      <c r="M130" s="64" t="e">
        <f>VLOOKUP($I130,[1]资产项汇总!$G:$M,4,0)</f>
        <v>#N/A</v>
      </c>
      <c r="N130" s="64" t="s">
        <v>499</v>
      </c>
      <c r="O130" s="65">
        <v>1</v>
      </c>
      <c r="P130" s="64" t="e">
        <f>VLOOKUP($I130,[1]资产项汇总!$G:$M,6,0)</f>
        <v>#N/A</v>
      </c>
      <c r="Q130" s="64" t="e">
        <f>VLOOKUP($I130,[1]资产项汇总!$G:$M,7,0)</f>
        <v>#N/A</v>
      </c>
      <c r="R130" s="63"/>
      <c r="S130" s="66"/>
    </row>
    <row r="131" ht="16.5" spans="1:19">
      <c r="A131" s="62">
        <v>3</v>
      </c>
      <c r="B131" s="62" t="s">
        <v>493</v>
      </c>
      <c r="C131" s="62" t="s">
        <v>494</v>
      </c>
      <c r="D131" s="62" t="s">
        <v>470</v>
      </c>
      <c r="E131" s="62" t="s">
        <v>495</v>
      </c>
      <c r="F131" s="62" t="s">
        <v>502</v>
      </c>
      <c r="G131" s="62" t="s">
        <v>503</v>
      </c>
      <c r="H131" s="62" t="s">
        <v>504</v>
      </c>
      <c r="I131" s="63"/>
      <c r="J131" s="62" t="str">
        <f t="shared" si="1"/>
        <v>门牌号01_/</v>
      </c>
      <c r="K131" s="64" t="s">
        <v>492</v>
      </c>
      <c r="L131" s="64" t="s">
        <v>499</v>
      </c>
      <c r="M131" s="64" t="e">
        <f>VLOOKUP($I131,[1]资产项汇总!$G:$M,4,0)</f>
        <v>#N/A</v>
      </c>
      <c r="N131" s="64" t="s">
        <v>499</v>
      </c>
      <c r="O131" s="65">
        <v>1</v>
      </c>
      <c r="P131" s="64" t="e">
        <f>VLOOKUP($I131,[1]资产项汇总!$G:$M,6,0)</f>
        <v>#N/A</v>
      </c>
      <c r="Q131" s="64" t="e">
        <f>VLOOKUP($I131,[1]资产项汇总!$G:$M,7,0)</f>
        <v>#N/A</v>
      </c>
      <c r="R131" s="63"/>
      <c r="S131" s="66"/>
    </row>
    <row r="132" ht="16.5" spans="1:19">
      <c r="A132" s="62">
        <v>4</v>
      </c>
      <c r="B132" s="62" t="s">
        <v>493</v>
      </c>
      <c r="C132" s="62" t="s">
        <v>494</v>
      </c>
      <c r="D132" s="62" t="s">
        <v>470</v>
      </c>
      <c r="E132" s="62" t="s">
        <v>495</v>
      </c>
      <c r="F132" s="62" t="s">
        <v>502</v>
      </c>
      <c r="G132" s="62" t="s">
        <v>505</v>
      </c>
      <c r="H132" s="62" t="s">
        <v>506</v>
      </c>
      <c r="I132" s="63"/>
      <c r="J132" s="62" t="str">
        <f t="shared" si="1"/>
        <v>户内公告栏01_/</v>
      </c>
      <c r="K132" s="64" t="s">
        <v>492</v>
      </c>
      <c r="L132" s="64" t="s">
        <v>499</v>
      </c>
      <c r="M132" s="64" t="e">
        <f>VLOOKUP($I132,[1]资产项汇总!$G:$M,4,0)</f>
        <v>#N/A</v>
      </c>
      <c r="N132" s="64" t="s">
        <v>499</v>
      </c>
      <c r="O132" s="65">
        <v>1</v>
      </c>
      <c r="P132" s="64" t="e">
        <f>VLOOKUP($I132,[1]资产项汇总!$G:$M,6,0)</f>
        <v>#N/A</v>
      </c>
      <c r="Q132" s="64" t="e">
        <f>VLOOKUP($I132,[1]资产项汇总!$G:$M,7,0)</f>
        <v>#N/A</v>
      </c>
      <c r="R132" s="63"/>
      <c r="S132" s="66"/>
    </row>
    <row r="133" ht="16.5" spans="1:19">
      <c r="A133" s="62">
        <v>5</v>
      </c>
      <c r="B133" s="62" t="s">
        <v>493</v>
      </c>
      <c r="C133" s="62" t="s">
        <v>494</v>
      </c>
      <c r="D133" s="62" t="s">
        <v>470</v>
      </c>
      <c r="E133" s="62" t="s">
        <v>507</v>
      </c>
      <c r="F133" s="62" t="s">
        <v>508</v>
      </c>
      <c r="G133" s="62" t="s">
        <v>509</v>
      </c>
      <c r="H133" s="62" t="s">
        <v>510</v>
      </c>
      <c r="I133" s="63"/>
      <c r="J133" s="62" t="str">
        <f t="shared" ref="J133:J196" si="2">H133&amp;K133&amp;N133</f>
        <v>灭火器01_/</v>
      </c>
      <c r="K133" s="64" t="s">
        <v>492</v>
      </c>
      <c r="L133" s="64" t="s">
        <v>499</v>
      </c>
      <c r="M133" s="64" t="e">
        <f>VLOOKUP($I133,[1]资产项汇总!$G:$M,4,0)</f>
        <v>#N/A</v>
      </c>
      <c r="N133" s="64" t="s">
        <v>499</v>
      </c>
      <c r="O133" s="65">
        <v>1</v>
      </c>
      <c r="P133" s="64" t="e">
        <f>VLOOKUP($I133,[1]资产项汇总!$G:$M,6,0)</f>
        <v>#N/A</v>
      </c>
      <c r="Q133" s="64" t="e">
        <f>VLOOKUP($I133,[1]资产项汇总!$G:$M,7,0)</f>
        <v>#N/A</v>
      </c>
      <c r="R133" s="63"/>
      <c r="S133" s="66"/>
    </row>
    <row r="134" ht="16.5" spans="1:19">
      <c r="A134" s="62">
        <v>6</v>
      </c>
      <c r="B134" s="62" t="s">
        <v>493</v>
      </c>
      <c r="C134" s="62" t="s">
        <v>494</v>
      </c>
      <c r="D134" s="62" t="s">
        <v>470</v>
      </c>
      <c r="E134" s="62" t="s">
        <v>507</v>
      </c>
      <c r="F134" s="62" t="s">
        <v>511</v>
      </c>
      <c r="G134" s="62" t="s">
        <v>512</v>
      </c>
      <c r="H134" s="62" t="s">
        <v>513</v>
      </c>
      <c r="I134" s="63"/>
      <c r="J134" s="62" t="str">
        <f t="shared" si="2"/>
        <v>鞋柜01_/</v>
      </c>
      <c r="K134" s="64" t="s">
        <v>492</v>
      </c>
      <c r="L134" s="64" t="s">
        <v>499</v>
      </c>
      <c r="M134" s="64" t="e">
        <f>VLOOKUP($I134,[1]资产项汇总!$G:$M,4,0)</f>
        <v>#N/A</v>
      </c>
      <c r="N134" s="64" t="s">
        <v>499</v>
      </c>
      <c r="O134" s="65">
        <v>1</v>
      </c>
      <c r="P134" s="64" t="e">
        <f>VLOOKUP($I134,[1]资产项汇总!$G:$M,6,0)</f>
        <v>#N/A</v>
      </c>
      <c r="Q134" s="64" t="e">
        <f>VLOOKUP($I134,[1]资产项汇总!$G:$M,7,0)</f>
        <v>#N/A</v>
      </c>
      <c r="R134" s="63"/>
      <c r="S134" s="66"/>
    </row>
    <row r="135" ht="16.5" spans="1:19">
      <c r="A135" s="62">
        <v>7</v>
      </c>
      <c r="B135" s="62" t="s">
        <v>493</v>
      </c>
      <c r="C135" s="62" t="s">
        <v>494</v>
      </c>
      <c r="D135" s="62" t="s">
        <v>470</v>
      </c>
      <c r="E135" s="62" t="s">
        <v>507</v>
      </c>
      <c r="F135" s="62" t="s">
        <v>511</v>
      </c>
      <c r="G135" s="62" t="s">
        <v>514</v>
      </c>
      <c r="H135" s="62" t="s">
        <v>515</v>
      </c>
      <c r="I135" s="63"/>
      <c r="J135" s="62" t="str">
        <f t="shared" si="2"/>
        <v>茶几01圆形_/</v>
      </c>
      <c r="K135" s="64" t="s">
        <v>492</v>
      </c>
      <c r="L135" s="64" t="s">
        <v>499</v>
      </c>
      <c r="M135" s="64" t="e">
        <f>VLOOKUP($I135,[1]资产项汇总!$G:$M,4,0)</f>
        <v>#N/A</v>
      </c>
      <c r="N135" s="64" t="s">
        <v>499</v>
      </c>
      <c r="O135" s="65">
        <v>1</v>
      </c>
      <c r="P135" s="64" t="e">
        <f>VLOOKUP($I135,[1]资产项汇总!$G:$M,6,0)</f>
        <v>#N/A</v>
      </c>
      <c r="Q135" s="64" t="e">
        <f>VLOOKUP($I135,[1]资产项汇总!$G:$M,7,0)</f>
        <v>#N/A</v>
      </c>
      <c r="R135" s="63"/>
      <c r="S135" s="66"/>
    </row>
    <row r="136" ht="16.5" spans="1:19">
      <c r="A136" s="62">
        <v>8</v>
      </c>
      <c r="B136" s="62" t="s">
        <v>493</v>
      </c>
      <c r="C136" s="62" t="s">
        <v>494</v>
      </c>
      <c r="D136" s="62" t="s">
        <v>470</v>
      </c>
      <c r="E136" s="62" t="s">
        <v>507</v>
      </c>
      <c r="F136" s="62" t="s">
        <v>511</v>
      </c>
      <c r="G136" s="62" t="s">
        <v>516</v>
      </c>
      <c r="H136" s="62" t="s">
        <v>517</v>
      </c>
      <c r="I136" s="63"/>
      <c r="J136" s="62" t="str">
        <f t="shared" si="2"/>
        <v>沙发02两人_/</v>
      </c>
      <c r="K136" s="64" t="s">
        <v>492</v>
      </c>
      <c r="L136" s="64" t="s">
        <v>499</v>
      </c>
      <c r="M136" s="64" t="e">
        <f>VLOOKUP($I136,[1]资产项汇总!$G:$M,4,0)</f>
        <v>#N/A</v>
      </c>
      <c r="N136" s="64" t="s">
        <v>499</v>
      </c>
      <c r="O136" s="65">
        <v>1</v>
      </c>
      <c r="P136" s="64" t="e">
        <f>VLOOKUP($I136,[1]资产项汇总!$G:$M,6,0)</f>
        <v>#N/A</v>
      </c>
      <c r="Q136" s="64" t="e">
        <f>VLOOKUP($I136,[1]资产项汇总!$G:$M,7,0)</f>
        <v>#N/A</v>
      </c>
      <c r="R136" s="63"/>
      <c r="S136" s="66"/>
    </row>
    <row r="137" ht="16.5" spans="1:19">
      <c r="A137" s="62">
        <v>9</v>
      </c>
      <c r="B137" s="62" t="s">
        <v>493</v>
      </c>
      <c r="C137" s="62" t="s">
        <v>494</v>
      </c>
      <c r="D137" s="62" t="s">
        <v>470</v>
      </c>
      <c r="E137" s="62" t="s">
        <v>507</v>
      </c>
      <c r="F137" s="62" t="s">
        <v>511</v>
      </c>
      <c r="G137" s="62" t="s">
        <v>456</v>
      </c>
      <c r="H137" s="62" t="s">
        <v>518</v>
      </c>
      <c r="I137" s="63"/>
      <c r="J137" s="62" t="str">
        <f t="shared" si="2"/>
        <v>两人餐桌01正方形_/</v>
      </c>
      <c r="K137" s="64" t="s">
        <v>492</v>
      </c>
      <c r="L137" s="64" t="s">
        <v>499</v>
      </c>
      <c r="M137" s="64" t="e">
        <f>VLOOKUP($I137,[1]资产项汇总!$G:$M,4,0)</f>
        <v>#N/A</v>
      </c>
      <c r="N137" s="64" t="s">
        <v>499</v>
      </c>
      <c r="O137" s="65">
        <v>1</v>
      </c>
      <c r="P137" s="64" t="e">
        <f>VLOOKUP($I137,[1]资产项汇总!$G:$M,6,0)</f>
        <v>#N/A</v>
      </c>
      <c r="Q137" s="64" t="e">
        <f>VLOOKUP($I137,[1]资产项汇总!$G:$M,7,0)</f>
        <v>#N/A</v>
      </c>
      <c r="R137" s="63"/>
      <c r="S137" s="66"/>
    </row>
    <row r="138" ht="16.5" spans="1:19">
      <c r="A138" s="62">
        <v>10</v>
      </c>
      <c r="B138" s="62" t="s">
        <v>493</v>
      </c>
      <c r="C138" s="62" t="s">
        <v>494</v>
      </c>
      <c r="D138" s="62" t="s">
        <v>470</v>
      </c>
      <c r="E138" s="62" t="s">
        <v>507</v>
      </c>
      <c r="F138" s="62" t="s">
        <v>511</v>
      </c>
      <c r="G138" s="62" t="s">
        <v>519</v>
      </c>
      <c r="H138" s="62" t="s">
        <v>520</v>
      </c>
      <c r="I138" s="63"/>
      <c r="J138" s="62" t="str">
        <f t="shared" si="2"/>
        <v>椅子02配餐桌_/</v>
      </c>
      <c r="K138" s="64" t="s">
        <v>492</v>
      </c>
      <c r="L138" s="64" t="s">
        <v>499</v>
      </c>
      <c r="M138" s="64" t="e">
        <f>VLOOKUP($I138,[1]资产项汇总!$G:$M,4,0)</f>
        <v>#N/A</v>
      </c>
      <c r="N138" s="64" t="s">
        <v>499</v>
      </c>
      <c r="O138" s="65">
        <v>2</v>
      </c>
      <c r="P138" s="64" t="e">
        <f>VLOOKUP($I138,[1]资产项汇总!$G:$M,6,0)</f>
        <v>#N/A</v>
      </c>
      <c r="Q138" s="64" t="e">
        <f>VLOOKUP($I138,[1]资产项汇总!$G:$M,7,0)</f>
        <v>#N/A</v>
      </c>
      <c r="R138" s="63"/>
      <c r="S138" s="66"/>
    </row>
    <row r="139" ht="16.5" spans="1:19">
      <c r="A139" s="62">
        <v>11</v>
      </c>
      <c r="B139" s="62" t="s">
        <v>493</v>
      </c>
      <c r="C139" s="62" t="s">
        <v>494</v>
      </c>
      <c r="D139" s="62" t="s">
        <v>470</v>
      </c>
      <c r="E139" s="62" t="s">
        <v>507</v>
      </c>
      <c r="F139" s="62" t="s">
        <v>521</v>
      </c>
      <c r="G139" s="62" t="s">
        <v>522</v>
      </c>
      <c r="H139" s="62" t="s">
        <v>523</v>
      </c>
      <c r="I139" s="63"/>
      <c r="J139" s="62" t="str">
        <f t="shared" si="2"/>
        <v>冷暖空调01-1p_/</v>
      </c>
      <c r="K139" s="64" t="s">
        <v>492</v>
      </c>
      <c r="L139" s="64" t="s">
        <v>499</v>
      </c>
      <c r="M139" s="64" t="e">
        <f>VLOOKUP($I139,[1]资产项汇总!$G:$M,4,0)</f>
        <v>#N/A</v>
      </c>
      <c r="N139" s="64" t="s">
        <v>499</v>
      </c>
      <c r="O139" s="65">
        <v>1</v>
      </c>
      <c r="P139" s="64" t="e">
        <f>VLOOKUP($I139,[1]资产项汇总!$G:$M,6,0)</f>
        <v>#N/A</v>
      </c>
      <c r="Q139" s="64" t="e">
        <f>VLOOKUP($I139,[1]资产项汇总!$G:$M,7,0)</f>
        <v>#N/A</v>
      </c>
      <c r="R139" s="63"/>
      <c r="S139" s="66"/>
    </row>
    <row r="140" ht="16.5" spans="1:19">
      <c r="A140" s="62">
        <v>12</v>
      </c>
      <c r="B140" s="62" t="s">
        <v>493</v>
      </c>
      <c r="C140" s="62" t="s">
        <v>494</v>
      </c>
      <c r="D140" s="62" t="s">
        <v>470</v>
      </c>
      <c r="E140" s="62" t="s">
        <v>507</v>
      </c>
      <c r="F140" s="62" t="s">
        <v>521</v>
      </c>
      <c r="G140" s="62" t="s">
        <v>524</v>
      </c>
      <c r="H140" s="62" t="s">
        <v>525</v>
      </c>
      <c r="I140" s="63"/>
      <c r="J140" s="62" t="str">
        <f t="shared" si="2"/>
        <v>空调遥控器01_/</v>
      </c>
      <c r="K140" s="64" t="s">
        <v>492</v>
      </c>
      <c r="L140" s="64" t="s">
        <v>499</v>
      </c>
      <c r="M140" s="64" t="e">
        <f>VLOOKUP($I140,[1]资产项汇总!$G:$M,4,0)</f>
        <v>#N/A</v>
      </c>
      <c r="N140" s="64" t="s">
        <v>499</v>
      </c>
      <c r="O140" s="65">
        <v>1</v>
      </c>
      <c r="P140" s="64" t="e">
        <f>VLOOKUP($I140,[1]资产项汇总!$G:$M,6,0)</f>
        <v>#N/A</v>
      </c>
      <c r="Q140" s="64" t="e">
        <f>VLOOKUP($I140,[1]资产项汇总!$G:$M,7,0)</f>
        <v>#N/A</v>
      </c>
      <c r="R140" s="63"/>
      <c r="S140" s="66"/>
    </row>
    <row r="141" ht="16.5" spans="1:19">
      <c r="A141" s="62">
        <v>13</v>
      </c>
      <c r="B141" s="62" t="s">
        <v>493</v>
      </c>
      <c r="C141" s="62" t="s">
        <v>494</v>
      </c>
      <c r="D141" s="62" t="s">
        <v>470</v>
      </c>
      <c r="E141" s="62" t="s">
        <v>507</v>
      </c>
      <c r="F141" s="62" t="s">
        <v>526</v>
      </c>
      <c r="G141" s="62" t="s">
        <v>527</v>
      </c>
      <c r="H141" s="62" t="s">
        <v>528</v>
      </c>
      <c r="I141" s="63"/>
      <c r="J141" s="62" t="str">
        <f t="shared" si="2"/>
        <v>筒灯01_/</v>
      </c>
      <c r="K141" s="64" t="s">
        <v>492</v>
      </c>
      <c r="L141" s="64" t="s">
        <v>499</v>
      </c>
      <c r="M141" s="64" t="e">
        <f>VLOOKUP($I141,[1]资产项汇总!$G:$M,4,0)</f>
        <v>#N/A</v>
      </c>
      <c r="N141" s="64" t="s">
        <v>499</v>
      </c>
      <c r="O141" s="65">
        <v>1</v>
      </c>
      <c r="P141" s="64" t="e">
        <f>VLOOKUP($I141,[1]资产项汇总!$G:$M,6,0)</f>
        <v>#N/A</v>
      </c>
      <c r="Q141" s="64" t="e">
        <f>VLOOKUP($I141,[1]资产项汇总!$G:$M,7,0)</f>
        <v>#N/A</v>
      </c>
      <c r="R141" s="63"/>
      <c r="S141" s="66"/>
    </row>
    <row r="142" ht="16.5" spans="1:19">
      <c r="A142" s="62">
        <v>14</v>
      </c>
      <c r="B142" s="62" t="s">
        <v>493</v>
      </c>
      <c r="C142" s="62" t="s">
        <v>494</v>
      </c>
      <c r="D142" s="62" t="s">
        <v>470</v>
      </c>
      <c r="E142" s="62" t="s">
        <v>507</v>
      </c>
      <c r="F142" s="62" t="s">
        <v>526</v>
      </c>
      <c r="G142" s="62" t="s">
        <v>529</v>
      </c>
      <c r="H142" s="62" t="s">
        <v>530</v>
      </c>
      <c r="I142" s="63"/>
      <c r="J142" s="62" t="str">
        <f t="shared" si="2"/>
        <v>吸顶灯01_/</v>
      </c>
      <c r="K142" s="64" t="s">
        <v>492</v>
      </c>
      <c r="L142" s="64" t="s">
        <v>499</v>
      </c>
      <c r="M142" s="64" t="e">
        <f>VLOOKUP($I142,[1]资产项汇总!$G:$M,4,0)</f>
        <v>#N/A</v>
      </c>
      <c r="N142" s="64" t="s">
        <v>499</v>
      </c>
      <c r="O142" s="65">
        <v>1</v>
      </c>
      <c r="P142" s="64" t="e">
        <f>VLOOKUP($I142,[1]资产项汇总!$G:$M,6,0)</f>
        <v>#N/A</v>
      </c>
      <c r="Q142" s="64" t="e">
        <f>VLOOKUP($I142,[1]资产项汇总!$G:$M,7,0)</f>
        <v>#N/A</v>
      </c>
      <c r="R142" s="63"/>
      <c r="S142" s="66"/>
    </row>
    <row r="143" ht="16.5" spans="1:19">
      <c r="A143" s="62">
        <v>15</v>
      </c>
      <c r="B143" s="62" t="s">
        <v>493</v>
      </c>
      <c r="C143" s="62" t="s">
        <v>494</v>
      </c>
      <c r="D143" s="62" t="s">
        <v>470</v>
      </c>
      <c r="E143" s="62" t="s">
        <v>507</v>
      </c>
      <c r="F143" s="62" t="s">
        <v>508</v>
      </c>
      <c r="G143" s="62" t="s">
        <v>531</v>
      </c>
      <c r="H143" s="62" t="s">
        <v>532</v>
      </c>
      <c r="I143" s="63"/>
      <c r="J143" s="62" t="str">
        <f t="shared" si="2"/>
        <v>烟感01_/</v>
      </c>
      <c r="K143" s="64" t="s">
        <v>492</v>
      </c>
      <c r="L143" s="64" t="s">
        <v>499</v>
      </c>
      <c r="M143" s="64" t="e">
        <f>VLOOKUP($I143,[1]资产项汇总!$G:$M,4,0)</f>
        <v>#N/A</v>
      </c>
      <c r="N143" s="64" t="s">
        <v>499</v>
      </c>
      <c r="O143" s="65">
        <v>1</v>
      </c>
      <c r="P143" s="64" t="e">
        <f>VLOOKUP($I143,[1]资产项汇总!$G:$M,6,0)</f>
        <v>#N/A</v>
      </c>
      <c r="Q143" s="64" t="e">
        <f>VLOOKUP($I143,[1]资产项汇总!$G:$M,7,0)</f>
        <v>#N/A</v>
      </c>
      <c r="R143" s="63"/>
      <c r="S143" s="66"/>
    </row>
    <row r="144" ht="16.5" spans="1:19">
      <c r="A144" s="62">
        <v>16</v>
      </c>
      <c r="B144" s="62" t="s">
        <v>493</v>
      </c>
      <c r="C144" s="62" t="s">
        <v>494</v>
      </c>
      <c r="D144" s="62" t="s">
        <v>470</v>
      </c>
      <c r="E144" s="62" t="s">
        <v>507</v>
      </c>
      <c r="F144" s="62" t="s">
        <v>533</v>
      </c>
      <c r="G144" s="62" t="s">
        <v>534</v>
      </c>
      <c r="H144" s="62" t="s">
        <v>535</v>
      </c>
      <c r="I144" s="63"/>
      <c r="J144" s="62" t="str">
        <f t="shared" si="2"/>
        <v>户内配电箱01_/</v>
      </c>
      <c r="K144" s="64" t="s">
        <v>492</v>
      </c>
      <c r="L144" s="64" t="s">
        <v>499</v>
      </c>
      <c r="M144" s="64" t="e">
        <f>VLOOKUP($I144,[1]资产项汇总!$G:$M,4,0)</f>
        <v>#N/A</v>
      </c>
      <c r="N144" s="64" t="s">
        <v>499</v>
      </c>
      <c r="O144" s="65">
        <v>1</v>
      </c>
      <c r="P144" s="64" t="e">
        <f>VLOOKUP($I144,[1]资产项汇总!$G:$M,6,0)</f>
        <v>#N/A</v>
      </c>
      <c r="Q144" s="64" t="e">
        <f>VLOOKUP($I144,[1]资产项汇总!$G:$M,7,0)</f>
        <v>#N/A</v>
      </c>
      <c r="R144" s="63"/>
      <c r="S144" s="66"/>
    </row>
    <row r="145" ht="16.5" spans="1:19">
      <c r="A145" s="62">
        <v>17</v>
      </c>
      <c r="B145" s="62" t="s">
        <v>493</v>
      </c>
      <c r="C145" s="62" t="s">
        <v>494</v>
      </c>
      <c r="D145" s="62" t="s">
        <v>470</v>
      </c>
      <c r="E145" s="62" t="s">
        <v>507</v>
      </c>
      <c r="F145" s="62" t="s">
        <v>511</v>
      </c>
      <c r="G145" s="62" t="s">
        <v>536</v>
      </c>
      <c r="H145" s="62" t="s">
        <v>537</v>
      </c>
      <c r="I145" s="63"/>
      <c r="J145" s="62" t="str">
        <f t="shared" si="2"/>
        <v>网络收纳盒01_/</v>
      </c>
      <c r="K145" s="64" t="s">
        <v>492</v>
      </c>
      <c r="L145" s="64" t="s">
        <v>499</v>
      </c>
      <c r="M145" s="64" t="e">
        <f>VLOOKUP($I145,[1]资产项汇总!$G:$M,4,0)</f>
        <v>#N/A</v>
      </c>
      <c r="N145" s="64" t="s">
        <v>499</v>
      </c>
      <c r="O145" s="65">
        <v>1</v>
      </c>
      <c r="P145" s="64" t="e">
        <f>VLOOKUP($I145,[1]资产项汇总!$G:$M,6,0)</f>
        <v>#N/A</v>
      </c>
      <c r="Q145" s="64" t="e">
        <f>VLOOKUP($I145,[1]资产项汇总!$G:$M,7,0)</f>
        <v>#N/A</v>
      </c>
      <c r="R145" s="63"/>
      <c r="S145" s="66"/>
    </row>
    <row r="146" ht="16.5" spans="1:19">
      <c r="A146" s="62">
        <v>18</v>
      </c>
      <c r="B146" s="62" t="s">
        <v>493</v>
      </c>
      <c r="C146" s="62" t="s">
        <v>494</v>
      </c>
      <c r="D146" s="62" t="s">
        <v>470</v>
      </c>
      <c r="E146" s="62" t="s">
        <v>507</v>
      </c>
      <c r="F146" s="62" t="s">
        <v>538</v>
      </c>
      <c r="G146" s="62" t="s">
        <v>539</v>
      </c>
      <c r="H146" s="62" t="s">
        <v>540</v>
      </c>
      <c r="I146" s="63"/>
      <c r="J146" s="62" t="str">
        <f t="shared" si="2"/>
        <v>光猫01_/</v>
      </c>
      <c r="K146" s="64" t="s">
        <v>492</v>
      </c>
      <c r="L146" s="64" t="s">
        <v>499</v>
      </c>
      <c r="M146" s="64" t="e">
        <f>VLOOKUP($I146,[1]资产项汇总!$G:$M,4,0)</f>
        <v>#N/A</v>
      </c>
      <c r="N146" s="64" t="s">
        <v>499</v>
      </c>
      <c r="O146" s="65">
        <v>1</v>
      </c>
      <c r="P146" s="64" t="e">
        <f>VLOOKUP($I146,[1]资产项汇总!$G:$M,6,0)</f>
        <v>#N/A</v>
      </c>
      <c r="Q146" s="64" t="e">
        <f>VLOOKUP($I146,[1]资产项汇总!$G:$M,7,0)</f>
        <v>#N/A</v>
      </c>
      <c r="R146" s="63"/>
      <c r="S146" s="66"/>
    </row>
    <row r="147" ht="16.5" spans="1:19">
      <c r="A147" s="62">
        <v>19</v>
      </c>
      <c r="B147" s="62" t="s">
        <v>493</v>
      </c>
      <c r="C147" s="62" t="s">
        <v>494</v>
      </c>
      <c r="D147" s="62" t="s">
        <v>470</v>
      </c>
      <c r="E147" s="62" t="s">
        <v>507</v>
      </c>
      <c r="F147" s="62" t="s">
        <v>511</v>
      </c>
      <c r="G147" s="62" t="s">
        <v>541</v>
      </c>
      <c r="H147" s="62" t="s">
        <v>542</v>
      </c>
      <c r="I147" s="63"/>
      <c r="J147" s="62" t="str">
        <f t="shared" si="2"/>
        <v>试衣镜01_/</v>
      </c>
      <c r="K147" s="64" t="s">
        <v>492</v>
      </c>
      <c r="L147" s="64" t="s">
        <v>499</v>
      </c>
      <c r="M147" s="64" t="e">
        <f>VLOOKUP($I147,[1]资产项汇总!$G:$M,4,0)</f>
        <v>#N/A</v>
      </c>
      <c r="N147" s="64" t="s">
        <v>499</v>
      </c>
      <c r="O147" s="65">
        <v>1</v>
      </c>
      <c r="P147" s="64" t="e">
        <f>VLOOKUP($I147,[1]资产项汇总!$G:$M,6,0)</f>
        <v>#N/A</v>
      </c>
      <c r="Q147" s="64" t="e">
        <f>VLOOKUP($I147,[1]资产项汇总!$G:$M,7,0)</f>
        <v>#N/A</v>
      </c>
      <c r="R147" s="63"/>
      <c r="S147" s="66"/>
    </row>
    <row r="148" ht="16.5" spans="1:19">
      <c r="A148" s="62">
        <v>20</v>
      </c>
      <c r="B148" s="62" t="s">
        <v>493</v>
      </c>
      <c r="C148" s="62" t="s">
        <v>494</v>
      </c>
      <c r="D148" s="62" t="s">
        <v>470</v>
      </c>
      <c r="E148" s="62" t="s">
        <v>507</v>
      </c>
      <c r="F148" s="62" t="s">
        <v>496</v>
      </c>
      <c r="G148" s="62" t="s">
        <v>543</v>
      </c>
      <c r="H148" s="62" t="s">
        <v>600</v>
      </c>
      <c r="I148" s="63"/>
      <c r="J148" s="62" t="str">
        <f t="shared" si="2"/>
        <v>窗户01清玻_/</v>
      </c>
      <c r="K148" s="64" t="s">
        <v>492</v>
      </c>
      <c r="L148" s="64" t="s">
        <v>499</v>
      </c>
      <c r="M148" s="64" t="e">
        <f>VLOOKUP($I148,[1]资产项汇总!$G:$M,4,0)</f>
        <v>#N/A</v>
      </c>
      <c r="N148" s="64" t="s">
        <v>499</v>
      </c>
      <c r="O148" s="65">
        <v>2</v>
      </c>
      <c r="P148" s="64" t="e">
        <f>VLOOKUP($I148,[1]资产项汇总!$G:$M,6,0)</f>
        <v>#N/A</v>
      </c>
      <c r="Q148" s="64" t="e">
        <f>VLOOKUP($I148,[1]资产项汇总!$G:$M,7,0)</f>
        <v>#N/A</v>
      </c>
      <c r="R148" s="63"/>
      <c r="S148" s="66"/>
    </row>
    <row r="149" ht="16.5" spans="1:19">
      <c r="A149" s="62">
        <v>21</v>
      </c>
      <c r="B149" s="62" t="s">
        <v>493</v>
      </c>
      <c r="C149" s="62" t="s">
        <v>494</v>
      </c>
      <c r="D149" s="62" t="s">
        <v>470</v>
      </c>
      <c r="E149" s="62" t="s">
        <v>507</v>
      </c>
      <c r="F149" s="62" t="s">
        <v>545</v>
      </c>
      <c r="G149" s="62" t="s">
        <v>546</v>
      </c>
      <c r="H149" s="62" t="s">
        <v>547</v>
      </c>
      <c r="I149" s="63"/>
      <c r="J149" s="62" t="str">
        <f t="shared" si="2"/>
        <v>布帘01_/</v>
      </c>
      <c r="K149" s="64" t="s">
        <v>492</v>
      </c>
      <c r="L149" s="64" t="s">
        <v>499</v>
      </c>
      <c r="M149" s="64" t="e">
        <f>VLOOKUP($I149,[1]资产项汇总!$G:$M,4,0)</f>
        <v>#N/A</v>
      </c>
      <c r="N149" s="64" t="s">
        <v>499</v>
      </c>
      <c r="O149" s="65">
        <v>1</v>
      </c>
      <c r="P149" s="64" t="e">
        <f>VLOOKUP($I149,[1]资产项汇总!$G:$M,6,0)</f>
        <v>#N/A</v>
      </c>
      <c r="Q149" s="64" t="e">
        <f>VLOOKUP($I149,[1]资产项汇总!$G:$M,7,0)</f>
        <v>#N/A</v>
      </c>
      <c r="R149" s="63"/>
      <c r="S149" s="66"/>
    </row>
    <row r="150" ht="16.5" spans="1:19">
      <c r="A150" s="62">
        <v>22</v>
      </c>
      <c r="B150" s="62" t="s">
        <v>493</v>
      </c>
      <c r="C150" s="62" t="s">
        <v>494</v>
      </c>
      <c r="D150" s="62" t="s">
        <v>470</v>
      </c>
      <c r="E150" s="62" t="s">
        <v>507</v>
      </c>
      <c r="F150" s="62" t="s">
        <v>511</v>
      </c>
      <c r="G150" s="62" t="s">
        <v>452</v>
      </c>
      <c r="H150" s="62" t="s">
        <v>548</v>
      </c>
      <c r="I150" s="63"/>
      <c r="J150" s="62" t="str">
        <f t="shared" si="2"/>
        <v>操作台02洗衣机1.6m_/</v>
      </c>
      <c r="K150" s="64" t="s">
        <v>492</v>
      </c>
      <c r="L150" s="64" t="s">
        <v>499</v>
      </c>
      <c r="M150" s="64" t="e">
        <f>VLOOKUP($I150,[1]资产项汇总!$G:$M,4,0)</f>
        <v>#N/A</v>
      </c>
      <c r="N150" s="64" t="s">
        <v>499</v>
      </c>
      <c r="O150" s="65">
        <v>1</v>
      </c>
      <c r="P150" s="64" t="e">
        <f>VLOOKUP($I150,[1]资产项汇总!$G:$M,6,0)</f>
        <v>#N/A</v>
      </c>
      <c r="Q150" s="64" t="e">
        <f>VLOOKUP($I150,[1]资产项汇总!$G:$M,7,0)</f>
        <v>#N/A</v>
      </c>
      <c r="R150" s="63"/>
      <c r="S150" s="66"/>
    </row>
    <row r="151" ht="16.5" spans="1:19">
      <c r="A151" s="62">
        <v>23</v>
      </c>
      <c r="B151" s="62" t="s">
        <v>493</v>
      </c>
      <c r="C151" s="62" t="s">
        <v>494</v>
      </c>
      <c r="D151" s="62" t="s">
        <v>470</v>
      </c>
      <c r="E151" s="62" t="s">
        <v>507</v>
      </c>
      <c r="F151" s="62" t="s">
        <v>511</v>
      </c>
      <c r="G151" s="62" t="s">
        <v>549</v>
      </c>
      <c r="H151" s="62" t="s">
        <v>550</v>
      </c>
      <c r="I151" s="63"/>
      <c r="J151" s="62" t="str">
        <f t="shared" si="2"/>
        <v>镜子01_/</v>
      </c>
      <c r="K151" s="64" t="s">
        <v>492</v>
      </c>
      <c r="L151" s="64" t="s">
        <v>499</v>
      </c>
      <c r="M151" s="64" t="e">
        <f>VLOOKUP($I151,[1]资产项汇总!$G:$M,4,0)</f>
        <v>#N/A</v>
      </c>
      <c r="N151" s="64" t="s">
        <v>499</v>
      </c>
      <c r="O151" s="65">
        <v>1</v>
      </c>
      <c r="P151" s="64" t="e">
        <f>VLOOKUP($I151,[1]资产项汇总!$G:$M,6,0)</f>
        <v>#N/A</v>
      </c>
      <c r="Q151" s="64" t="e">
        <f>VLOOKUP($I151,[1]资产项汇总!$G:$M,7,0)</f>
        <v>#N/A</v>
      </c>
      <c r="R151" s="63"/>
      <c r="S151" s="66"/>
    </row>
    <row r="152" ht="16.5" spans="1:19">
      <c r="A152" s="62">
        <v>24</v>
      </c>
      <c r="B152" s="62" t="s">
        <v>493</v>
      </c>
      <c r="C152" s="62" t="s">
        <v>494</v>
      </c>
      <c r="D152" s="62" t="s">
        <v>470</v>
      </c>
      <c r="E152" s="62" t="s">
        <v>507</v>
      </c>
      <c r="F152" s="62" t="s">
        <v>526</v>
      </c>
      <c r="G152" s="62" t="s">
        <v>551</v>
      </c>
      <c r="H152" s="62" t="s">
        <v>552</v>
      </c>
      <c r="I152" s="63"/>
      <c r="J152" s="62" t="str">
        <f t="shared" si="2"/>
        <v>镜前灯01_/</v>
      </c>
      <c r="K152" s="64" t="s">
        <v>492</v>
      </c>
      <c r="L152" s="64" t="s">
        <v>499</v>
      </c>
      <c r="M152" s="64" t="e">
        <f>VLOOKUP($I152,[1]资产项汇总!$G:$M,4,0)</f>
        <v>#N/A</v>
      </c>
      <c r="N152" s="64" t="s">
        <v>499</v>
      </c>
      <c r="O152" s="65">
        <v>1</v>
      </c>
      <c r="P152" s="64" t="e">
        <f>VLOOKUP($I152,[1]资产项汇总!$G:$M,6,0)</f>
        <v>#N/A</v>
      </c>
      <c r="Q152" s="64" t="e">
        <f>VLOOKUP($I152,[1]资产项汇总!$G:$M,7,0)</f>
        <v>#N/A</v>
      </c>
      <c r="R152" s="63"/>
      <c r="S152" s="66"/>
    </row>
    <row r="153" ht="16.5" spans="1:19">
      <c r="A153" s="62">
        <v>25</v>
      </c>
      <c r="B153" s="62" t="s">
        <v>493</v>
      </c>
      <c r="C153" s="62" t="s">
        <v>494</v>
      </c>
      <c r="D153" s="62" t="s">
        <v>470</v>
      </c>
      <c r="E153" s="62" t="s">
        <v>507</v>
      </c>
      <c r="F153" s="62" t="s">
        <v>533</v>
      </c>
      <c r="G153" s="62" t="s">
        <v>553</v>
      </c>
      <c r="H153" s="62" t="s">
        <v>554</v>
      </c>
      <c r="I153" s="63"/>
      <c r="J153" s="62" t="str">
        <f t="shared" si="2"/>
        <v>等电位箱01_/</v>
      </c>
      <c r="K153" s="64" t="s">
        <v>492</v>
      </c>
      <c r="L153" s="64" t="s">
        <v>499</v>
      </c>
      <c r="M153" s="64" t="e">
        <f>VLOOKUP($I153,[1]资产项汇总!$G:$M,4,0)</f>
        <v>#N/A</v>
      </c>
      <c r="N153" s="64" t="s">
        <v>499</v>
      </c>
      <c r="O153" s="65">
        <v>1</v>
      </c>
      <c r="P153" s="64" t="e">
        <f>VLOOKUP($I153,[1]资产项汇总!$G:$M,6,0)</f>
        <v>#N/A</v>
      </c>
      <c r="Q153" s="64" t="e">
        <f>VLOOKUP($I153,[1]资产项汇总!$G:$M,7,0)</f>
        <v>#N/A</v>
      </c>
      <c r="R153" s="63"/>
      <c r="S153" s="66"/>
    </row>
    <row r="154" ht="16.5" spans="1:19">
      <c r="A154" s="62">
        <v>26</v>
      </c>
      <c r="B154" s="62" t="s">
        <v>493</v>
      </c>
      <c r="C154" s="62" t="s">
        <v>494</v>
      </c>
      <c r="D154" s="62" t="s">
        <v>470</v>
      </c>
      <c r="E154" s="62" t="s">
        <v>507</v>
      </c>
      <c r="F154" s="62" t="s">
        <v>511</v>
      </c>
      <c r="G154" s="62" t="s">
        <v>555</v>
      </c>
      <c r="H154" s="62" t="s">
        <v>556</v>
      </c>
      <c r="I154" s="63"/>
      <c r="J154" s="62" t="str">
        <f t="shared" si="2"/>
        <v>墙上/天花晾衣杆_/</v>
      </c>
      <c r="K154" s="64" t="s">
        <v>492</v>
      </c>
      <c r="L154" s="64" t="s">
        <v>499</v>
      </c>
      <c r="M154" s="64" t="e">
        <f>VLOOKUP($I154,[1]资产项汇总!$G:$M,4,0)</f>
        <v>#N/A</v>
      </c>
      <c r="N154" s="64" t="s">
        <v>499</v>
      </c>
      <c r="O154" s="65">
        <v>1</v>
      </c>
      <c r="P154" s="64" t="e">
        <f>VLOOKUP($I154,[1]资产项汇总!$G:$M,6,0)</f>
        <v>#N/A</v>
      </c>
      <c r="Q154" s="64" t="e">
        <f>VLOOKUP($I154,[1]资产项汇总!$G:$M,7,0)</f>
        <v>#N/A</v>
      </c>
      <c r="R154" s="63"/>
      <c r="S154" s="66"/>
    </row>
    <row r="155" ht="16.5" spans="1:19">
      <c r="A155" s="62">
        <v>27</v>
      </c>
      <c r="B155" s="62" t="s">
        <v>493</v>
      </c>
      <c r="C155" s="62" t="s">
        <v>494</v>
      </c>
      <c r="D155" s="62" t="s">
        <v>470</v>
      </c>
      <c r="E155" s="62" t="s">
        <v>557</v>
      </c>
      <c r="F155" s="62" t="s">
        <v>496</v>
      </c>
      <c r="G155" s="62" t="s">
        <v>558</v>
      </c>
      <c r="H155" s="62" t="s">
        <v>559</v>
      </c>
      <c r="I155" s="63"/>
      <c r="J155" s="62" t="str">
        <f t="shared" si="2"/>
        <v>房间门01_/</v>
      </c>
      <c r="K155" s="64" t="s">
        <v>492</v>
      </c>
      <c r="L155" s="64" t="s">
        <v>499</v>
      </c>
      <c r="M155" s="64" t="e">
        <f>VLOOKUP($I155,[1]资产项汇总!$G:$M,4,0)</f>
        <v>#N/A</v>
      </c>
      <c r="N155" s="64" t="s">
        <v>499</v>
      </c>
      <c r="O155" s="65">
        <v>1</v>
      </c>
      <c r="P155" s="64" t="e">
        <f>VLOOKUP($I155,[1]资产项汇总!$G:$M,6,0)</f>
        <v>#N/A</v>
      </c>
      <c r="Q155" s="64" t="e">
        <f>VLOOKUP($I155,[1]资产项汇总!$G:$M,7,0)</f>
        <v>#N/A</v>
      </c>
      <c r="R155" s="63"/>
      <c r="S155" s="66"/>
    </row>
    <row r="156" ht="16.5" spans="1:19">
      <c r="A156" s="62">
        <v>28</v>
      </c>
      <c r="B156" s="62" t="s">
        <v>493</v>
      </c>
      <c r="C156" s="62" t="s">
        <v>494</v>
      </c>
      <c r="D156" s="62" t="s">
        <v>470</v>
      </c>
      <c r="E156" s="62" t="s">
        <v>557</v>
      </c>
      <c r="F156" s="62" t="s">
        <v>496</v>
      </c>
      <c r="G156" s="62" t="s">
        <v>543</v>
      </c>
      <c r="H156" s="62" t="s">
        <v>600</v>
      </c>
      <c r="I156" s="63"/>
      <c r="J156" s="62" t="str">
        <f t="shared" si="2"/>
        <v>窗户01清玻_/</v>
      </c>
      <c r="K156" s="64" t="s">
        <v>492</v>
      </c>
      <c r="L156" s="64" t="s">
        <v>499</v>
      </c>
      <c r="M156" s="64" t="e">
        <f>VLOOKUP($I156,[1]资产项汇总!$G:$M,4,0)</f>
        <v>#N/A</v>
      </c>
      <c r="N156" s="64" t="s">
        <v>499</v>
      </c>
      <c r="O156" s="65">
        <v>1</v>
      </c>
      <c r="P156" s="64" t="e">
        <f>VLOOKUP($I156,[1]资产项汇总!$G:$M,6,0)</f>
        <v>#N/A</v>
      </c>
      <c r="Q156" s="64" t="e">
        <f>VLOOKUP($I156,[1]资产项汇总!$G:$M,7,0)</f>
        <v>#N/A</v>
      </c>
      <c r="R156" s="63"/>
      <c r="S156" s="66"/>
    </row>
    <row r="157" ht="16.5" spans="1:19">
      <c r="A157" s="62">
        <v>29</v>
      </c>
      <c r="B157" s="62" t="s">
        <v>493</v>
      </c>
      <c r="C157" s="62" t="s">
        <v>494</v>
      </c>
      <c r="D157" s="62" t="s">
        <v>470</v>
      </c>
      <c r="E157" s="62" t="s">
        <v>557</v>
      </c>
      <c r="F157" s="62" t="s">
        <v>545</v>
      </c>
      <c r="G157" s="62" t="s">
        <v>546</v>
      </c>
      <c r="H157" s="62" t="s">
        <v>547</v>
      </c>
      <c r="I157" s="63"/>
      <c r="J157" s="62" t="str">
        <f t="shared" si="2"/>
        <v>布帘01_/</v>
      </c>
      <c r="K157" s="64" t="s">
        <v>492</v>
      </c>
      <c r="L157" s="64" t="s">
        <v>499</v>
      </c>
      <c r="M157" s="64" t="e">
        <f>VLOOKUP($I157,[1]资产项汇总!$G:$M,4,0)</f>
        <v>#N/A</v>
      </c>
      <c r="N157" s="64" t="s">
        <v>499</v>
      </c>
      <c r="O157" s="65">
        <v>1</v>
      </c>
      <c r="P157" s="64" t="e">
        <f>VLOOKUP($I157,[1]资产项汇总!$G:$M,6,0)</f>
        <v>#N/A</v>
      </c>
      <c r="Q157" s="64" t="e">
        <f>VLOOKUP($I157,[1]资产项汇总!$G:$M,7,0)</f>
        <v>#N/A</v>
      </c>
      <c r="R157" s="63"/>
      <c r="S157" s="66"/>
    </row>
    <row r="158" ht="16.5" spans="1:19">
      <c r="A158" s="62">
        <v>30</v>
      </c>
      <c r="B158" s="62" t="s">
        <v>493</v>
      </c>
      <c r="C158" s="62" t="s">
        <v>494</v>
      </c>
      <c r="D158" s="62" t="s">
        <v>470</v>
      </c>
      <c r="E158" s="62" t="s">
        <v>557</v>
      </c>
      <c r="F158" s="62" t="s">
        <v>511</v>
      </c>
      <c r="G158" s="62" t="s">
        <v>560</v>
      </c>
      <c r="H158" s="62" t="s">
        <v>561</v>
      </c>
      <c r="I158" s="63"/>
      <c r="J158" s="62" t="str">
        <f t="shared" si="2"/>
        <v>标准床01-1.5m宽_/</v>
      </c>
      <c r="K158" s="64" t="s">
        <v>492</v>
      </c>
      <c r="L158" s="64" t="s">
        <v>499</v>
      </c>
      <c r="M158" s="64" t="e">
        <f>VLOOKUP($I158,[1]资产项汇总!$G:$M,4,0)</f>
        <v>#N/A</v>
      </c>
      <c r="N158" s="64" t="s">
        <v>499</v>
      </c>
      <c r="O158" s="65">
        <v>1</v>
      </c>
      <c r="P158" s="64" t="e">
        <f>VLOOKUP($I158,[1]资产项汇总!$G:$M,6,0)</f>
        <v>#N/A</v>
      </c>
      <c r="Q158" s="64" t="e">
        <f>VLOOKUP($I158,[1]资产项汇总!$G:$M,7,0)</f>
        <v>#N/A</v>
      </c>
      <c r="R158" s="63"/>
      <c r="S158" s="66"/>
    </row>
    <row r="159" ht="16.5" spans="1:19">
      <c r="A159" s="62">
        <v>31</v>
      </c>
      <c r="B159" s="62" t="s">
        <v>493</v>
      </c>
      <c r="C159" s="62" t="s">
        <v>494</v>
      </c>
      <c r="D159" s="62" t="s">
        <v>470</v>
      </c>
      <c r="E159" s="62" t="s">
        <v>557</v>
      </c>
      <c r="F159" s="62" t="s">
        <v>511</v>
      </c>
      <c r="G159" s="62" t="s">
        <v>562</v>
      </c>
      <c r="H159" s="62" t="s">
        <v>563</v>
      </c>
      <c r="I159" s="63"/>
      <c r="J159" s="62" t="str">
        <f t="shared" si="2"/>
        <v>床垫01-1.5m_/</v>
      </c>
      <c r="K159" s="64" t="s">
        <v>492</v>
      </c>
      <c r="L159" s="64" t="s">
        <v>499</v>
      </c>
      <c r="M159" s="64" t="e">
        <f>VLOOKUP($I159,[1]资产项汇总!$G:$M,4,0)</f>
        <v>#N/A</v>
      </c>
      <c r="N159" s="64" t="s">
        <v>499</v>
      </c>
      <c r="O159" s="65">
        <v>1</v>
      </c>
      <c r="P159" s="64" t="e">
        <f>VLOOKUP($I159,[1]资产项汇总!$G:$M,6,0)</f>
        <v>#N/A</v>
      </c>
      <c r="Q159" s="64" t="e">
        <f>VLOOKUP($I159,[1]资产项汇总!$G:$M,7,0)</f>
        <v>#N/A</v>
      </c>
      <c r="R159" s="63"/>
      <c r="S159" s="66"/>
    </row>
    <row r="160" ht="16.5" spans="1:19">
      <c r="A160" s="62">
        <v>32</v>
      </c>
      <c r="B160" s="62" t="s">
        <v>493</v>
      </c>
      <c r="C160" s="62" t="s">
        <v>494</v>
      </c>
      <c r="D160" s="62" t="s">
        <v>470</v>
      </c>
      <c r="E160" s="62" t="s">
        <v>557</v>
      </c>
      <c r="F160" s="62" t="s">
        <v>511</v>
      </c>
      <c r="G160" s="62" t="s">
        <v>564</v>
      </c>
      <c r="H160" s="62" t="s">
        <v>565</v>
      </c>
      <c r="I160" s="63"/>
      <c r="J160" s="62" t="str">
        <f t="shared" si="2"/>
        <v>衣柜01-通用无冰箱_/</v>
      </c>
      <c r="K160" s="64" t="s">
        <v>492</v>
      </c>
      <c r="L160" s="64" t="s">
        <v>499</v>
      </c>
      <c r="M160" s="64" t="e">
        <f>VLOOKUP($I160,[1]资产项汇总!$G:$M,4,0)</f>
        <v>#N/A</v>
      </c>
      <c r="N160" s="64" t="s">
        <v>499</v>
      </c>
      <c r="O160" s="65">
        <v>1</v>
      </c>
      <c r="P160" s="64" t="e">
        <f>VLOOKUP($I160,[1]资产项汇总!$G:$M,6,0)</f>
        <v>#N/A</v>
      </c>
      <c r="Q160" s="64" t="e">
        <f>VLOOKUP($I160,[1]资产项汇总!$G:$M,7,0)</f>
        <v>#N/A</v>
      </c>
      <c r="R160" s="63"/>
      <c r="S160" s="66"/>
    </row>
    <row r="161" ht="16.5" spans="1:19">
      <c r="A161" s="62">
        <v>33</v>
      </c>
      <c r="B161" s="62" t="s">
        <v>493</v>
      </c>
      <c r="C161" s="62" t="s">
        <v>494</v>
      </c>
      <c r="D161" s="62" t="s">
        <v>470</v>
      </c>
      <c r="E161" s="62" t="s">
        <v>557</v>
      </c>
      <c r="F161" s="62" t="s">
        <v>511</v>
      </c>
      <c r="G161" s="62" t="s">
        <v>601</v>
      </c>
      <c r="H161" s="62" t="s">
        <v>602</v>
      </c>
      <c r="I161" s="63"/>
      <c r="J161" s="62" t="str">
        <f t="shared" si="2"/>
        <v>床头柜01_/</v>
      </c>
      <c r="K161" s="64" t="s">
        <v>492</v>
      </c>
      <c r="L161" s="64" t="s">
        <v>499</v>
      </c>
      <c r="M161" s="64" t="e">
        <f>VLOOKUP($I161,[1]资产项汇总!$G:$M,4,0)</f>
        <v>#N/A</v>
      </c>
      <c r="N161" s="64" t="s">
        <v>499</v>
      </c>
      <c r="O161" s="65">
        <v>1</v>
      </c>
      <c r="P161" s="64" t="e">
        <f>VLOOKUP($I161,[1]资产项汇总!$G:$M,6,0)</f>
        <v>#N/A</v>
      </c>
      <c r="Q161" s="64" t="e">
        <f>VLOOKUP($I161,[1]资产项汇总!$G:$M,7,0)</f>
        <v>#N/A</v>
      </c>
      <c r="R161" s="63"/>
      <c r="S161" s="66"/>
    </row>
    <row r="162" ht="16.5" spans="1:19">
      <c r="A162" s="62">
        <v>34</v>
      </c>
      <c r="B162" s="62" t="s">
        <v>493</v>
      </c>
      <c r="C162" s="62" t="s">
        <v>494</v>
      </c>
      <c r="D162" s="62" t="s">
        <v>470</v>
      </c>
      <c r="E162" s="62" t="s">
        <v>557</v>
      </c>
      <c r="F162" s="62" t="s">
        <v>521</v>
      </c>
      <c r="G162" s="62" t="s">
        <v>522</v>
      </c>
      <c r="H162" s="62" t="s">
        <v>523</v>
      </c>
      <c r="I162" s="63"/>
      <c r="J162" s="62" t="str">
        <f t="shared" si="2"/>
        <v>冷暖空调01-1p_/</v>
      </c>
      <c r="K162" s="64" t="s">
        <v>492</v>
      </c>
      <c r="L162" s="64" t="s">
        <v>499</v>
      </c>
      <c r="M162" s="64" t="e">
        <f>VLOOKUP($I162,[1]资产项汇总!$G:$M,4,0)</f>
        <v>#N/A</v>
      </c>
      <c r="N162" s="64" t="s">
        <v>499</v>
      </c>
      <c r="O162" s="65">
        <v>1</v>
      </c>
      <c r="P162" s="64" t="e">
        <f>VLOOKUP($I162,[1]资产项汇总!$G:$M,6,0)</f>
        <v>#N/A</v>
      </c>
      <c r="Q162" s="64" t="e">
        <f>VLOOKUP($I162,[1]资产项汇总!$G:$M,7,0)</f>
        <v>#N/A</v>
      </c>
      <c r="R162" s="63"/>
      <c r="S162" s="66"/>
    </row>
    <row r="163" ht="16.5" spans="1:19">
      <c r="A163" s="62">
        <v>35</v>
      </c>
      <c r="B163" s="62" t="s">
        <v>493</v>
      </c>
      <c r="C163" s="62" t="s">
        <v>494</v>
      </c>
      <c r="D163" s="62" t="s">
        <v>470</v>
      </c>
      <c r="E163" s="62" t="s">
        <v>557</v>
      </c>
      <c r="F163" s="62" t="s">
        <v>521</v>
      </c>
      <c r="G163" s="62" t="s">
        <v>524</v>
      </c>
      <c r="H163" s="62" t="s">
        <v>525</v>
      </c>
      <c r="I163" s="63"/>
      <c r="J163" s="62" t="str">
        <f t="shared" si="2"/>
        <v>空调遥控器01_/</v>
      </c>
      <c r="K163" s="64" t="s">
        <v>492</v>
      </c>
      <c r="L163" s="64" t="s">
        <v>499</v>
      </c>
      <c r="M163" s="64" t="e">
        <f>VLOOKUP($I163,[1]资产项汇总!$G:$M,4,0)</f>
        <v>#N/A</v>
      </c>
      <c r="N163" s="64" t="s">
        <v>499</v>
      </c>
      <c r="O163" s="65">
        <v>1</v>
      </c>
      <c r="P163" s="64" t="e">
        <f>VLOOKUP($I163,[1]资产项汇总!$G:$M,6,0)</f>
        <v>#N/A</v>
      </c>
      <c r="Q163" s="64" t="e">
        <f>VLOOKUP($I163,[1]资产项汇总!$G:$M,7,0)</f>
        <v>#N/A</v>
      </c>
      <c r="R163" s="63"/>
      <c r="S163" s="66"/>
    </row>
    <row r="164" ht="16.5" spans="1:19">
      <c r="A164" s="62">
        <v>36</v>
      </c>
      <c r="B164" s="62" t="s">
        <v>493</v>
      </c>
      <c r="C164" s="62" t="s">
        <v>494</v>
      </c>
      <c r="D164" s="62" t="s">
        <v>470</v>
      </c>
      <c r="E164" s="62" t="s">
        <v>557</v>
      </c>
      <c r="F164" s="62" t="s">
        <v>526</v>
      </c>
      <c r="G164" s="62" t="s">
        <v>529</v>
      </c>
      <c r="H164" s="62" t="s">
        <v>530</v>
      </c>
      <c r="I164" s="63"/>
      <c r="J164" s="62" t="str">
        <f t="shared" si="2"/>
        <v>吸顶灯01_/</v>
      </c>
      <c r="K164" s="64" t="s">
        <v>492</v>
      </c>
      <c r="L164" s="64" t="s">
        <v>499</v>
      </c>
      <c r="M164" s="64" t="e">
        <f>VLOOKUP($I164,[1]资产项汇总!$G:$M,4,0)</f>
        <v>#N/A</v>
      </c>
      <c r="N164" s="64" t="s">
        <v>499</v>
      </c>
      <c r="O164" s="65">
        <v>1</v>
      </c>
      <c r="P164" s="64" t="e">
        <f>VLOOKUP($I164,[1]资产项汇总!$G:$M,6,0)</f>
        <v>#N/A</v>
      </c>
      <c r="Q164" s="64" t="e">
        <f>VLOOKUP($I164,[1]资产项汇总!$G:$M,7,0)</f>
        <v>#N/A</v>
      </c>
      <c r="R164" s="63"/>
      <c r="S164" s="66"/>
    </row>
    <row r="165" ht="16.5" spans="1:19">
      <c r="A165" s="62">
        <v>37</v>
      </c>
      <c r="B165" s="62" t="s">
        <v>493</v>
      </c>
      <c r="C165" s="62" t="s">
        <v>494</v>
      </c>
      <c r="D165" s="62" t="s">
        <v>470</v>
      </c>
      <c r="E165" s="62" t="s">
        <v>557</v>
      </c>
      <c r="F165" s="62" t="s">
        <v>508</v>
      </c>
      <c r="G165" s="62" t="s">
        <v>531</v>
      </c>
      <c r="H165" s="62" t="s">
        <v>532</v>
      </c>
      <c r="I165" s="63"/>
      <c r="J165" s="62" t="str">
        <f t="shared" si="2"/>
        <v>烟感01_/</v>
      </c>
      <c r="K165" s="64" t="s">
        <v>492</v>
      </c>
      <c r="L165" s="64" t="s">
        <v>499</v>
      </c>
      <c r="M165" s="64" t="e">
        <f>VLOOKUP($I165,[1]资产项汇总!$G:$M,4,0)</f>
        <v>#N/A</v>
      </c>
      <c r="N165" s="64" t="s">
        <v>499</v>
      </c>
      <c r="O165" s="65">
        <v>1</v>
      </c>
      <c r="P165" s="64" t="e">
        <f>VLOOKUP($I165,[1]资产项汇总!$G:$M,6,0)</f>
        <v>#N/A</v>
      </c>
      <c r="Q165" s="64" t="e">
        <f>VLOOKUP($I165,[1]资产项汇总!$G:$M,7,0)</f>
        <v>#N/A</v>
      </c>
      <c r="R165" s="63"/>
      <c r="S165" s="66"/>
    </row>
    <row r="166" ht="16.5" spans="1:19">
      <c r="A166" s="62">
        <v>38</v>
      </c>
      <c r="B166" s="62" t="s">
        <v>493</v>
      </c>
      <c r="C166" s="62" t="s">
        <v>494</v>
      </c>
      <c r="D166" s="62" t="s">
        <v>470</v>
      </c>
      <c r="E166" s="62" t="s">
        <v>566</v>
      </c>
      <c r="F166" s="62" t="s">
        <v>496</v>
      </c>
      <c r="G166" s="62" t="s">
        <v>567</v>
      </c>
      <c r="H166" s="62" t="s">
        <v>568</v>
      </c>
      <c r="I166" s="63"/>
      <c r="J166" s="62" t="str">
        <f t="shared" si="2"/>
        <v>整体卫浴卫生间门01_/</v>
      </c>
      <c r="K166" s="64" t="s">
        <v>492</v>
      </c>
      <c r="L166" s="64" t="s">
        <v>499</v>
      </c>
      <c r="M166" s="64" t="e">
        <f>VLOOKUP($I166,[1]资产项汇总!$G:$M,4,0)</f>
        <v>#N/A</v>
      </c>
      <c r="N166" s="64" t="s">
        <v>499</v>
      </c>
      <c r="O166" s="65">
        <v>1</v>
      </c>
      <c r="P166" s="64" t="e">
        <f>VLOOKUP($I166,[1]资产项汇总!$G:$M,6,0)</f>
        <v>#N/A</v>
      </c>
      <c r="Q166" s="64" t="e">
        <f>VLOOKUP($I166,[1]资产项汇总!$G:$M,7,0)</f>
        <v>#N/A</v>
      </c>
      <c r="R166" s="63"/>
      <c r="S166" s="66"/>
    </row>
    <row r="167" ht="16.5" spans="1:19">
      <c r="A167" s="62">
        <v>39</v>
      </c>
      <c r="B167" s="62" t="s">
        <v>493</v>
      </c>
      <c r="C167" s="62" t="s">
        <v>494</v>
      </c>
      <c r="D167" s="62" t="s">
        <v>470</v>
      </c>
      <c r="E167" s="62" t="s">
        <v>566</v>
      </c>
      <c r="F167" s="62" t="s">
        <v>521</v>
      </c>
      <c r="G167" s="62" t="s">
        <v>569</v>
      </c>
      <c r="H167" s="62" t="s">
        <v>570</v>
      </c>
      <c r="I167" s="63"/>
      <c r="J167" s="62" t="str">
        <f t="shared" si="2"/>
        <v>排风扇01_/</v>
      </c>
      <c r="K167" s="64" t="s">
        <v>492</v>
      </c>
      <c r="L167" s="64" t="s">
        <v>499</v>
      </c>
      <c r="M167" s="64" t="e">
        <f>VLOOKUP($I167,[1]资产项汇总!$G:$M,4,0)</f>
        <v>#N/A</v>
      </c>
      <c r="N167" s="64" t="s">
        <v>499</v>
      </c>
      <c r="O167" s="65">
        <v>1</v>
      </c>
      <c r="P167" s="64" t="e">
        <f>VLOOKUP($I167,[1]资产项汇总!$G:$M,6,0)</f>
        <v>#N/A</v>
      </c>
      <c r="Q167" s="64" t="e">
        <f>VLOOKUP($I167,[1]资产项汇总!$G:$M,7,0)</f>
        <v>#N/A</v>
      </c>
      <c r="R167" s="63"/>
      <c r="S167" s="66"/>
    </row>
    <row r="168" ht="16.5" spans="1:19">
      <c r="A168" s="62">
        <v>40</v>
      </c>
      <c r="B168" s="62" t="s">
        <v>493</v>
      </c>
      <c r="C168" s="62" t="s">
        <v>494</v>
      </c>
      <c r="D168" s="62" t="s">
        <v>470</v>
      </c>
      <c r="E168" s="62" t="s">
        <v>566</v>
      </c>
      <c r="F168" s="62" t="s">
        <v>511</v>
      </c>
      <c r="G168" s="62" t="s">
        <v>549</v>
      </c>
      <c r="H168" s="62" t="s">
        <v>571</v>
      </c>
      <c r="I168" s="63"/>
      <c r="J168" s="62" t="str">
        <f t="shared" si="2"/>
        <v>整体卫浴镜子01_/</v>
      </c>
      <c r="K168" s="64" t="s">
        <v>492</v>
      </c>
      <c r="L168" s="64" t="s">
        <v>499</v>
      </c>
      <c r="M168" s="64" t="e">
        <f>VLOOKUP($I168,[1]资产项汇总!$G:$M,4,0)</f>
        <v>#N/A</v>
      </c>
      <c r="N168" s="64" t="s">
        <v>499</v>
      </c>
      <c r="O168" s="65">
        <v>1</v>
      </c>
      <c r="P168" s="64" t="e">
        <f>VLOOKUP($I168,[1]资产项汇总!$G:$M,6,0)</f>
        <v>#N/A</v>
      </c>
      <c r="Q168" s="64" t="e">
        <f>VLOOKUP($I168,[1]资产项汇总!$G:$M,7,0)</f>
        <v>#N/A</v>
      </c>
      <c r="R168" s="63"/>
      <c r="S168" s="66"/>
    </row>
    <row r="169" ht="16.5" spans="1:19">
      <c r="A169" s="62">
        <v>41</v>
      </c>
      <c r="B169" s="62" t="s">
        <v>493</v>
      </c>
      <c r="C169" s="62" t="s">
        <v>494</v>
      </c>
      <c r="D169" s="62" t="s">
        <v>470</v>
      </c>
      <c r="E169" s="62" t="s">
        <v>566</v>
      </c>
      <c r="F169" s="62" t="s">
        <v>526</v>
      </c>
      <c r="G169" s="62" t="s">
        <v>572</v>
      </c>
      <c r="H169" s="62" t="s">
        <v>573</v>
      </c>
      <c r="I169" s="63"/>
      <c r="J169" s="62" t="str">
        <f t="shared" si="2"/>
        <v>整体卫浴厨卫灯01_/</v>
      </c>
      <c r="K169" s="64" t="s">
        <v>492</v>
      </c>
      <c r="L169" s="64" t="s">
        <v>499</v>
      </c>
      <c r="M169" s="64" t="e">
        <f>VLOOKUP($I169,[1]资产项汇总!$G:$M,4,0)</f>
        <v>#N/A</v>
      </c>
      <c r="N169" s="64" t="s">
        <v>499</v>
      </c>
      <c r="O169" s="65">
        <v>1</v>
      </c>
      <c r="P169" s="64" t="e">
        <f>VLOOKUP($I169,[1]资产项汇总!$G:$M,6,0)</f>
        <v>#N/A</v>
      </c>
      <c r="Q169" s="64" t="e">
        <f>VLOOKUP($I169,[1]资产项汇总!$G:$M,7,0)</f>
        <v>#N/A</v>
      </c>
      <c r="R169" s="63"/>
      <c r="S169" s="66"/>
    </row>
    <row r="170" ht="16.5" spans="1:19">
      <c r="A170" s="62">
        <v>42</v>
      </c>
      <c r="B170" s="62" t="s">
        <v>493</v>
      </c>
      <c r="C170" s="62" t="s">
        <v>494</v>
      </c>
      <c r="D170" s="62" t="s">
        <v>470</v>
      </c>
      <c r="E170" s="62" t="s">
        <v>566</v>
      </c>
      <c r="F170" s="62" t="s">
        <v>574</v>
      </c>
      <c r="G170" s="62" t="s">
        <v>575</v>
      </c>
      <c r="H170" s="62" t="s">
        <v>576</v>
      </c>
      <c r="I170" s="63"/>
      <c r="J170" s="62" t="str">
        <f t="shared" si="2"/>
        <v>整体卫浴淋浴手持花洒01_/</v>
      </c>
      <c r="K170" s="64" t="s">
        <v>492</v>
      </c>
      <c r="L170" s="64" t="s">
        <v>499</v>
      </c>
      <c r="M170" s="64" t="e">
        <f>VLOOKUP($I170,[1]资产项汇总!$G:$M,4,0)</f>
        <v>#N/A</v>
      </c>
      <c r="N170" s="64" t="s">
        <v>499</v>
      </c>
      <c r="O170" s="65">
        <v>1</v>
      </c>
      <c r="P170" s="64" t="e">
        <f>VLOOKUP($I170,[1]资产项汇总!$G:$M,6,0)</f>
        <v>#N/A</v>
      </c>
      <c r="Q170" s="64" t="e">
        <f>VLOOKUP($I170,[1]资产项汇总!$G:$M,7,0)</f>
        <v>#N/A</v>
      </c>
      <c r="R170" s="63"/>
      <c r="S170" s="66"/>
    </row>
    <row r="171" ht="16.5" spans="1:19">
      <c r="A171" s="62">
        <v>43</v>
      </c>
      <c r="B171" s="62" t="s">
        <v>493</v>
      </c>
      <c r="C171" s="62" t="s">
        <v>494</v>
      </c>
      <c r="D171" s="62" t="s">
        <v>470</v>
      </c>
      <c r="E171" s="62" t="s">
        <v>566</v>
      </c>
      <c r="F171" s="62" t="s">
        <v>574</v>
      </c>
      <c r="G171" s="62" t="s">
        <v>577</v>
      </c>
      <c r="H171" s="62" t="s">
        <v>578</v>
      </c>
      <c r="I171" s="63"/>
      <c r="J171" s="62" t="str">
        <f t="shared" si="2"/>
        <v>整体卫浴坐便器01_/</v>
      </c>
      <c r="K171" s="64" t="s">
        <v>492</v>
      </c>
      <c r="L171" s="64" t="s">
        <v>499</v>
      </c>
      <c r="M171" s="64" t="e">
        <f>VLOOKUP($I171,[1]资产项汇总!$G:$M,4,0)</f>
        <v>#N/A</v>
      </c>
      <c r="N171" s="64" t="s">
        <v>499</v>
      </c>
      <c r="O171" s="65">
        <v>1</v>
      </c>
      <c r="P171" s="64" t="e">
        <f>VLOOKUP($I171,[1]资产项汇总!$G:$M,6,0)</f>
        <v>#N/A</v>
      </c>
      <c r="Q171" s="64" t="e">
        <f>VLOOKUP($I171,[1]资产项汇总!$G:$M,7,0)</f>
        <v>#N/A</v>
      </c>
      <c r="R171" s="63"/>
      <c r="S171" s="66"/>
    </row>
    <row r="172" ht="16.5" spans="1:19">
      <c r="A172" s="62">
        <v>44</v>
      </c>
      <c r="B172" s="62" t="s">
        <v>493</v>
      </c>
      <c r="C172" s="62" t="s">
        <v>494</v>
      </c>
      <c r="D172" s="62" t="s">
        <v>470</v>
      </c>
      <c r="E172" s="62" t="s">
        <v>566</v>
      </c>
      <c r="F172" s="62" t="s">
        <v>574</v>
      </c>
      <c r="G172" s="62" t="s">
        <v>579</v>
      </c>
      <c r="H172" s="62" t="s">
        <v>580</v>
      </c>
      <c r="I172" s="63"/>
      <c r="J172" s="62" t="str">
        <f t="shared" si="2"/>
        <v>整体卫浴毛巾架01_/</v>
      </c>
      <c r="K172" s="64" t="s">
        <v>492</v>
      </c>
      <c r="L172" s="64" t="s">
        <v>499</v>
      </c>
      <c r="M172" s="64" t="e">
        <f>VLOOKUP($I172,[1]资产项汇总!$G:$M,4,0)</f>
        <v>#N/A</v>
      </c>
      <c r="N172" s="64" t="s">
        <v>499</v>
      </c>
      <c r="O172" s="65">
        <v>1</v>
      </c>
      <c r="P172" s="64" t="e">
        <f>VLOOKUP($I172,[1]资产项汇总!$G:$M,6,0)</f>
        <v>#N/A</v>
      </c>
      <c r="Q172" s="64" t="e">
        <f>VLOOKUP($I172,[1]资产项汇总!$G:$M,7,0)</f>
        <v>#N/A</v>
      </c>
      <c r="R172" s="63"/>
      <c r="S172" s="66"/>
    </row>
    <row r="173" ht="16.5" spans="1:19">
      <c r="A173" s="62">
        <v>45</v>
      </c>
      <c r="B173" s="62" t="s">
        <v>493</v>
      </c>
      <c r="C173" s="62" t="s">
        <v>494</v>
      </c>
      <c r="D173" s="62" t="s">
        <v>470</v>
      </c>
      <c r="E173" s="62" t="s">
        <v>566</v>
      </c>
      <c r="F173" s="62" t="s">
        <v>521</v>
      </c>
      <c r="G173" s="62" t="s">
        <v>581</v>
      </c>
      <c r="H173" s="62" t="s">
        <v>582</v>
      </c>
      <c r="I173" s="63"/>
      <c r="J173" s="62" t="str">
        <f t="shared" si="2"/>
        <v>电热水器02-60L_/</v>
      </c>
      <c r="K173" s="64" t="s">
        <v>492</v>
      </c>
      <c r="L173" s="64" t="s">
        <v>499</v>
      </c>
      <c r="M173" s="64" t="e">
        <f>VLOOKUP($I173,[1]资产项汇总!$G:$M,4,0)</f>
        <v>#N/A</v>
      </c>
      <c r="N173" s="64" t="s">
        <v>499</v>
      </c>
      <c r="O173" s="65">
        <v>1</v>
      </c>
      <c r="P173" s="64" t="e">
        <f>VLOOKUP($I173,[1]资产项汇总!$G:$M,6,0)</f>
        <v>#N/A</v>
      </c>
      <c r="Q173" s="64" t="e">
        <f>VLOOKUP($I173,[1]资产项汇总!$G:$M,7,0)</f>
        <v>#N/A</v>
      </c>
      <c r="R173" s="63"/>
      <c r="S173" s="66"/>
    </row>
    <row r="174" ht="16.5" spans="1:19">
      <c r="A174" s="62">
        <v>46</v>
      </c>
      <c r="B174" s="62" t="s">
        <v>493</v>
      </c>
      <c r="C174" s="62" t="s">
        <v>494</v>
      </c>
      <c r="D174" s="62" t="s">
        <v>470</v>
      </c>
      <c r="E174" s="62" t="s">
        <v>566</v>
      </c>
      <c r="F174" s="62" t="s">
        <v>502</v>
      </c>
      <c r="G174" s="62" t="s">
        <v>583</v>
      </c>
      <c r="H174" s="62" t="s">
        <v>584</v>
      </c>
      <c r="I174" s="63"/>
      <c r="J174" s="62" t="str">
        <f t="shared" si="2"/>
        <v>防水贴纸_/</v>
      </c>
      <c r="K174" s="64" t="s">
        <v>492</v>
      </c>
      <c r="L174" s="64" t="s">
        <v>499</v>
      </c>
      <c r="M174" s="64" t="e">
        <f>VLOOKUP($I174,[1]资产项汇总!$G:$M,4,0)</f>
        <v>#N/A</v>
      </c>
      <c r="N174" s="64" t="s">
        <v>499</v>
      </c>
      <c r="O174" s="65">
        <v>1</v>
      </c>
      <c r="P174" s="64" t="e">
        <f>VLOOKUP($I174,[1]资产项汇总!$G:$M,6,0)</f>
        <v>#N/A</v>
      </c>
      <c r="Q174" s="64" t="e">
        <f>VLOOKUP($I174,[1]资产项汇总!$G:$M,7,0)</f>
        <v>#N/A</v>
      </c>
      <c r="R174" s="63"/>
      <c r="S174" s="66"/>
    </row>
    <row r="175" ht="16.5" spans="1:19">
      <c r="A175" s="62">
        <v>47</v>
      </c>
      <c r="B175" s="62" t="s">
        <v>493</v>
      </c>
      <c r="C175" s="62" t="s">
        <v>494</v>
      </c>
      <c r="D175" s="62" t="s">
        <v>470</v>
      </c>
      <c r="E175" s="62" t="s">
        <v>566</v>
      </c>
      <c r="F175" s="62" t="s">
        <v>574</v>
      </c>
      <c r="G175" s="62" t="s">
        <v>585</v>
      </c>
      <c r="H175" s="62" t="s">
        <v>586</v>
      </c>
      <c r="I175" s="63"/>
      <c r="J175" s="62" t="str">
        <f t="shared" si="2"/>
        <v>整体卫浴悬挂式洗手盆01_/</v>
      </c>
      <c r="K175" s="64" t="s">
        <v>492</v>
      </c>
      <c r="L175" s="64" t="s">
        <v>499</v>
      </c>
      <c r="M175" s="64" t="e">
        <f>VLOOKUP($I175,[1]资产项汇总!$G:$M,4,0)</f>
        <v>#N/A</v>
      </c>
      <c r="N175" s="64" t="s">
        <v>499</v>
      </c>
      <c r="O175" s="65">
        <v>1</v>
      </c>
      <c r="P175" s="64" t="e">
        <f>VLOOKUP($I175,[1]资产项汇总!$G:$M,6,0)</f>
        <v>#N/A</v>
      </c>
      <c r="Q175" s="64" t="e">
        <f>VLOOKUP($I175,[1]资产项汇总!$G:$M,7,0)</f>
        <v>#N/A</v>
      </c>
      <c r="R175" s="63"/>
      <c r="S175" s="66"/>
    </row>
    <row r="176" ht="16.5" spans="1:19">
      <c r="A176" s="62">
        <v>48</v>
      </c>
      <c r="B176" s="62" t="s">
        <v>493</v>
      </c>
      <c r="C176" s="62" t="s">
        <v>494</v>
      </c>
      <c r="D176" s="62" t="s">
        <v>470</v>
      </c>
      <c r="E176" s="62" t="s">
        <v>566</v>
      </c>
      <c r="F176" s="62" t="s">
        <v>574</v>
      </c>
      <c r="G176" s="62" t="s">
        <v>587</v>
      </c>
      <c r="H176" s="62" t="s">
        <v>588</v>
      </c>
      <c r="I176" s="63"/>
      <c r="J176" s="62" t="str">
        <f t="shared" si="2"/>
        <v>整体卫浴三角浴篮01_/</v>
      </c>
      <c r="K176" s="64" t="s">
        <v>492</v>
      </c>
      <c r="L176" s="64" t="s">
        <v>499</v>
      </c>
      <c r="M176" s="64" t="e">
        <f>VLOOKUP($I176,[1]资产项汇总!$G:$M,4,0)</f>
        <v>#N/A</v>
      </c>
      <c r="N176" s="64" t="s">
        <v>499</v>
      </c>
      <c r="O176" s="65">
        <v>1</v>
      </c>
      <c r="P176" s="64" t="e">
        <f>VLOOKUP($I176,[1]资产项汇总!$G:$M,6,0)</f>
        <v>#N/A</v>
      </c>
      <c r="Q176" s="64" t="e">
        <f>VLOOKUP($I176,[1]资产项汇总!$G:$M,7,0)</f>
        <v>#N/A</v>
      </c>
      <c r="R176" s="63"/>
      <c r="S176" s="66"/>
    </row>
    <row r="177" ht="16.5" spans="1:19">
      <c r="A177" s="62">
        <v>49</v>
      </c>
      <c r="B177" s="62" t="s">
        <v>493</v>
      </c>
      <c r="C177" s="62" t="s">
        <v>494</v>
      </c>
      <c r="D177" s="62" t="s">
        <v>470</v>
      </c>
      <c r="E177" s="62" t="s">
        <v>566</v>
      </c>
      <c r="F177" s="62" t="s">
        <v>574</v>
      </c>
      <c r="G177" s="62" t="s">
        <v>589</v>
      </c>
      <c r="H177" s="62" t="s">
        <v>590</v>
      </c>
      <c r="I177" s="63"/>
      <c r="J177" s="62" t="str">
        <f t="shared" si="2"/>
        <v>整体卫浴纸巾架01_/</v>
      </c>
      <c r="K177" s="64" t="s">
        <v>492</v>
      </c>
      <c r="L177" s="64" t="s">
        <v>499</v>
      </c>
      <c r="M177" s="64" t="e">
        <f>VLOOKUP($I177,[1]资产项汇总!$G:$M,4,0)</f>
        <v>#N/A</v>
      </c>
      <c r="N177" s="64" t="s">
        <v>499</v>
      </c>
      <c r="O177" s="65">
        <v>1</v>
      </c>
      <c r="P177" s="64" t="e">
        <f>VLOOKUP($I177,[1]资产项汇总!$G:$M,6,0)</f>
        <v>#N/A</v>
      </c>
      <c r="Q177" s="64" t="e">
        <f>VLOOKUP($I177,[1]资产项汇总!$G:$M,7,0)</f>
        <v>#N/A</v>
      </c>
      <c r="R177" s="63"/>
      <c r="S177" s="66"/>
    </row>
    <row r="178" ht="16.5" spans="1:19">
      <c r="A178" s="62">
        <v>1</v>
      </c>
      <c r="B178" s="62" t="s">
        <v>493</v>
      </c>
      <c r="C178" s="62" t="s">
        <v>494</v>
      </c>
      <c r="D178" s="62" t="s">
        <v>471</v>
      </c>
      <c r="E178" s="62" t="s">
        <v>495</v>
      </c>
      <c r="F178" s="62" t="s">
        <v>496</v>
      </c>
      <c r="G178" s="62" t="s">
        <v>497</v>
      </c>
      <c r="H178" s="62" t="s">
        <v>599</v>
      </c>
      <c r="I178" s="63"/>
      <c r="J178" s="62" t="str">
        <f t="shared" si="2"/>
        <v>入户门01木门_/</v>
      </c>
      <c r="K178" s="64" t="s">
        <v>492</v>
      </c>
      <c r="L178" s="64" t="s">
        <v>499</v>
      </c>
      <c r="M178" s="64" t="e">
        <f>VLOOKUP($I178,[1]资产项汇总!$G:$M,4,0)</f>
        <v>#N/A</v>
      </c>
      <c r="N178" s="64" t="s">
        <v>499</v>
      </c>
      <c r="O178" s="65">
        <v>1</v>
      </c>
      <c r="P178" s="64" t="e">
        <f>VLOOKUP($I178,[1]资产项汇总!$G:$M,6,0)</f>
        <v>#N/A</v>
      </c>
      <c r="Q178" s="64" t="e">
        <f>VLOOKUP($I178,[1]资产项汇总!$G:$M,7,0)</f>
        <v>#N/A</v>
      </c>
      <c r="R178" s="63"/>
      <c r="S178" s="66"/>
    </row>
    <row r="179" ht="16.5" spans="1:19">
      <c r="A179" s="62">
        <v>2</v>
      </c>
      <c r="B179" s="62" t="s">
        <v>493</v>
      </c>
      <c r="C179" s="62" t="s">
        <v>494</v>
      </c>
      <c r="D179" s="62" t="s">
        <v>471</v>
      </c>
      <c r="E179" s="62" t="s">
        <v>495</v>
      </c>
      <c r="F179" s="62" t="s">
        <v>496</v>
      </c>
      <c r="G179" s="62" t="s">
        <v>500</v>
      </c>
      <c r="H179" s="62" t="s">
        <v>501</v>
      </c>
      <c r="I179" s="63"/>
      <c r="J179" s="62" t="str">
        <f t="shared" si="2"/>
        <v>智能门锁01_/</v>
      </c>
      <c r="K179" s="64" t="s">
        <v>492</v>
      </c>
      <c r="L179" s="64" t="s">
        <v>499</v>
      </c>
      <c r="M179" s="64" t="e">
        <f>VLOOKUP($I179,[1]资产项汇总!$G:$M,4,0)</f>
        <v>#N/A</v>
      </c>
      <c r="N179" s="64" t="s">
        <v>499</v>
      </c>
      <c r="O179" s="65">
        <v>1</v>
      </c>
      <c r="P179" s="64" t="e">
        <f>VLOOKUP($I179,[1]资产项汇总!$G:$M,6,0)</f>
        <v>#N/A</v>
      </c>
      <c r="Q179" s="64" t="e">
        <f>VLOOKUP($I179,[1]资产项汇总!$G:$M,7,0)</f>
        <v>#N/A</v>
      </c>
      <c r="R179" s="63"/>
      <c r="S179" s="66"/>
    </row>
    <row r="180" ht="16.5" spans="1:19">
      <c r="A180" s="62">
        <v>3</v>
      </c>
      <c r="B180" s="62" t="s">
        <v>493</v>
      </c>
      <c r="C180" s="62" t="s">
        <v>494</v>
      </c>
      <c r="D180" s="62" t="s">
        <v>471</v>
      </c>
      <c r="E180" s="62" t="s">
        <v>495</v>
      </c>
      <c r="F180" s="62" t="s">
        <v>502</v>
      </c>
      <c r="G180" s="62" t="s">
        <v>503</v>
      </c>
      <c r="H180" s="62" t="s">
        <v>504</v>
      </c>
      <c r="I180" s="63"/>
      <c r="J180" s="62" t="str">
        <f t="shared" si="2"/>
        <v>门牌号01_/</v>
      </c>
      <c r="K180" s="64" t="s">
        <v>492</v>
      </c>
      <c r="L180" s="64" t="s">
        <v>499</v>
      </c>
      <c r="M180" s="64" t="e">
        <f>VLOOKUP($I180,[1]资产项汇总!$G:$M,4,0)</f>
        <v>#N/A</v>
      </c>
      <c r="N180" s="64" t="s">
        <v>499</v>
      </c>
      <c r="O180" s="65">
        <v>1</v>
      </c>
      <c r="P180" s="64" t="e">
        <f>VLOOKUP($I180,[1]资产项汇总!$G:$M,6,0)</f>
        <v>#N/A</v>
      </c>
      <c r="Q180" s="64" t="e">
        <f>VLOOKUP($I180,[1]资产项汇总!$G:$M,7,0)</f>
        <v>#N/A</v>
      </c>
      <c r="R180" s="63"/>
      <c r="S180" s="66"/>
    </row>
    <row r="181" ht="16.5" spans="1:19">
      <c r="A181" s="62">
        <v>4</v>
      </c>
      <c r="B181" s="62" t="s">
        <v>493</v>
      </c>
      <c r="C181" s="62" t="s">
        <v>494</v>
      </c>
      <c r="D181" s="62" t="s">
        <v>471</v>
      </c>
      <c r="E181" s="62" t="s">
        <v>495</v>
      </c>
      <c r="F181" s="62" t="s">
        <v>502</v>
      </c>
      <c r="G181" s="62" t="s">
        <v>505</v>
      </c>
      <c r="H181" s="62" t="s">
        <v>506</v>
      </c>
      <c r="I181" s="63"/>
      <c r="J181" s="62" t="str">
        <f t="shared" si="2"/>
        <v>户内公告栏01_/</v>
      </c>
      <c r="K181" s="64" t="s">
        <v>492</v>
      </c>
      <c r="L181" s="64" t="s">
        <v>499</v>
      </c>
      <c r="M181" s="64" t="e">
        <f>VLOOKUP($I181,[1]资产项汇总!$G:$M,4,0)</f>
        <v>#N/A</v>
      </c>
      <c r="N181" s="64" t="s">
        <v>499</v>
      </c>
      <c r="O181" s="65">
        <v>1</v>
      </c>
      <c r="P181" s="64" t="e">
        <f>VLOOKUP($I181,[1]资产项汇总!$G:$M,6,0)</f>
        <v>#N/A</v>
      </c>
      <c r="Q181" s="64" t="e">
        <f>VLOOKUP($I181,[1]资产项汇总!$G:$M,7,0)</f>
        <v>#N/A</v>
      </c>
      <c r="R181" s="63"/>
      <c r="S181" s="66"/>
    </row>
    <row r="182" ht="16.5" spans="1:19">
      <c r="A182" s="62">
        <v>5</v>
      </c>
      <c r="B182" s="62" t="s">
        <v>493</v>
      </c>
      <c r="C182" s="62" t="s">
        <v>494</v>
      </c>
      <c r="D182" s="62" t="s">
        <v>471</v>
      </c>
      <c r="E182" s="62" t="s">
        <v>557</v>
      </c>
      <c r="F182" s="62" t="s">
        <v>508</v>
      </c>
      <c r="G182" s="62" t="s">
        <v>509</v>
      </c>
      <c r="H182" s="62" t="s">
        <v>510</v>
      </c>
      <c r="I182" s="63"/>
      <c r="J182" s="62" t="str">
        <f t="shared" si="2"/>
        <v>灭火器01_/</v>
      </c>
      <c r="K182" s="64" t="s">
        <v>492</v>
      </c>
      <c r="L182" s="64" t="s">
        <v>499</v>
      </c>
      <c r="M182" s="64" t="e">
        <f>VLOOKUP($I182,[1]资产项汇总!$G:$M,4,0)</f>
        <v>#N/A</v>
      </c>
      <c r="N182" s="64" t="s">
        <v>499</v>
      </c>
      <c r="O182" s="65">
        <v>1</v>
      </c>
      <c r="P182" s="64" t="e">
        <f>VLOOKUP($I182,[1]资产项汇总!$G:$M,6,0)</f>
        <v>#N/A</v>
      </c>
      <c r="Q182" s="64" t="e">
        <f>VLOOKUP($I182,[1]资产项汇总!$G:$M,7,0)</f>
        <v>#N/A</v>
      </c>
      <c r="R182" s="63"/>
      <c r="S182" s="66"/>
    </row>
    <row r="183" ht="16.5" spans="1:19">
      <c r="A183" s="62">
        <v>6</v>
      </c>
      <c r="B183" s="62" t="s">
        <v>493</v>
      </c>
      <c r="C183" s="62" t="s">
        <v>494</v>
      </c>
      <c r="D183" s="62" t="s">
        <v>471</v>
      </c>
      <c r="E183" s="62" t="s">
        <v>557</v>
      </c>
      <c r="F183" s="62" t="s">
        <v>511</v>
      </c>
      <c r="G183" s="62" t="s">
        <v>512</v>
      </c>
      <c r="H183" s="62" t="s">
        <v>513</v>
      </c>
      <c r="I183" s="63"/>
      <c r="J183" s="62" t="str">
        <f t="shared" si="2"/>
        <v>鞋柜01_/</v>
      </c>
      <c r="K183" s="64" t="s">
        <v>492</v>
      </c>
      <c r="L183" s="64" t="s">
        <v>499</v>
      </c>
      <c r="M183" s="64" t="e">
        <f>VLOOKUP($I183,[1]资产项汇总!$G:$M,4,0)</f>
        <v>#N/A</v>
      </c>
      <c r="N183" s="64" t="s">
        <v>499</v>
      </c>
      <c r="O183" s="65">
        <v>1</v>
      </c>
      <c r="P183" s="64" t="e">
        <f>VLOOKUP($I183,[1]资产项汇总!$G:$M,6,0)</f>
        <v>#N/A</v>
      </c>
      <c r="Q183" s="64" t="e">
        <f>VLOOKUP($I183,[1]资产项汇总!$G:$M,7,0)</f>
        <v>#N/A</v>
      </c>
      <c r="R183" s="63"/>
      <c r="S183" s="66"/>
    </row>
    <row r="184" ht="16.5" spans="1:19">
      <c r="A184" s="62">
        <v>7</v>
      </c>
      <c r="B184" s="62" t="s">
        <v>493</v>
      </c>
      <c r="C184" s="62" t="s">
        <v>494</v>
      </c>
      <c r="D184" s="62" t="s">
        <v>471</v>
      </c>
      <c r="E184" s="62" t="s">
        <v>557</v>
      </c>
      <c r="F184" s="62" t="s">
        <v>511</v>
      </c>
      <c r="G184" s="62" t="s">
        <v>560</v>
      </c>
      <c r="H184" s="62" t="s">
        <v>561</v>
      </c>
      <c r="I184" s="63"/>
      <c r="J184" s="62" t="str">
        <f t="shared" si="2"/>
        <v>标准床01-1.5m宽_/</v>
      </c>
      <c r="K184" s="64" t="s">
        <v>492</v>
      </c>
      <c r="L184" s="64" t="s">
        <v>499</v>
      </c>
      <c r="M184" s="64" t="e">
        <f>VLOOKUP($I184,[1]资产项汇总!$G:$M,4,0)</f>
        <v>#N/A</v>
      </c>
      <c r="N184" s="64" t="s">
        <v>499</v>
      </c>
      <c r="O184" s="65">
        <v>1</v>
      </c>
      <c r="P184" s="64" t="e">
        <f>VLOOKUP($I184,[1]资产项汇总!$G:$M,6,0)</f>
        <v>#N/A</v>
      </c>
      <c r="Q184" s="64" t="e">
        <f>VLOOKUP($I184,[1]资产项汇总!$G:$M,7,0)</f>
        <v>#N/A</v>
      </c>
      <c r="R184" s="63"/>
      <c r="S184" s="66"/>
    </row>
    <row r="185" ht="16.5" spans="1:19">
      <c r="A185" s="62">
        <v>8</v>
      </c>
      <c r="B185" s="62" t="s">
        <v>493</v>
      </c>
      <c r="C185" s="62" t="s">
        <v>494</v>
      </c>
      <c r="D185" s="62" t="s">
        <v>471</v>
      </c>
      <c r="E185" s="62" t="s">
        <v>557</v>
      </c>
      <c r="F185" s="62" t="s">
        <v>511</v>
      </c>
      <c r="G185" s="62" t="s">
        <v>562</v>
      </c>
      <c r="H185" s="62" t="s">
        <v>563</v>
      </c>
      <c r="I185" s="63"/>
      <c r="J185" s="62" t="str">
        <f t="shared" si="2"/>
        <v>床垫01-1.5m_/</v>
      </c>
      <c r="K185" s="64" t="s">
        <v>492</v>
      </c>
      <c r="L185" s="64" t="s">
        <v>499</v>
      </c>
      <c r="M185" s="64" t="e">
        <f>VLOOKUP($I185,[1]资产项汇总!$G:$M,4,0)</f>
        <v>#N/A</v>
      </c>
      <c r="N185" s="64" t="s">
        <v>499</v>
      </c>
      <c r="O185" s="65">
        <v>1</v>
      </c>
      <c r="P185" s="64" t="e">
        <f>VLOOKUP($I185,[1]资产项汇总!$G:$M,6,0)</f>
        <v>#N/A</v>
      </c>
      <c r="Q185" s="64" t="e">
        <f>VLOOKUP($I185,[1]资产项汇总!$G:$M,7,0)</f>
        <v>#N/A</v>
      </c>
      <c r="R185" s="63"/>
      <c r="S185" s="66"/>
    </row>
    <row r="186" ht="16.5" spans="1:19">
      <c r="A186" s="62">
        <v>9</v>
      </c>
      <c r="B186" s="62" t="s">
        <v>493</v>
      </c>
      <c r="C186" s="62" t="s">
        <v>494</v>
      </c>
      <c r="D186" s="62" t="s">
        <v>471</v>
      </c>
      <c r="E186" s="62" t="s">
        <v>557</v>
      </c>
      <c r="F186" s="62" t="s">
        <v>511</v>
      </c>
      <c r="G186" s="62" t="s">
        <v>564</v>
      </c>
      <c r="H186" s="62" t="s">
        <v>565</v>
      </c>
      <c r="I186" s="63"/>
      <c r="J186" s="62" t="str">
        <f t="shared" si="2"/>
        <v>衣柜01-通用无冰箱_/</v>
      </c>
      <c r="K186" s="64" t="s">
        <v>492</v>
      </c>
      <c r="L186" s="64" t="s">
        <v>499</v>
      </c>
      <c r="M186" s="64" t="e">
        <f>VLOOKUP($I186,[1]资产项汇总!$G:$M,4,0)</f>
        <v>#N/A</v>
      </c>
      <c r="N186" s="64" t="s">
        <v>499</v>
      </c>
      <c r="O186" s="65">
        <v>1</v>
      </c>
      <c r="P186" s="64" t="e">
        <f>VLOOKUP($I186,[1]资产项汇总!$G:$M,6,0)</f>
        <v>#N/A</v>
      </c>
      <c r="Q186" s="64" t="e">
        <f>VLOOKUP($I186,[1]资产项汇总!$G:$M,7,0)</f>
        <v>#N/A</v>
      </c>
      <c r="R186" s="63"/>
      <c r="S186" s="66"/>
    </row>
    <row r="187" ht="16.5" spans="1:19">
      <c r="A187" s="62">
        <v>10</v>
      </c>
      <c r="B187" s="62" t="s">
        <v>493</v>
      </c>
      <c r="C187" s="62" t="s">
        <v>494</v>
      </c>
      <c r="D187" s="62" t="s">
        <v>471</v>
      </c>
      <c r="E187" s="62" t="s">
        <v>557</v>
      </c>
      <c r="F187" s="62" t="s">
        <v>521</v>
      </c>
      <c r="G187" s="62" t="s">
        <v>522</v>
      </c>
      <c r="H187" s="62" t="s">
        <v>523</v>
      </c>
      <c r="I187" s="63"/>
      <c r="J187" s="62" t="str">
        <f t="shared" si="2"/>
        <v>冷暖空调01-1p_/</v>
      </c>
      <c r="K187" s="64" t="s">
        <v>492</v>
      </c>
      <c r="L187" s="64" t="s">
        <v>499</v>
      </c>
      <c r="M187" s="64" t="e">
        <f>VLOOKUP($I187,[1]资产项汇总!$G:$M,4,0)</f>
        <v>#N/A</v>
      </c>
      <c r="N187" s="64" t="s">
        <v>499</v>
      </c>
      <c r="O187" s="65">
        <v>1</v>
      </c>
      <c r="P187" s="64" t="e">
        <f>VLOOKUP($I187,[1]资产项汇总!$G:$M,6,0)</f>
        <v>#N/A</v>
      </c>
      <c r="Q187" s="64" t="e">
        <f>VLOOKUP($I187,[1]资产项汇总!$G:$M,7,0)</f>
        <v>#N/A</v>
      </c>
      <c r="R187" s="63"/>
      <c r="S187" s="66"/>
    </row>
    <row r="188" ht="16.5" spans="1:19">
      <c r="A188" s="62">
        <v>11</v>
      </c>
      <c r="B188" s="62" t="s">
        <v>493</v>
      </c>
      <c r="C188" s="62" t="s">
        <v>494</v>
      </c>
      <c r="D188" s="62" t="s">
        <v>471</v>
      </c>
      <c r="E188" s="62" t="s">
        <v>557</v>
      </c>
      <c r="F188" s="62" t="s">
        <v>521</v>
      </c>
      <c r="G188" s="62" t="s">
        <v>524</v>
      </c>
      <c r="H188" s="62" t="s">
        <v>525</v>
      </c>
      <c r="I188" s="63"/>
      <c r="J188" s="62" t="str">
        <f t="shared" si="2"/>
        <v>空调遥控器01_/</v>
      </c>
      <c r="K188" s="64" t="s">
        <v>492</v>
      </c>
      <c r="L188" s="64" t="s">
        <v>499</v>
      </c>
      <c r="M188" s="64" t="e">
        <f>VLOOKUP($I188,[1]资产项汇总!$G:$M,4,0)</f>
        <v>#N/A</v>
      </c>
      <c r="N188" s="64" t="s">
        <v>499</v>
      </c>
      <c r="O188" s="65">
        <v>1</v>
      </c>
      <c r="P188" s="64" t="e">
        <f>VLOOKUP($I188,[1]资产项汇总!$G:$M,6,0)</f>
        <v>#N/A</v>
      </c>
      <c r="Q188" s="64" t="e">
        <f>VLOOKUP($I188,[1]资产项汇总!$G:$M,7,0)</f>
        <v>#N/A</v>
      </c>
      <c r="R188" s="63"/>
      <c r="S188" s="66"/>
    </row>
    <row r="189" ht="16.5" spans="1:19">
      <c r="A189" s="62">
        <v>12</v>
      </c>
      <c r="B189" s="62" t="s">
        <v>493</v>
      </c>
      <c r="C189" s="62" t="s">
        <v>494</v>
      </c>
      <c r="D189" s="62" t="s">
        <v>471</v>
      </c>
      <c r="E189" s="62" t="s">
        <v>557</v>
      </c>
      <c r="F189" s="62" t="s">
        <v>526</v>
      </c>
      <c r="G189" s="62" t="s">
        <v>529</v>
      </c>
      <c r="H189" s="62" t="s">
        <v>530</v>
      </c>
      <c r="I189" s="63"/>
      <c r="J189" s="62" t="str">
        <f t="shared" si="2"/>
        <v>吸顶灯01_/</v>
      </c>
      <c r="K189" s="64" t="s">
        <v>492</v>
      </c>
      <c r="L189" s="64" t="s">
        <v>499</v>
      </c>
      <c r="M189" s="64" t="e">
        <f>VLOOKUP($I189,[1]资产项汇总!$G:$M,4,0)</f>
        <v>#N/A</v>
      </c>
      <c r="N189" s="64" t="s">
        <v>499</v>
      </c>
      <c r="O189" s="65">
        <v>1</v>
      </c>
      <c r="P189" s="64" t="e">
        <f>VLOOKUP($I189,[1]资产项汇总!$G:$M,6,0)</f>
        <v>#N/A</v>
      </c>
      <c r="Q189" s="64" t="e">
        <f>VLOOKUP($I189,[1]资产项汇总!$G:$M,7,0)</f>
        <v>#N/A</v>
      </c>
      <c r="R189" s="63"/>
      <c r="S189" s="66"/>
    </row>
    <row r="190" ht="16.5" spans="1:19">
      <c r="A190" s="62">
        <v>13</v>
      </c>
      <c r="B190" s="62" t="s">
        <v>493</v>
      </c>
      <c r="C190" s="62" t="s">
        <v>494</v>
      </c>
      <c r="D190" s="62" t="s">
        <v>471</v>
      </c>
      <c r="E190" s="62" t="s">
        <v>557</v>
      </c>
      <c r="F190" s="62" t="s">
        <v>508</v>
      </c>
      <c r="G190" s="62" t="s">
        <v>531</v>
      </c>
      <c r="H190" s="62" t="s">
        <v>532</v>
      </c>
      <c r="I190" s="63"/>
      <c r="J190" s="62" t="str">
        <f t="shared" si="2"/>
        <v>烟感01_/</v>
      </c>
      <c r="K190" s="64" t="s">
        <v>492</v>
      </c>
      <c r="L190" s="64" t="s">
        <v>499</v>
      </c>
      <c r="M190" s="64" t="e">
        <f>VLOOKUP($I190,[1]资产项汇总!$G:$M,4,0)</f>
        <v>#N/A</v>
      </c>
      <c r="N190" s="64" t="s">
        <v>499</v>
      </c>
      <c r="O190" s="65">
        <v>1</v>
      </c>
      <c r="P190" s="64" t="e">
        <f>VLOOKUP($I190,[1]资产项汇总!$G:$M,6,0)</f>
        <v>#N/A</v>
      </c>
      <c r="Q190" s="64" t="e">
        <f>VLOOKUP($I190,[1]资产项汇总!$G:$M,7,0)</f>
        <v>#N/A</v>
      </c>
      <c r="R190" s="63"/>
      <c r="S190" s="66"/>
    </row>
    <row r="191" ht="16.5" spans="1:19">
      <c r="A191" s="62">
        <v>14</v>
      </c>
      <c r="B191" s="62" t="s">
        <v>493</v>
      </c>
      <c r="C191" s="62" t="s">
        <v>494</v>
      </c>
      <c r="D191" s="62" t="s">
        <v>471</v>
      </c>
      <c r="E191" s="62" t="s">
        <v>557</v>
      </c>
      <c r="F191" s="62" t="s">
        <v>533</v>
      </c>
      <c r="G191" s="62" t="s">
        <v>534</v>
      </c>
      <c r="H191" s="62" t="s">
        <v>535</v>
      </c>
      <c r="I191" s="63"/>
      <c r="J191" s="62" t="str">
        <f t="shared" si="2"/>
        <v>户内配电箱01_/</v>
      </c>
      <c r="K191" s="64" t="s">
        <v>492</v>
      </c>
      <c r="L191" s="64" t="s">
        <v>499</v>
      </c>
      <c r="M191" s="64" t="e">
        <f>VLOOKUP($I191,[1]资产项汇总!$G:$M,4,0)</f>
        <v>#N/A</v>
      </c>
      <c r="N191" s="64" t="s">
        <v>499</v>
      </c>
      <c r="O191" s="65">
        <v>1</v>
      </c>
      <c r="P191" s="64" t="e">
        <f>VLOOKUP($I191,[1]资产项汇总!$G:$M,6,0)</f>
        <v>#N/A</v>
      </c>
      <c r="Q191" s="64" t="e">
        <f>VLOOKUP($I191,[1]资产项汇总!$G:$M,7,0)</f>
        <v>#N/A</v>
      </c>
      <c r="R191" s="63"/>
      <c r="S191" s="66"/>
    </row>
    <row r="192" ht="16.5" spans="1:19">
      <c r="A192" s="62">
        <v>15</v>
      </c>
      <c r="B192" s="62" t="s">
        <v>493</v>
      </c>
      <c r="C192" s="62" t="s">
        <v>494</v>
      </c>
      <c r="D192" s="62" t="s">
        <v>471</v>
      </c>
      <c r="E192" s="62" t="s">
        <v>557</v>
      </c>
      <c r="F192" s="62" t="s">
        <v>511</v>
      </c>
      <c r="G192" s="62" t="s">
        <v>536</v>
      </c>
      <c r="H192" s="62" t="s">
        <v>537</v>
      </c>
      <c r="I192" s="63"/>
      <c r="J192" s="62" t="str">
        <f t="shared" si="2"/>
        <v>网络收纳盒01_/</v>
      </c>
      <c r="K192" s="64" t="s">
        <v>492</v>
      </c>
      <c r="L192" s="64" t="s">
        <v>499</v>
      </c>
      <c r="M192" s="64" t="e">
        <f>VLOOKUP($I192,[1]资产项汇总!$G:$M,4,0)</f>
        <v>#N/A</v>
      </c>
      <c r="N192" s="64" t="s">
        <v>499</v>
      </c>
      <c r="O192" s="65">
        <v>1</v>
      </c>
      <c r="P192" s="64" t="e">
        <f>VLOOKUP($I192,[1]资产项汇总!$G:$M,6,0)</f>
        <v>#N/A</v>
      </c>
      <c r="Q192" s="64" t="e">
        <f>VLOOKUP($I192,[1]资产项汇总!$G:$M,7,0)</f>
        <v>#N/A</v>
      </c>
      <c r="R192" s="63"/>
      <c r="S192" s="66"/>
    </row>
    <row r="193" ht="16.5" spans="1:19">
      <c r="A193" s="62">
        <v>16</v>
      </c>
      <c r="B193" s="62" t="s">
        <v>493</v>
      </c>
      <c r="C193" s="62" t="s">
        <v>494</v>
      </c>
      <c r="D193" s="62" t="s">
        <v>471</v>
      </c>
      <c r="E193" s="62" t="s">
        <v>557</v>
      </c>
      <c r="F193" s="62" t="s">
        <v>538</v>
      </c>
      <c r="G193" s="62" t="s">
        <v>539</v>
      </c>
      <c r="H193" s="62" t="s">
        <v>540</v>
      </c>
      <c r="I193" s="63"/>
      <c r="J193" s="62" t="str">
        <f t="shared" si="2"/>
        <v>光猫01_/</v>
      </c>
      <c r="K193" s="64" t="s">
        <v>492</v>
      </c>
      <c r="L193" s="64" t="s">
        <v>499</v>
      </c>
      <c r="M193" s="64" t="e">
        <f>VLOOKUP($I193,[1]资产项汇总!$G:$M,4,0)</f>
        <v>#N/A</v>
      </c>
      <c r="N193" s="64" t="s">
        <v>499</v>
      </c>
      <c r="O193" s="65">
        <v>1</v>
      </c>
      <c r="P193" s="64" t="e">
        <f>VLOOKUP($I193,[1]资产项汇总!$G:$M,6,0)</f>
        <v>#N/A</v>
      </c>
      <c r="Q193" s="64" t="e">
        <f>VLOOKUP($I193,[1]资产项汇总!$G:$M,7,0)</f>
        <v>#N/A</v>
      </c>
      <c r="R193" s="63"/>
      <c r="S193" s="66"/>
    </row>
    <row r="194" ht="16.5" spans="1:19">
      <c r="A194" s="62">
        <v>17</v>
      </c>
      <c r="B194" s="62" t="s">
        <v>493</v>
      </c>
      <c r="C194" s="62" t="s">
        <v>494</v>
      </c>
      <c r="D194" s="62" t="s">
        <v>471</v>
      </c>
      <c r="E194" s="62" t="s">
        <v>557</v>
      </c>
      <c r="F194" s="62" t="s">
        <v>511</v>
      </c>
      <c r="G194" s="62" t="s">
        <v>541</v>
      </c>
      <c r="H194" s="62" t="s">
        <v>542</v>
      </c>
      <c r="I194" s="63"/>
      <c r="J194" s="62" t="str">
        <f t="shared" si="2"/>
        <v>试衣镜01_/</v>
      </c>
      <c r="K194" s="64" t="s">
        <v>492</v>
      </c>
      <c r="L194" s="64" t="s">
        <v>499</v>
      </c>
      <c r="M194" s="64" t="e">
        <f>VLOOKUP($I194,[1]资产项汇总!$G:$M,4,0)</f>
        <v>#N/A</v>
      </c>
      <c r="N194" s="64" t="s">
        <v>499</v>
      </c>
      <c r="O194" s="65">
        <v>1</v>
      </c>
      <c r="P194" s="64" t="e">
        <f>VLOOKUP($I194,[1]资产项汇总!$G:$M,6,0)</f>
        <v>#N/A</v>
      </c>
      <c r="Q194" s="64" t="e">
        <f>VLOOKUP($I194,[1]资产项汇总!$G:$M,7,0)</f>
        <v>#N/A</v>
      </c>
      <c r="R194" s="63"/>
      <c r="S194" s="66"/>
    </row>
    <row r="195" ht="16.5" spans="1:19">
      <c r="A195" s="62">
        <v>18</v>
      </c>
      <c r="B195" s="62" t="s">
        <v>493</v>
      </c>
      <c r="C195" s="62" t="s">
        <v>494</v>
      </c>
      <c r="D195" s="62" t="s">
        <v>471</v>
      </c>
      <c r="E195" s="62" t="s">
        <v>557</v>
      </c>
      <c r="F195" s="62" t="s">
        <v>496</v>
      </c>
      <c r="G195" s="62" t="s">
        <v>543</v>
      </c>
      <c r="H195" s="62" t="s">
        <v>600</v>
      </c>
      <c r="I195" s="63"/>
      <c r="J195" s="62" t="str">
        <f t="shared" si="2"/>
        <v>窗户01清玻_/</v>
      </c>
      <c r="K195" s="64" t="s">
        <v>492</v>
      </c>
      <c r="L195" s="64" t="s">
        <v>499</v>
      </c>
      <c r="M195" s="64" t="e">
        <f>VLOOKUP($I195,[1]资产项汇总!$G:$M,4,0)</f>
        <v>#N/A</v>
      </c>
      <c r="N195" s="64" t="s">
        <v>499</v>
      </c>
      <c r="O195" s="65">
        <v>2</v>
      </c>
      <c r="P195" s="64" t="e">
        <f>VLOOKUP($I195,[1]资产项汇总!$G:$M,6,0)</f>
        <v>#N/A</v>
      </c>
      <c r="Q195" s="64" t="e">
        <f>VLOOKUP($I195,[1]资产项汇总!$G:$M,7,0)</f>
        <v>#N/A</v>
      </c>
      <c r="R195" s="63"/>
      <c r="S195" s="66"/>
    </row>
    <row r="196" ht="16.5" spans="1:19">
      <c r="A196" s="62">
        <v>19</v>
      </c>
      <c r="B196" s="62" t="s">
        <v>493</v>
      </c>
      <c r="C196" s="62" t="s">
        <v>494</v>
      </c>
      <c r="D196" s="62" t="s">
        <v>471</v>
      </c>
      <c r="E196" s="62" t="s">
        <v>557</v>
      </c>
      <c r="F196" s="62" t="s">
        <v>545</v>
      </c>
      <c r="G196" s="62" t="s">
        <v>546</v>
      </c>
      <c r="H196" s="62" t="s">
        <v>547</v>
      </c>
      <c r="I196" s="63"/>
      <c r="J196" s="62" t="str">
        <f t="shared" si="2"/>
        <v>布帘01_/</v>
      </c>
      <c r="K196" s="64" t="s">
        <v>492</v>
      </c>
      <c r="L196" s="64" t="s">
        <v>499</v>
      </c>
      <c r="M196" s="64" t="e">
        <f>VLOOKUP($I196,[1]资产项汇总!$G:$M,4,0)</f>
        <v>#N/A</v>
      </c>
      <c r="N196" s="64" t="s">
        <v>499</v>
      </c>
      <c r="O196" s="65">
        <v>1</v>
      </c>
      <c r="P196" s="64" t="e">
        <f>VLOOKUP($I196,[1]资产项汇总!$G:$M,6,0)</f>
        <v>#N/A</v>
      </c>
      <c r="Q196" s="64" t="e">
        <f>VLOOKUP($I196,[1]资产项汇总!$G:$M,7,0)</f>
        <v>#N/A</v>
      </c>
      <c r="R196" s="63"/>
      <c r="S196" s="66"/>
    </row>
    <row r="197" ht="16.5" spans="1:19">
      <c r="A197" s="62">
        <v>20</v>
      </c>
      <c r="B197" s="62" t="s">
        <v>493</v>
      </c>
      <c r="C197" s="62" t="s">
        <v>494</v>
      </c>
      <c r="D197" s="62" t="s">
        <v>471</v>
      </c>
      <c r="E197" s="62" t="s">
        <v>557</v>
      </c>
      <c r="F197" s="62" t="s">
        <v>545</v>
      </c>
      <c r="G197" s="62" t="s">
        <v>546</v>
      </c>
      <c r="H197" s="62" t="s">
        <v>592</v>
      </c>
      <c r="I197" s="63"/>
      <c r="J197" s="62" t="str">
        <f t="shared" ref="J197:J255" si="3">H197&amp;K197&amp;N197</f>
        <v>卷帘01_/</v>
      </c>
      <c r="K197" s="64" t="s">
        <v>492</v>
      </c>
      <c r="L197" s="64" t="s">
        <v>499</v>
      </c>
      <c r="M197" s="64" t="e">
        <f>VLOOKUP($I197,[1]资产项汇总!$G:$M,4,0)</f>
        <v>#N/A</v>
      </c>
      <c r="N197" s="64" t="s">
        <v>499</v>
      </c>
      <c r="O197" s="65">
        <v>1</v>
      </c>
      <c r="P197" s="64" t="e">
        <f>VLOOKUP($I197,[1]资产项汇总!$G:$M,6,0)</f>
        <v>#N/A</v>
      </c>
      <c r="Q197" s="64" t="e">
        <f>VLOOKUP($I197,[1]资产项汇总!$G:$M,7,0)</f>
        <v>#N/A</v>
      </c>
      <c r="R197" s="63"/>
      <c r="S197" s="66"/>
    </row>
    <row r="198" ht="16.5" spans="1:19">
      <c r="A198" s="62">
        <v>21</v>
      </c>
      <c r="B198" s="62" t="s">
        <v>493</v>
      </c>
      <c r="C198" s="62" t="s">
        <v>494</v>
      </c>
      <c r="D198" s="62" t="s">
        <v>471</v>
      </c>
      <c r="E198" s="62" t="s">
        <v>557</v>
      </c>
      <c r="F198" s="62" t="s">
        <v>511</v>
      </c>
      <c r="G198" s="62" t="s">
        <v>452</v>
      </c>
      <c r="H198" s="62" t="s">
        <v>593</v>
      </c>
      <c r="I198" s="63"/>
      <c r="J198" s="62" t="str">
        <f t="shared" si="3"/>
        <v>操作台03洗衣机1.2m_/</v>
      </c>
      <c r="K198" s="64" t="s">
        <v>492</v>
      </c>
      <c r="L198" s="64" t="s">
        <v>499</v>
      </c>
      <c r="M198" s="64" t="e">
        <f>VLOOKUP($I198,[1]资产项汇总!$G:$M,4,0)</f>
        <v>#N/A</v>
      </c>
      <c r="N198" s="64" t="s">
        <v>499</v>
      </c>
      <c r="O198" s="65">
        <v>1</v>
      </c>
      <c r="P198" s="64" t="e">
        <f>VLOOKUP($I198,[1]资产项汇总!$G:$M,6,0)</f>
        <v>#N/A</v>
      </c>
      <c r="Q198" s="64" t="e">
        <f>VLOOKUP($I198,[1]资产项汇总!$G:$M,7,0)</f>
        <v>#N/A</v>
      </c>
      <c r="R198" s="63"/>
      <c r="S198" s="66"/>
    </row>
    <row r="199" ht="16.5" spans="1:19">
      <c r="A199" s="62">
        <v>22</v>
      </c>
      <c r="B199" s="62" t="s">
        <v>493</v>
      </c>
      <c r="C199" s="62" t="s">
        <v>494</v>
      </c>
      <c r="D199" s="62" t="s">
        <v>471</v>
      </c>
      <c r="E199" s="62" t="s">
        <v>557</v>
      </c>
      <c r="F199" s="62" t="s">
        <v>511</v>
      </c>
      <c r="G199" s="62" t="s">
        <v>549</v>
      </c>
      <c r="H199" s="62" t="s">
        <v>550</v>
      </c>
      <c r="I199" s="63"/>
      <c r="J199" s="62" t="str">
        <f t="shared" si="3"/>
        <v>镜子01_/</v>
      </c>
      <c r="K199" s="64" t="s">
        <v>492</v>
      </c>
      <c r="L199" s="64" t="s">
        <v>499</v>
      </c>
      <c r="M199" s="64" t="e">
        <f>VLOOKUP($I199,[1]资产项汇总!$G:$M,4,0)</f>
        <v>#N/A</v>
      </c>
      <c r="N199" s="64" t="s">
        <v>499</v>
      </c>
      <c r="O199" s="65">
        <v>1</v>
      </c>
      <c r="P199" s="64" t="e">
        <f>VLOOKUP($I199,[1]资产项汇总!$G:$M,6,0)</f>
        <v>#N/A</v>
      </c>
      <c r="Q199" s="64" t="e">
        <f>VLOOKUP($I199,[1]资产项汇总!$G:$M,7,0)</f>
        <v>#N/A</v>
      </c>
      <c r="R199" s="63"/>
      <c r="S199" s="66"/>
    </row>
    <row r="200" ht="16.5" spans="1:19">
      <c r="A200" s="62">
        <v>23</v>
      </c>
      <c r="B200" s="62" t="s">
        <v>493</v>
      </c>
      <c r="C200" s="62" t="s">
        <v>494</v>
      </c>
      <c r="D200" s="62" t="s">
        <v>471</v>
      </c>
      <c r="E200" s="62" t="s">
        <v>557</v>
      </c>
      <c r="F200" s="62" t="s">
        <v>526</v>
      </c>
      <c r="G200" s="62" t="s">
        <v>551</v>
      </c>
      <c r="H200" s="62" t="s">
        <v>552</v>
      </c>
      <c r="I200" s="63"/>
      <c r="J200" s="62" t="str">
        <f t="shared" si="3"/>
        <v>镜前灯01_/</v>
      </c>
      <c r="K200" s="64" t="s">
        <v>492</v>
      </c>
      <c r="L200" s="64" t="s">
        <v>499</v>
      </c>
      <c r="M200" s="64" t="e">
        <f>VLOOKUP($I200,[1]资产项汇总!$G:$M,4,0)</f>
        <v>#N/A</v>
      </c>
      <c r="N200" s="64" t="s">
        <v>499</v>
      </c>
      <c r="O200" s="65">
        <v>1</v>
      </c>
      <c r="P200" s="64" t="e">
        <f>VLOOKUP($I200,[1]资产项汇总!$G:$M,6,0)</f>
        <v>#N/A</v>
      </c>
      <c r="Q200" s="64" t="e">
        <f>VLOOKUP($I200,[1]资产项汇总!$G:$M,7,0)</f>
        <v>#N/A</v>
      </c>
      <c r="R200" s="63"/>
      <c r="S200" s="66"/>
    </row>
    <row r="201" ht="16.5" spans="1:19">
      <c r="A201" s="62">
        <v>24</v>
      </c>
      <c r="B201" s="62" t="s">
        <v>493</v>
      </c>
      <c r="C201" s="62" t="s">
        <v>494</v>
      </c>
      <c r="D201" s="62" t="s">
        <v>471</v>
      </c>
      <c r="E201" s="62" t="s">
        <v>557</v>
      </c>
      <c r="F201" s="62" t="s">
        <v>533</v>
      </c>
      <c r="G201" s="62" t="s">
        <v>553</v>
      </c>
      <c r="H201" s="62" t="s">
        <v>554</v>
      </c>
      <c r="I201" s="63"/>
      <c r="J201" s="62" t="str">
        <f t="shared" si="3"/>
        <v>等电位箱01_/</v>
      </c>
      <c r="K201" s="64" t="s">
        <v>492</v>
      </c>
      <c r="L201" s="64" t="s">
        <v>499</v>
      </c>
      <c r="M201" s="64" t="e">
        <f>VLOOKUP($I201,[1]资产项汇总!$G:$M,4,0)</f>
        <v>#N/A</v>
      </c>
      <c r="N201" s="64" t="s">
        <v>499</v>
      </c>
      <c r="O201" s="65">
        <v>1</v>
      </c>
      <c r="P201" s="64" t="e">
        <f>VLOOKUP($I201,[1]资产项汇总!$G:$M,6,0)</f>
        <v>#N/A</v>
      </c>
      <c r="Q201" s="64" t="e">
        <f>VLOOKUP($I201,[1]资产项汇总!$G:$M,7,0)</f>
        <v>#N/A</v>
      </c>
      <c r="R201" s="63"/>
      <c r="S201" s="66"/>
    </row>
    <row r="202" ht="16.5" spans="1:19">
      <c r="A202" s="62">
        <v>25</v>
      </c>
      <c r="B202" s="62" t="s">
        <v>493</v>
      </c>
      <c r="C202" s="62" t="s">
        <v>494</v>
      </c>
      <c r="D202" s="62" t="s">
        <v>471</v>
      </c>
      <c r="E202" s="62" t="s">
        <v>557</v>
      </c>
      <c r="F202" s="62" t="s">
        <v>511</v>
      </c>
      <c r="G202" s="62" t="s">
        <v>453</v>
      </c>
      <c r="H202" s="62" t="s">
        <v>598</v>
      </c>
      <c r="I202" s="63"/>
      <c r="J202" s="62" t="str">
        <f t="shared" si="3"/>
        <v>书桌02带挡板0.9m_/</v>
      </c>
      <c r="K202" s="64" t="s">
        <v>492</v>
      </c>
      <c r="L202" s="64" t="s">
        <v>499</v>
      </c>
      <c r="M202" s="64" t="e">
        <f>VLOOKUP($I202,[1]资产项汇总!$G:$M,4,0)</f>
        <v>#N/A</v>
      </c>
      <c r="N202" s="64" t="s">
        <v>499</v>
      </c>
      <c r="O202" s="65">
        <v>1</v>
      </c>
      <c r="P202" s="64" t="e">
        <f>VLOOKUP($I202,[1]资产项汇总!$G:$M,6,0)</f>
        <v>#N/A</v>
      </c>
      <c r="Q202" s="64" t="e">
        <f>VLOOKUP($I202,[1]资产项汇总!$G:$M,7,0)</f>
        <v>#N/A</v>
      </c>
      <c r="R202" s="63"/>
      <c r="S202" s="66"/>
    </row>
    <row r="203" ht="16.5" spans="1:19">
      <c r="A203" s="62">
        <v>26</v>
      </c>
      <c r="B203" s="62" t="s">
        <v>493</v>
      </c>
      <c r="C203" s="62" t="s">
        <v>494</v>
      </c>
      <c r="D203" s="62" t="s">
        <v>471</v>
      </c>
      <c r="E203" s="62" t="s">
        <v>557</v>
      </c>
      <c r="F203" s="62" t="s">
        <v>511</v>
      </c>
      <c r="G203" s="62" t="s">
        <v>519</v>
      </c>
      <c r="H203" s="62" t="s">
        <v>595</v>
      </c>
      <c r="I203" s="63"/>
      <c r="J203" s="62" t="str">
        <f t="shared" si="3"/>
        <v>椅子01配书桌_/</v>
      </c>
      <c r="K203" s="64" t="s">
        <v>492</v>
      </c>
      <c r="L203" s="64" t="s">
        <v>499</v>
      </c>
      <c r="M203" s="64" t="e">
        <f>VLOOKUP($I203,[1]资产项汇总!$G:$M,4,0)</f>
        <v>#N/A</v>
      </c>
      <c r="N203" s="64" t="s">
        <v>499</v>
      </c>
      <c r="O203" s="65">
        <v>1</v>
      </c>
      <c r="P203" s="64" t="e">
        <f>VLOOKUP($I203,[1]资产项汇总!$G:$M,6,0)</f>
        <v>#N/A</v>
      </c>
      <c r="Q203" s="64" t="e">
        <f>VLOOKUP($I203,[1]资产项汇总!$G:$M,7,0)</f>
        <v>#N/A</v>
      </c>
      <c r="R203" s="63"/>
      <c r="S203" s="66"/>
    </row>
    <row r="204" ht="16.5" spans="1:19">
      <c r="A204" s="62">
        <v>27</v>
      </c>
      <c r="B204" s="62" t="s">
        <v>493</v>
      </c>
      <c r="C204" s="62" t="s">
        <v>494</v>
      </c>
      <c r="D204" s="62" t="s">
        <v>471</v>
      </c>
      <c r="E204" s="62" t="s">
        <v>557</v>
      </c>
      <c r="F204" s="62" t="s">
        <v>511</v>
      </c>
      <c r="G204" s="62" t="s">
        <v>555</v>
      </c>
      <c r="H204" s="62" t="s">
        <v>556</v>
      </c>
      <c r="I204" s="63"/>
      <c r="J204" s="62" t="str">
        <f t="shared" si="3"/>
        <v>墙上/天花晾衣杆_/</v>
      </c>
      <c r="K204" s="64" t="s">
        <v>492</v>
      </c>
      <c r="L204" s="64" t="s">
        <v>499</v>
      </c>
      <c r="M204" s="64" t="e">
        <f>VLOOKUP($I204,[1]资产项汇总!$G:$M,4,0)</f>
        <v>#N/A</v>
      </c>
      <c r="N204" s="64" t="s">
        <v>499</v>
      </c>
      <c r="O204" s="65">
        <v>1</v>
      </c>
      <c r="P204" s="64" t="e">
        <f>VLOOKUP($I204,[1]资产项汇总!$G:$M,6,0)</f>
        <v>#N/A</v>
      </c>
      <c r="Q204" s="64" t="e">
        <f>VLOOKUP($I204,[1]资产项汇总!$G:$M,7,0)</f>
        <v>#N/A</v>
      </c>
      <c r="R204" s="63"/>
      <c r="S204" s="66"/>
    </row>
    <row r="205" ht="16.5" spans="1:19">
      <c r="A205" s="62">
        <v>28</v>
      </c>
      <c r="B205" s="62" t="s">
        <v>493</v>
      </c>
      <c r="C205" s="62" t="s">
        <v>494</v>
      </c>
      <c r="D205" s="62" t="s">
        <v>471</v>
      </c>
      <c r="E205" s="62" t="s">
        <v>557</v>
      </c>
      <c r="F205" s="62" t="s">
        <v>511</v>
      </c>
      <c r="G205" s="62" t="s">
        <v>516</v>
      </c>
      <c r="H205" s="62" t="s">
        <v>603</v>
      </c>
      <c r="I205" s="63"/>
      <c r="J205" s="62" t="str">
        <f t="shared" si="3"/>
        <v>沙发01单人_/</v>
      </c>
      <c r="K205" s="64" t="s">
        <v>492</v>
      </c>
      <c r="L205" s="64" t="s">
        <v>499</v>
      </c>
      <c r="M205" s="64" t="e">
        <f>VLOOKUP($I205,[1]资产项汇总!$G:$M,4,0)</f>
        <v>#N/A</v>
      </c>
      <c r="N205" s="64" t="s">
        <v>499</v>
      </c>
      <c r="O205" s="65">
        <v>1</v>
      </c>
      <c r="P205" s="64" t="e">
        <f>VLOOKUP($I205,[1]资产项汇总!$G:$M,6,0)</f>
        <v>#N/A</v>
      </c>
      <c r="Q205" s="64" t="e">
        <f>VLOOKUP($I205,[1]资产项汇总!$G:$M,7,0)</f>
        <v>#N/A</v>
      </c>
      <c r="R205" s="63"/>
      <c r="S205" s="66"/>
    </row>
    <row r="206" ht="16.5" spans="1:19">
      <c r="A206" s="62">
        <v>29</v>
      </c>
      <c r="B206" s="62" t="s">
        <v>493</v>
      </c>
      <c r="C206" s="62" t="s">
        <v>494</v>
      </c>
      <c r="D206" s="62" t="s">
        <v>471</v>
      </c>
      <c r="E206" s="62" t="s">
        <v>557</v>
      </c>
      <c r="F206" s="62" t="s">
        <v>511</v>
      </c>
      <c r="G206" s="62" t="s">
        <v>514</v>
      </c>
      <c r="H206" s="62" t="s">
        <v>515</v>
      </c>
      <c r="I206" s="63"/>
      <c r="J206" s="62" t="str">
        <f t="shared" si="3"/>
        <v>茶几01圆形_/</v>
      </c>
      <c r="K206" s="64" t="s">
        <v>492</v>
      </c>
      <c r="L206" s="64" t="s">
        <v>499</v>
      </c>
      <c r="M206" s="64" t="e">
        <f>VLOOKUP($I206,[1]资产项汇总!$G:$M,4,0)</f>
        <v>#N/A</v>
      </c>
      <c r="N206" s="64" t="s">
        <v>499</v>
      </c>
      <c r="O206" s="65">
        <v>1</v>
      </c>
      <c r="P206" s="64" t="e">
        <f>VLOOKUP($I206,[1]资产项汇总!$G:$M,6,0)</f>
        <v>#N/A</v>
      </c>
      <c r="Q206" s="64" t="e">
        <f>VLOOKUP($I206,[1]资产项汇总!$G:$M,7,0)</f>
        <v>#N/A</v>
      </c>
      <c r="R206" s="63"/>
      <c r="S206" s="66"/>
    </row>
    <row r="207" ht="16.5" spans="1:19">
      <c r="A207" s="62">
        <v>30</v>
      </c>
      <c r="B207" s="62" t="s">
        <v>493</v>
      </c>
      <c r="C207" s="62" t="s">
        <v>494</v>
      </c>
      <c r="D207" s="62" t="s">
        <v>471</v>
      </c>
      <c r="E207" s="62" t="s">
        <v>566</v>
      </c>
      <c r="F207" s="62" t="s">
        <v>496</v>
      </c>
      <c r="G207" s="62" t="s">
        <v>567</v>
      </c>
      <c r="H207" s="62" t="s">
        <v>568</v>
      </c>
      <c r="I207" s="63"/>
      <c r="J207" s="62" t="str">
        <f t="shared" si="3"/>
        <v>整体卫浴卫生间门01_/</v>
      </c>
      <c r="K207" s="64" t="s">
        <v>492</v>
      </c>
      <c r="L207" s="64" t="s">
        <v>499</v>
      </c>
      <c r="M207" s="64" t="e">
        <f>VLOOKUP($I207,[1]资产项汇总!$G:$M,4,0)</f>
        <v>#N/A</v>
      </c>
      <c r="N207" s="64" t="s">
        <v>499</v>
      </c>
      <c r="O207" s="65">
        <v>1</v>
      </c>
      <c r="P207" s="64" t="e">
        <f>VLOOKUP($I207,[1]资产项汇总!$G:$M,6,0)</f>
        <v>#N/A</v>
      </c>
      <c r="Q207" s="64" t="e">
        <f>VLOOKUP($I207,[1]资产项汇总!$G:$M,7,0)</f>
        <v>#N/A</v>
      </c>
      <c r="R207" s="63"/>
      <c r="S207" s="66"/>
    </row>
    <row r="208" ht="16.5" spans="1:19">
      <c r="A208" s="62">
        <v>31</v>
      </c>
      <c r="B208" s="62" t="s">
        <v>493</v>
      </c>
      <c r="C208" s="62" t="s">
        <v>494</v>
      </c>
      <c r="D208" s="62" t="s">
        <v>471</v>
      </c>
      <c r="E208" s="62" t="s">
        <v>566</v>
      </c>
      <c r="F208" s="62" t="s">
        <v>521</v>
      </c>
      <c r="G208" s="62" t="s">
        <v>569</v>
      </c>
      <c r="H208" s="62" t="s">
        <v>596</v>
      </c>
      <c r="I208" s="63"/>
      <c r="J208" s="62" t="str">
        <f t="shared" si="3"/>
        <v>整体卫浴排风扇01_/</v>
      </c>
      <c r="K208" s="64" t="s">
        <v>492</v>
      </c>
      <c r="L208" s="64" t="s">
        <v>499</v>
      </c>
      <c r="M208" s="64" t="e">
        <f>VLOOKUP($I208,[1]资产项汇总!$G:$M,4,0)</f>
        <v>#N/A</v>
      </c>
      <c r="N208" s="64" t="s">
        <v>499</v>
      </c>
      <c r="O208" s="65">
        <v>1</v>
      </c>
      <c r="P208" s="64" t="e">
        <f>VLOOKUP($I208,[1]资产项汇总!$G:$M,6,0)</f>
        <v>#N/A</v>
      </c>
      <c r="Q208" s="64" t="e">
        <f>VLOOKUP($I208,[1]资产项汇总!$G:$M,7,0)</f>
        <v>#N/A</v>
      </c>
      <c r="R208" s="63"/>
      <c r="S208" s="66"/>
    </row>
    <row r="209" ht="16.5" spans="1:19">
      <c r="A209" s="62">
        <v>32</v>
      </c>
      <c r="B209" s="62" t="s">
        <v>493</v>
      </c>
      <c r="C209" s="62" t="s">
        <v>494</v>
      </c>
      <c r="D209" s="62" t="s">
        <v>471</v>
      </c>
      <c r="E209" s="62" t="s">
        <v>566</v>
      </c>
      <c r="F209" s="62" t="s">
        <v>511</v>
      </c>
      <c r="G209" s="62" t="s">
        <v>549</v>
      </c>
      <c r="H209" s="62" t="s">
        <v>571</v>
      </c>
      <c r="I209" s="63"/>
      <c r="J209" s="62" t="str">
        <f t="shared" si="3"/>
        <v>整体卫浴镜子01_/</v>
      </c>
      <c r="K209" s="64" t="s">
        <v>492</v>
      </c>
      <c r="L209" s="64" t="s">
        <v>499</v>
      </c>
      <c r="M209" s="64" t="e">
        <f>VLOOKUP($I209,[1]资产项汇总!$G:$M,4,0)</f>
        <v>#N/A</v>
      </c>
      <c r="N209" s="64" t="s">
        <v>499</v>
      </c>
      <c r="O209" s="65">
        <v>1</v>
      </c>
      <c r="P209" s="64" t="e">
        <f>VLOOKUP($I209,[1]资产项汇总!$G:$M,6,0)</f>
        <v>#N/A</v>
      </c>
      <c r="Q209" s="64" t="e">
        <f>VLOOKUP($I209,[1]资产项汇总!$G:$M,7,0)</f>
        <v>#N/A</v>
      </c>
      <c r="R209" s="63"/>
      <c r="S209" s="66"/>
    </row>
    <row r="210" ht="16.5" spans="1:19">
      <c r="A210" s="62">
        <v>33</v>
      </c>
      <c r="B210" s="62" t="s">
        <v>493</v>
      </c>
      <c r="C210" s="62" t="s">
        <v>494</v>
      </c>
      <c r="D210" s="62" t="s">
        <v>471</v>
      </c>
      <c r="E210" s="62" t="s">
        <v>566</v>
      </c>
      <c r="F210" s="62" t="s">
        <v>526</v>
      </c>
      <c r="G210" s="62" t="s">
        <v>572</v>
      </c>
      <c r="H210" s="62" t="s">
        <v>573</v>
      </c>
      <c r="I210" s="63"/>
      <c r="J210" s="62" t="str">
        <f t="shared" si="3"/>
        <v>整体卫浴厨卫灯01_/</v>
      </c>
      <c r="K210" s="64" t="s">
        <v>492</v>
      </c>
      <c r="L210" s="64" t="s">
        <v>499</v>
      </c>
      <c r="M210" s="64" t="e">
        <f>VLOOKUP($I210,[1]资产项汇总!$G:$M,4,0)</f>
        <v>#N/A</v>
      </c>
      <c r="N210" s="64" t="s">
        <v>499</v>
      </c>
      <c r="O210" s="65">
        <v>1</v>
      </c>
      <c r="P210" s="64" t="e">
        <f>VLOOKUP($I210,[1]资产项汇总!$G:$M,6,0)</f>
        <v>#N/A</v>
      </c>
      <c r="Q210" s="64" t="e">
        <f>VLOOKUP($I210,[1]资产项汇总!$G:$M,7,0)</f>
        <v>#N/A</v>
      </c>
      <c r="R210" s="63"/>
      <c r="S210" s="66"/>
    </row>
    <row r="211" ht="16.5" spans="1:19">
      <c r="A211" s="62">
        <v>34</v>
      </c>
      <c r="B211" s="62" t="s">
        <v>493</v>
      </c>
      <c r="C211" s="62" t="s">
        <v>494</v>
      </c>
      <c r="D211" s="62" t="s">
        <v>471</v>
      </c>
      <c r="E211" s="62" t="s">
        <v>566</v>
      </c>
      <c r="F211" s="62" t="s">
        <v>574</v>
      </c>
      <c r="G211" s="62" t="s">
        <v>575</v>
      </c>
      <c r="H211" s="62" t="s">
        <v>576</v>
      </c>
      <c r="I211" s="63"/>
      <c r="J211" s="62" t="str">
        <f t="shared" si="3"/>
        <v>整体卫浴淋浴手持花洒01_/</v>
      </c>
      <c r="K211" s="64" t="s">
        <v>492</v>
      </c>
      <c r="L211" s="64" t="s">
        <v>499</v>
      </c>
      <c r="M211" s="64" t="e">
        <f>VLOOKUP($I211,[1]资产项汇总!$G:$M,4,0)</f>
        <v>#N/A</v>
      </c>
      <c r="N211" s="64" t="s">
        <v>499</v>
      </c>
      <c r="O211" s="65">
        <v>1</v>
      </c>
      <c r="P211" s="64" t="e">
        <f>VLOOKUP($I211,[1]资产项汇总!$G:$M,6,0)</f>
        <v>#N/A</v>
      </c>
      <c r="Q211" s="64" t="e">
        <f>VLOOKUP($I211,[1]资产项汇总!$G:$M,7,0)</f>
        <v>#N/A</v>
      </c>
      <c r="R211" s="63"/>
      <c r="S211" s="66"/>
    </row>
    <row r="212" ht="16.5" spans="1:19">
      <c r="A212" s="62">
        <v>35</v>
      </c>
      <c r="B212" s="62" t="s">
        <v>493</v>
      </c>
      <c r="C212" s="62" t="s">
        <v>494</v>
      </c>
      <c r="D212" s="62" t="s">
        <v>471</v>
      </c>
      <c r="E212" s="62" t="s">
        <v>566</v>
      </c>
      <c r="F212" s="62" t="s">
        <v>574</v>
      </c>
      <c r="G212" s="62" t="s">
        <v>577</v>
      </c>
      <c r="H212" s="62" t="s">
        <v>578</v>
      </c>
      <c r="I212" s="63"/>
      <c r="J212" s="62" t="str">
        <f t="shared" si="3"/>
        <v>整体卫浴坐便器01_/</v>
      </c>
      <c r="K212" s="64" t="s">
        <v>492</v>
      </c>
      <c r="L212" s="64" t="s">
        <v>499</v>
      </c>
      <c r="M212" s="64" t="e">
        <f>VLOOKUP($I212,[1]资产项汇总!$G:$M,4,0)</f>
        <v>#N/A</v>
      </c>
      <c r="N212" s="64" t="s">
        <v>499</v>
      </c>
      <c r="O212" s="65">
        <v>1</v>
      </c>
      <c r="P212" s="64" t="e">
        <f>VLOOKUP($I212,[1]资产项汇总!$G:$M,6,0)</f>
        <v>#N/A</v>
      </c>
      <c r="Q212" s="64" t="e">
        <f>VLOOKUP($I212,[1]资产项汇总!$G:$M,7,0)</f>
        <v>#N/A</v>
      </c>
      <c r="R212" s="63"/>
      <c r="S212" s="66"/>
    </row>
    <row r="213" ht="16.5" spans="1:19">
      <c r="A213" s="62">
        <v>36</v>
      </c>
      <c r="B213" s="62" t="s">
        <v>493</v>
      </c>
      <c r="C213" s="62" t="s">
        <v>494</v>
      </c>
      <c r="D213" s="62" t="s">
        <v>471</v>
      </c>
      <c r="E213" s="62" t="s">
        <v>566</v>
      </c>
      <c r="F213" s="62" t="s">
        <v>574</v>
      </c>
      <c r="G213" s="62" t="s">
        <v>579</v>
      </c>
      <c r="H213" s="62" t="s">
        <v>580</v>
      </c>
      <c r="I213" s="63"/>
      <c r="J213" s="62" t="str">
        <f t="shared" si="3"/>
        <v>整体卫浴毛巾架01_/</v>
      </c>
      <c r="K213" s="64" t="s">
        <v>492</v>
      </c>
      <c r="L213" s="64" t="s">
        <v>499</v>
      </c>
      <c r="M213" s="64" t="e">
        <f>VLOOKUP($I213,[1]资产项汇总!$G:$M,4,0)</f>
        <v>#N/A</v>
      </c>
      <c r="N213" s="64" t="s">
        <v>499</v>
      </c>
      <c r="O213" s="65">
        <v>1</v>
      </c>
      <c r="P213" s="64" t="e">
        <f>VLOOKUP($I213,[1]资产项汇总!$G:$M,6,0)</f>
        <v>#N/A</v>
      </c>
      <c r="Q213" s="64" t="e">
        <f>VLOOKUP($I213,[1]资产项汇总!$G:$M,7,0)</f>
        <v>#N/A</v>
      </c>
      <c r="R213" s="63"/>
      <c r="S213" s="66"/>
    </row>
    <row r="214" ht="16.5" spans="1:19">
      <c r="A214" s="62">
        <v>37</v>
      </c>
      <c r="B214" s="62" t="s">
        <v>493</v>
      </c>
      <c r="C214" s="62" t="s">
        <v>494</v>
      </c>
      <c r="D214" s="62" t="s">
        <v>471</v>
      </c>
      <c r="E214" s="62" t="s">
        <v>566</v>
      </c>
      <c r="F214" s="62" t="s">
        <v>521</v>
      </c>
      <c r="G214" s="62" t="s">
        <v>581</v>
      </c>
      <c r="H214" s="62" t="s">
        <v>597</v>
      </c>
      <c r="I214" s="63"/>
      <c r="J214" s="62" t="str">
        <f t="shared" si="3"/>
        <v>电热水器01-40L_/</v>
      </c>
      <c r="K214" s="64" t="s">
        <v>492</v>
      </c>
      <c r="L214" s="64" t="s">
        <v>499</v>
      </c>
      <c r="M214" s="64" t="e">
        <f>VLOOKUP($I214,[1]资产项汇总!$G:$M,4,0)</f>
        <v>#N/A</v>
      </c>
      <c r="N214" s="64" t="s">
        <v>499</v>
      </c>
      <c r="O214" s="65">
        <v>1</v>
      </c>
      <c r="P214" s="64" t="e">
        <f>VLOOKUP($I214,[1]资产项汇总!$G:$M,6,0)</f>
        <v>#N/A</v>
      </c>
      <c r="Q214" s="64" t="e">
        <f>VLOOKUP($I214,[1]资产项汇总!$G:$M,7,0)</f>
        <v>#N/A</v>
      </c>
      <c r="R214" s="63"/>
      <c r="S214" s="66"/>
    </row>
    <row r="215" ht="16.5" spans="1:19">
      <c r="A215" s="62">
        <v>38</v>
      </c>
      <c r="B215" s="62" t="s">
        <v>493</v>
      </c>
      <c r="C215" s="62" t="s">
        <v>494</v>
      </c>
      <c r="D215" s="62" t="s">
        <v>471</v>
      </c>
      <c r="E215" s="62" t="s">
        <v>566</v>
      </c>
      <c r="F215" s="62" t="s">
        <v>502</v>
      </c>
      <c r="G215" s="62" t="s">
        <v>583</v>
      </c>
      <c r="H215" s="62" t="s">
        <v>584</v>
      </c>
      <c r="I215" s="63"/>
      <c r="J215" s="62" t="str">
        <f t="shared" si="3"/>
        <v>防水贴纸_/</v>
      </c>
      <c r="K215" s="64" t="s">
        <v>492</v>
      </c>
      <c r="L215" s="64" t="s">
        <v>499</v>
      </c>
      <c r="M215" s="64" t="e">
        <f>VLOOKUP($I215,[1]资产项汇总!$G:$M,4,0)</f>
        <v>#N/A</v>
      </c>
      <c r="N215" s="64" t="s">
        <v>499</v>
      </c>
      <c r="O215" s="65">
        <v>1</v>
      </c>
      <c r="P215" s="64" t="e">
        <f>VLOOKUP($I215,[1]资产项汇总!$G:$M,6,0)</f>
        <v>#N/A</v>
      </c>
      <c r="Q215" s="64" t="e">
        <f>VLOOKUP($I215,[1]资产项汇总!$G:$M,7,0)</f>
        <v>#N/A</v>
      </c>
      <c r="R215" s="63"/>
      <c r="S215" s="66"/>
    </row>
    <row r="216" ht="16.5" spans="1:19">
      <c r="A216" s="62">
        <v>39</v>
      </c>
      <c r="B216" s="62" t="s">
        <v>493</v>
      </c>
      <c r="C216" s="62" t="s">
        <v>494</v>
      </c>
      <c r="D216" s="62" t="s">
        <v>471</v>
      </c>
      <c r="E216" s="62" t="s">
        <v>566</v>
      </c>
      <c r="F216" s="62" t="s">
        <v>574</v>
      </c>
      <c r="G216" s="62" t="s">
        <v>585</v>
      </c>
      <c r="H216" s="62" t="s">
        <v>586</v>
      </c>
      <c r="I216" s="63"/>
      <c r="J216" s="62" t="str">
        <f t="shared" si="3"/>
        <v>整体卫浴悬挂式洗手盆01_/</v>
      </c>
      <c r="K216" s="64" t="s">
        <v>492</v>
      </c>
      <c r="L216" s="64" t="s">
        <v>499</v>
      </c>
      <c r="M216" s="64" t="e">
        <f>VLOOKUP($I216,[1]资产项汇总!$G:$M,4,0)</f>
        <v>#N/A</v>
      </c>
      <c r="N216" s="64" t="s">
        <v>499</v>
      </c>
      <c r="O216" s="65">
        <v>1</v>
      </c>
      <c r="P216" s="64" t="e">
        <f>VLOOKUP($I216,[1]资产项汇总!$G:$M,6,0)</f>
        <v>#N/A</v>
      </c>
      <c r="Q216" s="64" t="e">
        <f>VLOOKUP($I216,[1]资产项汇总!$G:$M,7,0)</f>
        <v>#N/A</v>
      </c>
      <c r="R216" s="63"/>
      <c r="S216" s="66"/>
    </row>
    <row r="217" ht="16.5" spans="1:19">
      <c r="A217" s="62">
        <v>40</v>
      </c>
      <c r="B217" s="62" t="s">
        <v>493</v>
      </c>
      <c r="C217" s="62" t="s">
        <v>494</v>
      </c>
      <c r="D217" s="62" t="s">
        <v>471</v>
      </c>
      <c r="E217" s="62" t="s">
        <v>566</v>
      </c>
      <c r="F217" s="62" t="s">
        <v>574</v>
      </c>
      <c r="G217" s="62" t="s">
        <v>587</v>
      </c>
      <c r="H217" s="62" t="s">
        <v>588</v>
      </c>
      <c r="I217" s="63"/>
      <c r="J217" s="62" t="str">
        <f t="shared" si="3"/>
        <v>整体卫浴三角浴篮01_/</v>
      </c>
      <c r="K217" s="64" t="s">
        <v>492</v>
      </c>
      <c r="L217" s="64" t="s">
        <v>499</v>
      </c>
      <c r="M217" s="64" t="e">
        <f>VLOOKUP($I217,[1]资产项汇总!$G:$M,4,0)</f>
        <v>#N/A</v>
      </c>
      <c r="N217" s="64" t="s">
        <v>499</v>
      </c>
      <c r="O217" s="65">
        <v>1</v>
      </c>
      <c r="P217" s="64" t="e">
        <f>VLOOKUP($I217,[1]资产项汇总!$G:$M,6,0)</f>
        <v>#N/A</v>
      </c>
      <c r="Q217" s="64" t="e">
        <f>VLOOKUP($I217,[1]资产项汇总!$G:$M,7,0)</f>
        <v>#N/A</v>
      </c>
      <c r="R217" s="63"/>
      <c r="S217" s="66"/>
    </row>
    <row r="218" ht="16.5" spans="1:19">
      <c r="A218" s="62">
        <v>41</v>
      </c>
      <c r="B218" s="62" t="s">
        <v>493</v>
      </c>
      <c r="C218" s="62" t="s">
        <v>494</v>
      </c>
      <c r="D218" s="62" t="s">
        <v>471</v>
      </c>
      <c r="E218" s="62" t="s">
        <v>566</v>
      </c>
      <c r="F218" s="62" t="s">
        <v>574</v>
      </c>
      <c r="G218" s="62" t="s">
        <v>589</v>
      </c>
      <c r="H218" s="62" t="s">
        <v>590</v>
      </c>
      <c r="I218" s="63"/>
      <c r="J218" s="62" t="str">
        <f t="shared" si="3"/>
        <v>整体卫浴纸巾架01_/</v>
      </c>
      <c r="K218" s="64" t="s">
        <v>492</v>
      </c>
      <c r="L218" s="64" t="s">
        <v>499</v>
      </c>
      <c r="M218" s="64" t="e">
        <f>VLOOKUP($I218,[1]资产项汇总!$G:$M,4,0)</f>
        <v>#N/A</v>
      </c>
      <c r="N218" s="64" t="s">
        <v>499</v>
      </c>
      <c r="O218" s="65">
        <v>1</v>
      </c>
      <c r="P218" s="64" t="e">
        <f>VLOOKUP($I218,[1]资产项汇总!$G:$M,6,0)</f>
        <v>#N/A</v>
      </c>
      <c r="Q218" s="64" t="e">
        <f>VLOOKUP($I218,[1]资产项汇总!$G:$M,7,0)</f>
        <v>#N/A</v>
      </c>
      <c r="R218" s="63"/>
      <c r="S218" s="66"/>
    </row>
    <row r="219" ht="16.5" spans="1:19">
      <c r="A219" s="62">
        <v>1</v>
      </c>
      <c r="B219" s="62" t="s">
        <v>493</v>
      </c>
      <c r="C219" s="62" t="s">
        <v>494</v>
      </c>
      <c r="D219" s="62" t="s">
        <v>472</v>
      </c>
      <c r="E219" s="62" t="s">
        <v>495</v>
      </c>
      <c r="F219" s="62" t="s">
        <v>496</v>
      </c>
      <c r="G219" s="62" t="s">
        <v>497</v>
      </c>
      <c r="H219" s="62" t="s">
        <v>599</v>
      </c>
      <c r="I219" s="63"/>
      <c r="J219" s="62" t="str">
        <f t="shared" si="3"/>
        <v>入户门01木门_/</v>
      </c>
      <c r="K219" s="64" t="s">
        <v>492</v>
      </c>
      <c r="L219" s="64" t="s">
        <v>499</v>
      </c>
      <c r="M219" s="64" t="e">
        <f>VLOOKUP($I219,[1]资产项汇总!$G:$M,4,0)</f>
        <v>#N/A</v>
      </c>
      <c r="N219" s="64" t="s">
        <v>499</v>
      </c>
      <c r="O219" s="65">
        <v>1</v>
      </c>
      <c r="P219" s="64" t="e">
        <f>VLOOKUP($I219,[1]资产项汇总!$G:$M,6,0)</f>
        <v>#N/A</v>
      </c>
      <c r="Q219" s="64" t="e">
        <f>VLOOKUP($I219,[1]资产项汇总!$G:$M,7,0)</f>
        <v>#N/A</v>
      </c>
      <c r="R219" s="63"/>
      <c r="S219" s="66"/>
    </row>
    <row r="220" ht="16.5" spans="1:19">
      <c r="A220" s="62">
        <v>2</v>
      </c>
      <c r="B220" s="62" t="s">
        <v>493</v>
      </c>
      <c r="C220" s="62" t="s">
        <v>494</v>
      </c>
      <c r="D220" s="62" t="s">
        <v>472</v>
      </c>
      <c r="E220" s="62" t="s">
        <v>495</v>
      </c>
      <c r="F220" s="62" t="s">
        <v>496</v>
      </c>
      <c r="G220" s="62" t="s">
        <v>500</v>
      </c>
      <c r="H220" s="62" t="s">
        <v>501</v>
      </c>
      <c r="I220" s="63"/>
      <c r="J220" s="62" t="str">
        <f t="shared" si="3"/>
        <v>智能门锁01_/</v>
      </c>
      <c r="K220" s="64" t="s">
        <v>492</v>
      </c>
      <c r="L220" s="64" t="s">
        <v>499</v>
      </c>
      <c r="M220" s="64" t="e">
        <f>VLOOKUP($I220,[1]资产项汇总!$G:$M,4,0)</f>
        <v>#N/A</v>
      </c>
      <c r="N220" s="64" t="s">
        <v>499</v>
      </c>
      <c r="O220" s="65">
        <v>1</v>
      </c>
      <c r="P220" s="64" t="e">
        <f>VLOOKUP($I220,[1]资产项汇总!$G:$M,6,0)</f>
        <v>#N/A</v>
      </c>
      <c r="Q220" s="64" t="e">
        <f>VLOOKUP($I220,[1]资产项汇总!$G:$M,7,0)</f>
        <v>#N/A</v>
      </c>
      <c r="R220" s="63"/>
      <c r="S220" s="66"/>
    </row>
    <row r="221" ht="16.5" spans="1:19">
      <c r="A221" s="62">
        <v>3</v>
      </c>
      <c r="B221" s="62" t="s">
        <v>493</v>
      </c>
      <c r="C221" s="62" t="s">
        <v>494</v>
      </c>
      <c r="D221" s="62" t="s">
        <v>472</v>
      </c>
      <c r="E221" s="62" t="s">
        <v>495</v>
      </c>
      <c r="F221" s="62" t="s">
        <v>502</v>
      </c>
      <c r="G221" s="62" t="s">
        <v>503</v>
      </c>
      <c r="H221" s="62" t="s">
        <v>504</v>
      </c>
      <c r="I221" s="63"/>
      <c r="J221" s="62" t="str">
        <f t="shared" si="3"/>
        <v>门牌号01_/</v>
      </c>
      <c r="K221" s="64" t="s">
        <v>492</v>
      </c>
      <c r="L221" s="64" t="s">
        <v>499</v>
      </c>
      <c r="M221" s="64" t="e">
        <f>VLOOKUP($I221,[1]资产项汇总!$G:$M,4,0)</f>
        <v>#N/A</v>
      </c>
      <c r="N221" s="64" t="s">
        <v>499</v>
      </c>
      <c r="O221" s="65">
        <v>1</v>
      </c>
      <c r="P221" s="64" t="e">
        <f>VLOOKUP($I221,[1]资产项汇总!$G:$M,6,0)</f>
        <v>#N/A</v>
      </c>
      <c r="Q221" s="64" t="e">
        <f>VLOOKUP($I221,[1]资产项汇总!$G:$M,7,0)</f>
        <v>#N/A</v>
      </c>
      <c r="R221" s="63"/>
      <c r="S221" s="66"/>
    </row>
    <row r="222" ht="16.5" spans="1:19">
      <c r="A222" s="62">
        <v>4</v>
      </c>
      <c r="B222" s="62" t="s">
        <v>493</v>
      </c>
      <c r="C222" s="62" t="s">
        <v>494</v>
      </c>
      <c r="D222" s="62" t="s">
        <v>472</v>
      </c>
      <c r="E222" s="62" t="s">
        <v>495</v>
      </c>
      <c r="F222" s="62" t="s">
        <v>502</v>
      </c>
      <c r="G222" s="62" t="s">
        <v>505</v>
      </c>
      <c r="H222" s="62" t="s">
        <v>506</v>
      </c>
      <c r="I222" s="63"/>
      <c r="J222" s="62" t="str">
        <f t="shared" si="3"/>
        <v>户内公告栏01_/</v>
      </c>
      <c r="K222" s="64" t="s">
        <v>492</v>
      </c>
      <c r="L222" s="64" t="s">
        <v>499</v>
      </c>
      <c r="M222" s="64" t="e">
        <f>VLOOKUP($I222,[1]资产项汇总!$G:$M,4,0)</f>
        <v>#N/A</v>
      </c>
      <c r="N222" s="64" t="s">
        <v>499</v>
      </c>
      <c r="O222" s="65">
        <v>1</v>
      </c>
      <c r="P222" s="64" t="e">
        <f>VLOOKUP($I222,[1]资产项汇总!$G:$M,6,0)</f>
        <v>#N/A</v>
      </c>
      <c r="Q222" s="64" t="e">
        <f>VLOOKUP($I222,[1]资产项汇总!$G:$M,7,0)</f>
        <v>#N/A</v>
      </c>
      <c r="R222" s="63"/>
      <c r="S222" s="66"/>
    </row>
    <row r="223" ht="16.5" spans="1:19">
      <c r="A223" s="62">
        <v>5</v>
      </c>
      <c r="B223" s="62" t="s">
        <v>493</v>
      </c>
      <c r="C223" s="62" t="s">
        <v>494</v>
      </c>
      <c r="D223" s="62" t="s">
        <v>472</v>
      </c>
      <c r="E223" s="62" t="s">
        <v>557</v>
      </c>
      <c r="F223" s="62" t="s">
        <v>508</v>
      </c>
      <c r="G223" s="62" t="s">
        <v>509</v>
      </c>
      <c r="H223" s="62" t="s">
        <v>510</v>
      </c>
      <c r="I223" s="63"/>
      <c r="J223" s="62" t="str">
        <f t="shared" si="3"/>
        <v>灭火器01_/</v>
      </c>
      <c r="K223" s="64" t="s">
        <v>492</v>
      </c>
      <c r="L223" s="64" t="s">
        <v>499</v>
      </c>
      <c r="M223" s="64" t="e">
        <f>VLOOKUP($I223,[1]资产项汇总!$G:$M,4,0)</f>
        <v>#N/A</v>
      </c>
      <c r="N223" s="64" t="s">
        <v>499</v>
      </c>
      <c r="O223" s="65">
        <v>1</v>
      </c>
      <c r="P223" s="64" t="e">
        <f>VLOOKUP($I223,[1]资产项汇总!$G:$M,6,0)</f>
        <v>#N/A</v>
      </c>
      <c r="Q223" s="64" t="e">
        <f>VLOOKUP($I223,[1]资产项汇总!$G:$M,7,0)</f>
        <v>#N/A</v>
      </c>
      <c r="R223" s="63"/>
      <c r="S223" s="66"/>
    </row>
    <row r="224" ht="16.5" spans="1:19">
      <c r="A224" s="62">
        <v>6</v>
      </c>
      <c r="B224" s="62" t="s">
        <v>493</v>
      </c>
      <c r="C224" s="62" t="s">
        <v>494</v>
      </c>
      <c r="D224" s="62" t="s">
        <v>472</v>
      </c>
      <c r="E224" s="62" t="s">
        <v>557</v>
      </c>
      <c r="F224" s="62" t="s">
        <v>511</v>
      </c>
      <c r="G224" s="62" t="s">
        <v>512</v>
      </c>
      <c r="H224" s="62" t="s">
        <v>513</v>
      </c>
      <c r="I224" s="63"/>
      <c r="J224" s="62" t="str">
        <f t="shared" si="3"/>
        <v>鞋柜01_/</v>
      </c>
      <c r="K224" s="64" t="s">
        <v>492</v>
      </c>
      <c r="L224" s="64" t="s">
        <v>499</v>
      </c>
      <c r="M224" s="64" t="e">
        <f>VLOOKUP($I224,[1]资产项汇总!$G:$M,4,0)</f>
        <v>#N/A</v>
      </c>
      <c r="N224" s="64" t="s">
        <v>499</v>
      </c>
      <c r="O224" s="65">
        <v>1</v>
      </c>
      <c r="P224" s="64" t="e">
        <f>VLOOKUP($I224,[1]资产项汇总!$G:$M,6,0)</f>
        <v>#N/A</v>
      </c>
      <c r="Q224" s="64" t="e">
        <f>VLOOKUP($I224,[1]资产项汇总!$G:$M,7,0)</f>
        <v>#N/A</v>
      </c>
      <c r="R224" s="63"/>
      <c r="S224" s="66"/>
    </row>
    <row r="225" ht="16.5" spans="1:19">
      <c r="A225" s="62">
        <v>7</v>
      </c>
      <c r="B225" s="62" t="s">
        <v>493</v>
      </c>
      <c r="C225" s="62" t="s">
        <v>494</v>
      </c>
      <c r="D225" s="62" t="s">
        <v>472</v>
      </c>
      <c r="E225" s="62" t="s">
        <v>557</v>
      </c>
      <c r="F225" s="62" t="s">
        <v>511</v>
      </c>
      <c r="G225" s="62" t="s">
        <v>560</v>
      </c>
      <c r="H225" s="62" t="s">
        <v>561</v>
      </c>
      <c r="I225" s="63"/>
      <c r="J225" s="62" t="str">
        <f t="shared" si="3"/>
        <v>标准床01-1.5m宽_/</v>
      </c>
      <c r="K225" s="64" t="s">
        <v>492</v>
      </c>
      <c r="L225" s="64" t="s">
        <v>499</v>
      </c>
      <c r="M225" s="64" t="e">
        <f>VLOOKUP($I225,[1]资产项汇总!$G:$M,4,0)</f>
        <v>#N/A</v>
      </c>
      <c r="N225" s="64" t="s">
        <v>499</v>
      </c>
      <c r="O225" s="65">
        <v>1</v>
      </c>
      <c r="P225" s="64" t="e">
        <f>VLOOKUP($I225,[1]资产项汇总!$G:$M,6,0)</f>
        <v>#N/A</v>
      </c>
      <c r="Q225" s="64" t="e">
        <f>VLOOKUP($I225,[1]资产项汇总!$G:$M,7,0)</f>
        <v>#N/A</v>
      </c>
      <c r="R225" s="63"/>
      <c r="S225" s="66"/>
    </row>
    <row r="226" ht="16.5" spans="1:19">
      <c r="A226" s="62">
        <v>8</v>
      </c>
      <c r="B226" s="62" t="s">
        <v>493</v>
      </c>
      <c r="C226" s="62" t="s">
        <v>494</v>
      </c>
      <c r="D226" s="62" t="s">
        <v>472</v>
      </c>
      <c r="E226" s="62" t="s">
        <v>557</v>
      </c>
      <c r="F226" s="62" t="s">
        <v>511</v>
      </c>
      <c r="G226" s="62" t="s">
        <v>562</v>
      </c>
      <c r="H226" s="62" t="s">
        <v>563</v>
      </c>
      <c r="I226" s="63"/>
      <c r="J226" s="62" t="str">
        <f t="shared" si="3"/>
        <v>床垫01-1.5m_/</v>
      </c>
      <c r="K226" s="64" t="s">
        <v>492</v>
      </c>
      <c r="L226" s="64" t="s">
        <v>499</v>
      </c>
      <c r="M226" s="64" t="e">
        <f>VLOOKUP($I226,[1]资产项汇总!$G:$M,4,0)</f>
        <v>#N/A</v>
      </c>
      <c r="N226" s="64" t="s">
        <v>499</v>
      </c>
      <c r="O226" s="65">
        <v>1</v>
      </c>
      <c r="P226" s="64" t="e">
        <f>VLOOKUP($I226,[1]资产项汇总!$G:$M,6,0)</f>
        <v>#N/A</v>
      </c>
      <c r="Q226" s="64" t="e">
        <f>VLOOKUP($I226,[1]资产项汇总!$G:$M,7,0)</f>
        <v>#N/A</v>
      </c>
      <c r="R226" s="63"/>
      <c r="S226" s="66"/>
    </row>
    <row r="227" ht="16.5" spans="1:19">
      <c r="A227" s="62">
        <v>9</v>
      </c>
      <c r="B227" s="62" t="s">
        <v>493</v>
      </c>
      <c r="C227" s="62" t="s">
        <v>494</v>
      </c>
      <c r="D227" s="62" t="s">
        <v>472</v>
      </c>
      <c r="E227" s="62" t="s">
        <v>557</v>
      </c>
      <c r="F227" s="62" t="s">
        <v>511</v>
      </c>
      <c r="G227" s="62" t="s">
        <v>564</v>
      </c>
      <c r="H227" s="62" t="s">
        <v>591</v>
      </c>
      <c r="I227" s="63"/>
      <c r="J227" s="62" t="str">
        <f t="shared" si="3"/>
        <v>衣柜02-通用有冰箱_/</v>
      </c>
      <c r="K227" s="64" t="s">
        <v>492</v>
      </c>
      <c r="L227" s="64" t="s">
        <v>499</v>
      </c>
      <c r="M227" s="64" t="e">
        <f>VLOOKUP($I227,[1]资产项汇总!$G:$M,4,0)</f>
        <v>#N/A</v>
      </c>
      <c r="N227" s="64" t="s">
        <v>499</v>
      </c>
      <c r="O227" s="65">
        <v>1</v>
      </c>
      <c r="P227" s="64" t="e">
        <f>VLOOKUP($I227,[1]资产项汇总!$G:$M,6,0)</f>
        <v>#N/A</v>
      </c>
      <c r="Q227" s="64" t="e">
        <f>VLOOKUP($I227,[1]资产项汇总!$G:$M,7,0)</f>
        <v>#N/A</v>
      </c>
      <c r="R227" s="63"/>
      <c r="S227" s="66"/>
    </row>
    <row r="228" ht="16.5" spans="1:19">
      <c r="A228" s="62">
        <v>10</v>
      </c>
      <c r="B228" s="62" t="s">
        <v>493</v>
      </c>
      <c r="C228" s="62" t="s">
        <v>494</v>
      </c>
      <c r="D228" s="62" t="s">
        <v>472</v>
      </c>
      <c r="E228" s="62" t="s">
        <v>557</v>
      </c>
      <c r="F228" s="62" t="s">
        <v>521</v>
      </c>
      <c r="G228" s="62" t="s">
        <v>522</v>
      </c>
      <c r="H228" s="62" t="s">
        <v>523</v>
      </c>
      <c r="I228" s="63"/>
      <c r="J228" s="62" t="str">
        <f t="shared" si="3"/>
        <v>冷暖空调01-1p_/</v>
      </c>
      <c r="K228" s="64" t="s">
        <v>492</v>
      </c>
      <c r="L228" s="64" t="s">
        <v>499</v>
      </c>
      <c r="M228" s="64" t="e">
        <f>VLOOKUP($I228,[1]资产项汇总!$G:$M,4,0)</f>
        <v>#N/A</v>
      </c>
      <c r="N228" s="64" t="s">
        <v>499</v>
      </c>
      <c r="O228" s="65">
        <v>1</v>
      </c>
      <c r="P228" s="64" t="e">
        <f>VLOOKUP($I228,[1]资产项汇总!$G:$M,6,0)</f>
        <v>#N/A</v>
      </c>
      <c r="Q228" s="64" t="e">
        <f>VLOOKUP($I228,[1]资产项汇总!$G:$M,7,0)</f>
        <v>#N/A</v>
      </c>
      <c r="R228" s="63"/>
      <c r="S228" s="66"/>
    </row>
    <row r="229" ht="16.5" spans="1:19">
      <c r="A229" s="62">
        <v>11</v>
      </c>
      <c r="B229" s="62" t="s">
        <v>493</v>
      </c>
      <c r="C229" s="62" t="s">
        <v>494</v>
      </c>
      <c r="D229" s="62" t="s">
        <v>472</v>
      </c>
      <c r="E229" s="62" t="s">
        <v>557</v>
      </c>
      <c r="F229" s="62" t="s">
        <v>521</v>
      </c>
      <c r="G229" s="62" t="s">
        <v>524</v>
      </c>
      <c r="H229" s="62" t="s">
        <v>525</v>
      </c>
      <c r="I229" s="63"/>
      <c r="J229" s="62" t="str">
        <f t="shared" si="3"/>
        <v>空调遥控器01_/</v>
      </c>
      <c r="K229" s="64" t="s">
        <v>492</v>
      </c>
      <c r="L229" s="64" t="s">
        <v>499</v>
      </c>
      <c r="M229" s="64" t="e">
        <f>VLOOKUP($I229,[1]资产项汇总!$G:$M,4,0)</f>
        <v>#N/A</v>
      </c>
      <c r="N229" s="64" t="s">
        <v>499</v>
      </c>
      <c r="O229" s="65">
        <v>1</v>
      </c>
      <c r="P229" s="64" t="e">
        <f>VLOOKUP($I229,[1]资产项汇总!$G:$M,6,0)</f>
        <v>#N/A</v>
      </c>
      <c r="Q229" s="64" t="e">
        <f>VLOOKUP($I229,[1]资产项汇总!$G:$M,7,0)</f>
        <v>#N/A</v>
      </c>
      <c r="R229" s="63"/>
      <c r="S229" s="66"/>
    </row>
    <row r="230" ht="16.5" spans="1:19">
      <c r="A230" s="62">
        <v>12</v>
      </c>
      <c r="B230" s="62" t="s">
        <v>493</v>
      </c>
      <c r="C230" s="62" t="s">
        <v>494</v>
      </c>
      <c r="D230" s="62" t="s">
        <v>472</v>
      </c>
      <c r="E230" s="62" t="s">
        <v>557</v>
      </c>
      <c r="F230" s="62" t="s">
        <v>526</v>
      </c>
      <c r="G230" s="62" t="s">
        <v>529</v>
      </c>
      <c r="H230" s="62" t="s">
        <v>530</v>
      </c>
      <c r="I230" s="63"/>
      <c r="J230" s="62" t="str">
        <f t="shared" si="3"/>
        <v>吸顶灯01_/</v>
      </c>
      <c r="K230" s="64" t="s">
        <v>492</v>
      </c>
      <c r="L230" s="64" t="s">
        <v>499</v>
      </c>
      <c r="M230" s="64" t="e">
        <f>VLOOKUP($I230,[1]资产项汇总!$G:$M,4,0)</f>
        <v>#N/A</v>
      </c>
      <c r="N230" s="64" t="s">
        <v>499</v>
      </c>
      <c r="O230" s="65">
        <v>1</v>
      </c>
      <c r="P230" s="64" t="e">
        <f>VLOOKUP($I230,[1]资产项汇总!$G:$M,6,0)</f>
        <v>#N/A</v>
      </c>
      <c r="Q230" s="64" t="e">
        <f>VLOOKUP($I230,[1]资产项汇总!$G:$M,7,0)</f>
        <v>#N/A</v>
      </c>
      <c r="R230" s="63"/>
      <c r="S230" s="66"/>
    </row>
    <row r="231" ht="16.5" spans="1:19">
      <c r="A231" s="62">
        <v>13</v>
      </c>
      <c r="B231" s="62" t="s">
        <v>493</v>
      </c>
      <c r="C231" s="62" t="s">
        <v>494</v>
      </c>
      <c r="D231" s="62" t="s">
        <v>472</v>
      </c>
      <c r="E231" s="62" t="s">
        <v>557</v>
      </c>
      <c r="F231" s="62" t="s">
        <v>508</v>
      </c>
      <c r="G231" s="62" t="s">
        <v>531</v>
      </c>
      <c r="H231" s="62" t="s">
        <v>532</v>
      </c>
      <c r="I231" s="63"/>
      <c r="J231" s="62" t="str">
        <f t="shared" si="3"/>
        <v>烟感01_/</v>
      </c>
      <c r="K231" s="64" t="s">
        <v>492</v>
      </c>
      <c r="L231" s="64" t="s">
        <v>499</v>
      </c>
      <c r="M231" s="64" t="e">
        <f>VLOOKUP($I231,[1]资产项汇总!$G:$M,4,0)</f>
        <v>#N/A</v>
      </c>
      <c r="N231" s="64" t="s">
        <v>499</v>
      </c>
      <c r="O231" s="65">
        <v>1</v>
      </c>
      <c r="P231" s="64" t="e">
        <f>VLOOKUP($I231,[1]资产项汇总!$G:$M,6,0)</f>
        <v>#N/A</v>
      </c>
      <c r="Q231" s="64" t="e">
        <f>VLOOKUP($I231,[1]资产项汇总!$G:$M,7,0)</f>
        <v>#N/A</v>
      </c>
      <c r="R231" s="63"/>
      <c r="S231" s="66"/>
    </row>
    <row r="232" ht="16.5" spans="1:19">
      <c r="A232" s="62">
        <v>14</v>
      </c>
      <c r="B232" s="62" t="s">
        <v>493</v>
      </c>
      <c r="C232" s="62" t="s">
        <v>494</v>
      </c>
      <c r="D232" s="62" t="s">
        <v>472</v>
      </c>
      <c r="E232" s="62" t="s">
        <v>557</v>
      </c>
      <c r="F232" s="62" t="s">
        <v>533</v>
      </c>
      <c r="G232" s="62" t="s">
        <v>534</v>
      </c>
      <c r="H232" s="62" t="s">
        <v>535</v>
      </c>
      <c r="I232" s="63"/>
      <c r="J232" s="62" t="str">
        <f t="shared" si="3"/>
        <v>户内配电箱01_/</v>
      </c>
      <c r="K232" s="64" t="s">
        <v>492</v>
      </c>
      <c r="L232" s="64" t="s">
        <v>499</v>
      </c>
      <c r="M232" s="64" t="e">
        <f>VLOOKUP($I232,[1]资产项汇总!$G:$M,4,0)</f>
        <v>#N/A</v>
      </c>
      <c r="N232" s="64" t="s">
        <v>499</v>
      </c>
      <c r="O232" s="65">
        <v>1</v>
      </c>
      <c r="P232" s="64" t="e">
        <f>VLOOKUP($I232,[1]资产项汇总!$G:$M,6,0)</f>
        <v>#N/A</v>
      </c>
      <c r="Q232" s="64" t="e">
        <f>VLOOKUP($I232,[1]资产项汇总!$G:$M,7,0)</f>
        <v>#N/A</v>
      </c>
      <c r="R232" s="63"/>
      <c r="S232" s="66"/>
    </row>
    <row r="233" ht="16.5" spans="1:19">
      <c r="A233" s="62">
        <v>15</v>
      </c>
      <c r="B233" s="62" t="s">
        <v>493</v>
      </c>
      <c r="C233" s="62" t="s">
        <v>494</v>
      </c>
      <c r="D233" s="62" t="s">
        <v>472</v>
      </c>
      <c r="E233" s="62" t="s">
        <v>557</v>
      </c>
      <c r="F233" s="62" t="s">
        <v>511</v>
      </c>
      <c r="G233" s="62" t="s">
        <v>536</v>
      </c>
      <c r="H233" s="62" t="s">
        <v>537</v>
      </c>
      <c r="I233" s="63"/>
      <c r="J233" s="62" t="str">
        <f t="shared" si="3"/>
        <v>网络收纳盒01_/</v>
      </c>
      <c r="K233" s="64" t="s">
        <v>492</v>
      </c>
      <c r="L233" s="64" t="s">
        <v>499</v>
      </c>
      <c r="M233" s="64" t="e">
        <f>VLOOKUP($I233,[1]资产项汇总!$G:$M,4,0)</f>
        <v>#N/A</v>
      </c>
      <c r="N233" s="64" t="s">
        <v>499</v>
      </c>
      <c r="O233" s="65">
        <v>1</v>
      </c>
      <c r="P233" s="64" t="e">
        <f>VLOOKUP($I233,[1]资产项汇总!$G:$M,6,0)</f>
        <v>#N/A</v>
      </c>
      <c r="Q233" s="64" t="e">
        <f>VLOOKUP($I233,[1]资产项汇总!$G:$M,7,0)</f>
        <v>#N/A</v>
      </c>
      <c r="R233" s="63"/>
      <c r="S233" s="66"/>
    </row>
    <row r="234" ht="16.5" spans="1:19">
      <c r="A234" s="62">
        <v>16</v>
      </c>
      <c r="B234" s="62" t="s">
        <v>493</v>
      </c>
      <c r="C234" s="62" t="s">
        <v>494</v>
      </c>
      <c r="D234" s="62" t="s">
        <v>472</v>
      </c>
      <c r="E234" s="62" t="s">
        <v>557</v>
      </c>
      <c r="F234" s="62" t="s">
        <v>538</v>
      </c>
      <c r="G234" s="62" t="s">
        <v>539</v>
      </c>
      <c r="H234" s="62" t="s">
        <v>540</v>
      </c>
      <c r="I234" s="63"/>
      <c r="J234" s="62" t="str">
        <f t="shared" si="3"/>
        <v>光猫01_/</v>
      </c>
      <c r="K234" s="64" t="s">
        <v>492</v>
      </c>
      <c r="L234" s="64" t="s">
        <v>499</v>
      </c>
      <c r="M234" s="64" t="e">
        <f>VLOOKUP($I234,[1]资产项汇总!$G:$M,4,0)</f>
        <v>#N/A</v>
      </c>
      <c r="N234" s="64" t="s">
        <v>499</v>
      </c>
      <c r="O234" s="65">
        <v>1</v>
      </c>
      <c r="P234" s="64" t="e">
        <f>VLOOKUP($I234,[1]资产项汇总!$G:$M,6,0)</f>
        <v>#N/A</v>
      </c>
      <c r="Q234" s="64" t="e">
        <f>VLOOKUP($I234,[1]资产项汇总!$G:$M,7,0)</f>
        <v>#N/A</v>
      </c>
      <c r="R234" s="63"/>
      <c r="S234" s="66"/>
    </row>
    <row r="235" ht="16.5" spans="1:19">
      <c r="A235" s="62">
        <v>17</v>
      </c>
      <c r="B235" s="62" t="s">
        <v>493</v>
      </c>
      <c r="C235" s="62" t="s">
        <v>494</v>
      </c>
      <c r="D235" s="62" t="s">
        <v>472</v>
      </c>
      <c r="E235" s="62" t="s">
        <v>557</v>
      </c>
      <c r="F235" s="62" t="s">
        <v>511</v>
      </c>
      <c r="G235" s="62" t="s">
        <v>541</v>
      </c>
      <c r="H235" s="62" t="s">
        <v>542</v>
      </c>
      <c r="I235" s="63"/>
      <c r="J235" s="62" t="str">
        <f t="shared" si="3"/>
        <v>试衣镜01_/</v>
      </c>
      <c r="K235" s="64" t="s">
        <v>492</v>
      </c>
      <c r="L235" s="64" t="s">
        <v>499</v>
      </c>
      <c r="M235" s="64" t="e">
        <f>VLOOKUP($I235,[1]资产项汇总!$G:$M,4,0)</f>
        <v>#N/A</v>
      </c>
      <c r="N235" s="64" t="s">
        <v>499</v>
      </c>
      <c r="O235" s="65">
        <v>1</v>
      </c>
      <c r="P235" s="64" t="e">
        <f>VLOOKUP($I235,[1]资产项汇总!$G:$M,6,0)</f>
        <v>#N/A</v>
      </c>
      <c r="Q235" s="64" t="e">
        <f>VLOOKUP($I235,[1]资产项汇总!$G:$M,7,0)</f>
        <v>#N/A</v>
      </c>
      <c r="R235" s="63"/>
      <c r="S235" s="66"/>
    </row>
    <row r="236" ht="16.5" spans="1:19">
      <c r="A236" s="62">
        <v>18</v>
      </c>
      <c r="B236" s="62" t="s">
        <v>493</v>
      </c>
      <c r="C236" s="62" t="s">
        <v>494</v>
      </c>
      <c r="D236" s="62" t="s">
        <v>472</v>
      </c>
      <c r="E236" s="62" t="s">
        <v>557</v>
      </c>
      <c r="F236" s="62" t="s">
        <v>496</v>
      </c>
      <c r="G236" s="62" t="s">
        <v>543</v>
      </c>
      <c r="H236" s="62" t="s">
        <v>600</v>
      </c>
      <c r="I236" s="63"/>
      <c r="J236" s="62" t="str">
        <f t="shared" si="3"/>
        <v>窗户01清玻_/</v>
      </c>
      <c r="K236" s="64" t="s">
        <v>492</v>
      </c>
      <c r="L236" s="64" t="s">
        <v>499</v>
      </c>
      <c r="M236" s="64" t="e">
        <f>VLOOKUP($I236,[1]资产项汇总!$G:$M,4,0)</f>
        <v>#N/A</v>
      </c>
      <c r="N236" s="64" t="s">
        <v>499</v>
      </c>
      <c r="O236" s="65">
        <v>1</v>
      </c>
      <c r="P236" s="64" t="e">
        <f>VLOOKUP($I236,[1]资产项汇总!$G:$M,6,0)</f>
        <v>#N/A</v>
      </c>
      <c r="Q236" s="64" t="e">
        <f>VLOOKUP($I236,[1]资产项汇总!$G:$M,7,0)</f>
        <v>#N/A</v>
      </c>
      <c r="R236" s="63"/>
      <c r="S236" s="66"/>
    </row>
    <row r="237" ht="16.5" spans="1:19">
      <c r="A237" s="62">
        <v>19</v>
      </c>
      <c r="B237" s="62" t="s">
        <v>493</v>
      </c>
      <c r="C237" s="62" t="s">
        <v>494</v>
      </c>
      <c r="D237" s="62" t="s">
        <v>472</v>
      </c>
      <c r="E237" s="62" t="s">
        <v>557</v>
      </c>
      <c r="F237" s="62" t="s">
        <v>545</v>
      </c>
      <c r="G237" s="62" t="s">
        <v>546</v>
      </c>
      <c r="H237" s="62" t="s">
        <v>592</v>
      </c>
      <c r="I237" s="63"/>
      <c r="J237" s="62" t="str">
        <f t="shared" si="3"/>
        <v>卷帘01_/</v>
      </c>
      <c r="K237" s="64" t="s">
        <v>492</v>
      </c>
      <c r="L237" s="64" t="s">
        <v>499</v>
      </c>
      <c r="M237" s="64" t="e">
        <f>VLOOKUP($I237,[1]资产项汇总!$G:$M,4,0)</f>
        <v>#N/A</v>
      </c>
      <c r="N237" s="64" t="s">
        <v>499</v>
      </c>
      <c r="O237" s="65">
        <v>1</v>
      </c>
      <c r="P237" s="64" t="e">
        <f>VLOOKUP($I237,[1]资产项汇总!$G:$M,6,0)</f>
        <v>#N/A</v>
      </c>
      <c r="Q237" s="64" t="e">
        <f>VLOOKUP($I237,[1]资产项汇总!$G:$M,7,0)</f>
        <v>#N/A</v>
      </c>
      <c r="R237" s="63"/>
      <c r="S237" s="66"/>
    </row>
    <row r="238" ht="16.5" spans="1:19">
      <c r="A238" s="62">
        <v>20</v>
      </c>
      <c r="B238" s="62" t="s">
        <v>493</v>
      </c>
      <c r="C238" s="62" t="s">
        <v>494</v>
      </c>
      <c r="D238" s="62" t="s">
        <v>472</v>
      </c>
      <c r="E238" s="62" t="s">
        <v>557</v>
      </c>
      <c r="F238" s="62" t="s">
        <v>511</v>
      </c>
      <c r="G238" s="62" t="s">
        <v>452</v>
      </c>
      <c r="H238" s="62" t="s">
        <v>593</v>
      </c>
      <c r="I238" s="63"/>
      <c r="J238" s="62" t="str">
        <f t="shared" si="3"/>
        <v>操作台03洗衣机1.2m_/</v>
      </c>
      <c r="K238" s="64" t="s">
        <v>492</v>
      </c>
      <c r="L238" s="64" t="s">
        <v>499</v>
      </c>
      <c r="M238" s="64" t="e">
        <f>VLOOKUP($I238,[1]资产项汇总!$G:$M,4,0)</f>
        <v>#N/A</v>
      </c>
      <c r="N238" s="64" t="s">
        <v>499</v>
      </c>
      <c r="O238" s="65">
        <v>1</v>
      </c>
      <c r="P238" s="64" t="e">
        <f>VLOOKUP($I238,[1]资产项汇总!$G:$M,6,0)</f>
        <v>#N/A</v>
      </c>
      <c r="Q238" s="64" t="e">
        <f>VLOOKUP($I238,[1]资产项汇总!$G:$M,7,0)</f>
        <v>#N/A</v>
      </c>
      <c r="R238" s="63"/>
      <c r="S238" s="66"/>
    </row>
    <row r="239" ht="16.5" spans="1:19">
      <c r="A239" s="62">
        <v>21</v>
      </c>
      <c r="B239" s="62" t="s">
        <v>493</v>
      </c>
      <c r="C239" s="62" t="s">
        <v>494</v>
      </c>
      <c r="D239" s="62" t="s">
        <v>472</v>
      </c>
      <c r="E239" s="62" t="s">
        <v>557</v>
      </c>
      <c r="F239" s="62" t="s">
        <v>511</v>
      </c>
      <c r="G239" s="62" t="s">
        <v>549</v>
      </c>
      <c r="H239" s="62" t="s">
        <v>550</v>
      </c>
      <c r="I239" s="63"/>
      <c r="J239" s="62" t="str">
        <f t="shared" si="3"/>
        <v>镜子01_/</v>
      </c>
      <c r="K239" s="64" t="s">
        <v>492</v>
      </c>
      <c r="L239" s="64" t="s">
        <v>499</v>
      </c>
      <c r="M239" s="64" t="e">
        <f>VLOOKUP($I239,[1]资产项汇总!$G:$M,4,0)</f>
        <v>#N/A</v>
      </c>
      <c r="N239" s="64" t="s">
        <v>499</v>
      </c>
      <c r="O239" s="65">
        <v>1</v>
      </c>
      <c r="P239" s="64" t="e">
        <f>VLOOKUP($I239,[1]资产项汇总!$G:$M,6,0)</f>
        <v>#N/A</v>
      </c>
      <c r="Q239" s="64" t="e">
        <f>VLOOKUP($I239,[1]资产项汇总!$G:$M,7,0)</f>
        <v>#N/A</v>
      </c>
      <c r="R239" s="63"/>
      <c r="S239" s="66"/>
    </row>
    <row r="240" ht="16.5" spans="1:19">
      <c r="A240" s="62">
        <v>22</v>
      </c>
      <c r="B240" s="62" t="s">
        <v>493</v>
      </c>
      <c r="C240" s="62" t="s">
        <v>494</v>
      </c>
      <c r="D240" s="62" t="s">
        <v>472</v>
      </c>
      <c r="E240" s="62" t="s">
        <v>557</v>
      </c>
      <c r="F240" s="62" t="s">
        <v>526</v>
      </c>
      <c r="G240" s="62" t="s">
        <v>551</v>
      </c>
      <c r="H240" s="62" t="s">
        <v>552</v>
      </c>
      <c r="I240" s="63"/>
      <c r="J240" s="62" t="str">
        <f t="shared" si="3"/>
        <v>镜前灯01_/</v>
      </c>
      <c r="K240" s="64" t="s">
        <v>492</v>
      </c>
      <c r="L240" s="64" t="s">
        <v>499</v>
      </c>
      <c r="M240" s="64" t="e">
        <f>VLOOKUP($I240,[1]资产项汇总!$G:$M,4,0)</f>
        <v>#N/A</v>
      </c>
      <c r="N240" s="64" t="s">
        <v>499</v>
      </c>
      <c r="O240" s="65">
        <v>1</v>
      </c>
      <c r="P240" s="64" t="e">
        <f>VLOOKUP($I240,[1]资产项汇总!$G:$M,6,0)</f>
        <v>#N/A</v>
      </c>
      <c r="Q240" s="64" t="e">
        <f>VLOOKUP($I240,[1]资产项汇总!$G:$M,7,0)</f>
        <v>#N/A</v>
      </c>
      <c r="R240" s="63"/>
      <c r="S240" s="66"/>
    </row>
    <row r="241" ht="16.5" spans="1:19">
      <c r="A241" s="62">
        <v>23</v>
      </c>
      <c r="B241" s="62" t="s">
        <v>493</v>
      </c>
      <c r="C241" s="62" t="s">
        <v>494</v>
      </c>
      <c r="D241" s="62" t="s">
        <v>472</v>
      </c>
      <c r="E241" s="62" t="s">
        <v>557</v>
      </c>
      <c r="F241" s="62" t="s">
        <v>533</v>
      </c>
      <c r="G241" s="62" t="s">
        <v>553</v>
      </c>
      <c r="H241" s="62" t="s">
        <v>554</v>
      </c>
      <c r="I241" s="63"/>
      <c r="J241" s="62" t="str">
        <f t="shared" si="3"/>
        <v>等电位箱01_/</v>
      </c>
      <c r="K241" s="64" t="s">
        <v>492</v>
      </c>
      <c r="L241" s="64" t="s">
        <v>499</v>
      </c>
      <c r="M241" s="64" t="e">
        <f>VLOOKUP($I241,[1]资产项汇总!$G:$M,4,0)</f>
        <v>#N/A</v>
      </c>
      <c r="N241" s="64" t="s">
        <v>499</v>
      </c>
      <c r="O241" s="65">
        <v>1</v>
      </c>
      <c r="P241" s="64" t="e">
        <f>VLOOKUP($I241,[1]资产项汇总!$G:$M,6,0)</f>
        <v>#N/A</v>
      </c>
      <c r="Q241" s="64" t="e">
        <f>VLOOKUP($I241,[1]资产项汇总!$G:$M,7,0)</f>
        <v>#N/A</v>
      </c>
      <c r="R241" s="63"/>
      <c r="S241" s="66"/>
    </row>
    <row r="242" ht="16.5" spans="1:19">
      <c r="A242" s="62">
        <v>24</v>
      </c>
      <c r="B242" s="62" t="s">
        <v>493</v>
      </c>
      <c r="C242" s="62" t="s">
        <v>494</v>
      </c>
      <c r="D242" s="62" t="s">
        <v>472</v>
      </c>
      <c r="E242" s="62" t="s">
        <v>557</v>
      </c>
      <c r="F242" s="62" t="s">
        <v>511</v>
      </c>
      <c r="G242" s="62" t="s">
        <v>453</v>
      </c>
      <c r="H242" s="62" t="s">
        <v>598</v>
      </c>
      <c r="I242" s="63"/>
      <c r="J242" s="62" t="str">
        <f t="shared" si="3"/>
        <v>书桌02带挡板0.9m_/</v>
      </c>
      <c r="K242" s="64" t="s">
        <v>492</v>
      </c>
      <c r="L242" s="64" t="s">
        <v>499</v>
      </c>
      <c r="M242" s="64" t="e">
        <f>VLOOKUP($I242,[1]资产项汇总!$G:$M,4,0)</f>
        <v>#N/A</v>
      </c>
      <c r="N242" s="64" t="s">
        <v>499</v>
      </c>
      <c r="O242" s="65">
        <v>1</v>
      </c>
      <c r="P242" s="64" t="e">
        <f>VLOOKUP($I242,[1]资产项汇总!$G:$M,6,0)</f>
        <v>#N/A</v>
      </c>
      <c r="Q242" s="64" t="e">
        <f>VLOOKUP($I242,[1]资产项汇总!$G:$M,7,0)</f>
        <v>#N/A</v>
      </c>
      <c r="R242" s="63"/>
      <c r="S242" s="66"/>
    </row>
    <row r="243" ht="16.5" spans="1:19">
      <c r="A243" s="62">
        <v>25</v>
      </c>
      <c r="B243" s="62" t="s">
        <v>493</v>
      </c>
      <c r="C243" s="62" t="s">
        <v>494</v>
      </c>
      <c r="D243" s="62" t="s">
        <v>472</v>
      </c>
      <c r="E243" s="62" t="s">
        <v>557</v>
      </c>
      <c r="F243" s="62" t="s">
        <v>511</v>
      </c>
      <c r="G243" s="62" t="s">
        <v>519</v>
      </c>
      <c r="H243" s="62" t="s">
        <v>595</v>
      </c>
      <c r="I243" s="63"/>
      <c r="J243" s="62" t="str">
        <f t="shared" si="3"/>
        <v>椅子01配书桌_/</v>
      </c>
      <c r="K243" s="64" t="s">
        <v>492</v>
      </c>
      <c r="L243" s="64" t="s">
        <v>499</v>
      </c>
      <c r="M243" s="64" t="e">
        <f>VLOOKUP($I243,[1]资产项汇总!$G:$M,4,0)</f>
        <v>#N/A</v>
      </c>
      <c r="N243" s="64" t="s">
        <v>499</v>
      </c>
      <c r="O243" s="65">
        <v>1</v>
      </c>
      <c r="P243" s="64" t="e">
        <f>VLOOKUP($I243,[1]资产项汇总!$G:$M,6,0)</f>
        <v>#N/A</v>
      </c>
      <c r="Q243" s="64" t="e">
        <f>VLOOKUP($I243,[1]资产项汇总!$G:$M,7,0)</f>
        <v>#N/A</v>
      </c>
      <c r="R243" s="63"/>
      <c r="S243" s="66"/>
    </row>
    <row r="244" ht="16.5" spans="1:19">
      <c r="A244" s="62">
        <v>26</v>
      </c>
      <c r="B244" s="62" t="s">
        <v>493</v>
      </c>
      <c r="C244" s="62" t="s">
        <v>494</v>
      </c>
      <c r="D244" s="62" t="s">
        <v>472</v>
      </c>
      <c r="E244" s="62" t="s">
        <v>557</v>
      </c>
      <c r="F244" s="62" t="s">
        <v>511</v>
      </c>
      <c r="G244" s="62" t="s">
        <v>555</v>
      </c>
      <c r="H244" s="62" t="s">
        <v>556</v>
      </c>
      <c r="I244" s="63"/>
      <c r="J244" s="62" t="str">
        <f t="shared" si="3"/>
        <v>墙上/天花晾衣杆_/</v>
      </c>
      <c r="K244" s="64" t="s">
        <v>492</v>
      </c>
      <c r="L244" s="64" t="s">
        <v>499</v>
      </c>
      <c r="M244" s="64" t="e">
        <f>VLOOKUP($I244,[1]资产项汇总!$G:$M,4,0)</f>
        <v>#N/A</v>
      </c>
      <c r="N244" s="64" t="s">
        <v>499</v>
      </c>
      <c r="O244" s="65">
        <v>1</v>
      </c>
      <c r="P244" s="64" t="e">
        <f>VLOOKUP($I244,[1]资产项汇总!$G:$M,6,0)</f>
        <v>#N/A</v>
      </c>
      <c r="Q244" s="64" t="e">
        <f>VLOOKUP($I244,[1]资产项汇总!$G:$M,7,0)</f>
        <v>#N/A</v>
      </c>
      <c r="R244" s="63"/>
      <c r="S244" s="66"/>
    </row>
    <row r="245" ht="16.5" spans="1:19">
      <c r="A245" s="62">
        <v>27</v>
      </c>
      <c r="B245" s="62" t="s">
        <v>493</v>
      </c>
      <c r="C245" s="62" t="s">
        <v>494</v>
      </c>
      <c r="D245" s="62" t="s">
        <v>472</v>
      </c>
      <c r="E245" s="62" t="s">
        <v>604</v>
      </c>
      <c r="F245" s="62" t="s">
        <v>496</v>
      </c>
      <c r="G245" s="62" t="s">
        <v>567</v>
      </c>
      <c r="H245" s="62" t="s">
        <v>605</v>
      </c>
      <c r="I245" s="63"/>
      <c r="J245" s="62" t="str">
        <f t="shared" si="3"/>
        <v>卫生间门01_/</v>
      </c>
      <c r="K245" s="64" t="s">
        <v>492</v>
      </c>
      <c r="L245" s="64" t="s">
        <v>499</v>
      </c>
      <c r="M245" s="64" t="e">
        <f>VLOOKUP($I245,[1]资产项汇总!$G:$M,4,0)</f>
        <v>#N/A</v>
      </c>
      <c r="N245" s="64" t="s">
        <v>499</v>
      </c>
      <c r="O245" s="65">
        <v>1</v>
      </c>
      <c r="P245" s="64" t="e">
        <f>VLOOKUP($I245,[1]资产项汇总!$G:$M,6,0)</f>
        <v>#N/A</v>
      </c>
      <c r="Q245" s="64" t="e">
        <f>VLOOKUP($I245,[1]资产项汇总!$G:$M,7,0)</f>
        <v>#N/A</v>
      </c>
      <c r="R245" s="63"/>
      <c r="S245" s="66"/>
    </row>
    <row r="246" ht="16.5" spans="1:19">
      <c r="A246" s="62">
        <v>28</v>
      </c>
      <c r="B246" s="62" t="s">
        <v>493</v>
      </c>
      <c r="C246" s="62" t="s">
        <v>494</v>
      </c>
      <c r="D246" s="62" t="s">
        <v>472</v>
      </c>
      <c r="E246" s="62" t="s">
        <v>604</v>
      </c>
      <c r="F246" s="62" t="s">
        <v>496</v>
      </c>
      <c r="G246" s="62" t="s">
        <v>543</v>
      </c>
      <c r="H246" s="62" t="s">
        <v>544</v>
      </c>
      <c r="I246" s="63"/>
      <c r="J246" s="62" t="str">
        <f t="shared" si="3"/>
        <v>窗户02磨砂_/</v>
      </c>
      <c r="K246" s="64" t="s">
        <v>492</v>
      </c>
      <c r="L246" s="64" t="s">
        <v>499</v>
      </c>
      <c r="M246" s="64" t="e">
        <f>VLOOKUP($I246,[1]资产项汇总!$G:$M,4,0)</f>
        <v>#N/A</v>
      </c>
      <c r="N246" s="64" t="s">
        <v>499</v>
      </c>
      <c r="O246" s="65">
        <v>1</v>
      </c>
      <c r="P246" s="64" t="e">
        <f>VLOOKUP($I246,[1]资产项汇总!$G:$M,6,0)</f>
        <v>#N/A</v>
      </c>
      <c r="Q246" s="64" t="e">
        <f>VLOOKUP($I246,[1]资产项汇总!$G:$M,7,0)</f>
        <v>#N/A</v>
      </c>
      <c r="R246" s="63"/>
      <c r="S246" s="66"/>
    </row>
    <row r="247" ht="16.5" spans="1:19">
      <c r="A247" s="62">
        <v>29</v>
      </c>
      <c r="B247" s="62" t="s">
        <v>493</v>
      </c>
      <c r="C247" s="62" t="s">
        <v>494</v>
      </c>
      <c r="D247" s="62" t="s">
        <v>472</v>
      </c>
      <c r="E247" s="62" t="s">
        <v>604</v>
      </c>
      <c r="F247" s="62" t="s">
        <v>511</v>
      </c>
      <c r="G247" s="62" t="s">
        <v>549</v>
      </c>
      <c r="H247" s="62" t="s">
        <v>550</v>
      </c>
      <c r="I247" s="63"/>
      <c r="J247" s="62" t="str">
        <f t="shared" si="3"/>
        <v>镜子01_/</v>
      </c>
      <c r="K247" s="64" t="s">
        <v>492</v>
      </c>
      <c r="L247" s="64" t="s">
        <v>499</v>
      </c>
      <c r="M247" s="64" t="e">
        <f>VLOOKUP($I247,[1]资产项汇总!$G:$M,4,0)</f>
        <v>#N/A</v>
      </c>
      <c r="N247" s="64" t="s">
        <v>499</v>
      </c>
      <c r="O247" s="65">
        <v>1</v>
      </c>
      <c r="P247" s="64" t="e">
        <f>VLOOKUP($I247,[1]资产项汇总!$G:$M,6,0)</f>
        <v>#N/A</v>
      </c>
      <c r="Q247" s="64" t="e">
        <f>VLOOKUP($I247,[1]资产项汇总!$G:$M,7,0)</f>
        <v>#N/A</v>
      </c>
      <c r="R247" s="63"/>
      <c r="S247" s="66"/>
    </row>
    <row r="248" ht="16.5" spans="1:19">
      <c r="A248" s="62">
        <v>30</v>
      </c>
      <c r="B248" s="62" t="s">
        <v>493</v>
      </c>
      <c r="C248" s="62" t="s">
        <v>494</v>
      </c>
      <c r="D248" s="62" t="s">
        <v>472</v>
      </c>
      <c r="E248" s="62" t="s">
        <v>604</v>
      </c>
      <c r="F248" s="62" t="s">
        <v>526</v>
      </c>
      <c r="G248" s="62" t="s">
        <v>572</v>
      </c>
      <c r="H248" s="62" t="s">
        <v>606</v>
      </c>
      <c r="I248" s="63"/>
      <c r="J248" s="62" t="str">
        <f t="shared" si="3"/>
        <v>嵌入式厨卫灯01_/</v>
      </c>
      <c r="K248" s="64" t="s">
        <v>492</v>
      </c>
      <c r="L248" s="64" t="s">
        <v>499</v>
      </c>
      <c r="M248" s="64" t="e">
        <f>VLOOKUP($I248,[1]资产项汇总!$G:$M,4,0)</f>
        <v>#N/A</v>
      </c>
      <c r="N248" s="64" t="s">
        <v>499</v>
      </c>
      <c r="O248" s="65">
        <v>1</v>
      </c>
      <c r="P248" s="64" t="e">
        <f>VLOOKUP($I248,[1]资产项汇总!$G:$M,6,0)</f>
        <v>#N/A</v>
      </c>
      <c r="Q248" s="64" t="e">
        <f>VLOOKUP($I248,[1]资产项汇总!$G:$M,7,0)</f>
        <v>#N/A</v>
      </c>
      <c r="R248" s="63"/>
      <c r="S248" s="66"/>
    </row>
    <row r="249" ht="16.5" spans="1:19">
      <c r="A249" s="62">
        <v>31</v>
      </c>
      <c r="B249" s="62" t="s">
        <v>493</v>
      </c>
      <c r="C249" s="62" t="s">
        <v>494</v>
      </c>
      <c r="D249" s="62" t="s">
        <v>472</v>
      </c>
      <c r="E249" s="62" t="s">
        <v>604</v>
      </c>
      <c r="F249" s="62" t="s">
        <v>574</v>
      </c>
      <c r="G249" s="62" t="s">
        <v>575</v>
      </c>
      <c r="H249" s="62" t="s">
        <v>607</v>
      </c>
      <c r="I249" s="63"/>
      <c r="J249" s="62" t="str">
        <f t="shared" si="3"/>
        <v>淋浴手持花洒01_/</v>
      </c>
      <c r="K249" s="64" t="s">
        <v>492</v>
      </c>
      <c r="L249" s="64" t="s">
        <v>499</v>
      </c>
      <c r="M249" s="64" t="e">
        <f>VLOOKUP($I249,[1]资产项汇总!$G:$M,4,0)</f>
        <v>#N/A</v>
      </c>
      <c r="N249" s="64" t="s">
        <v>499</v>
      </c>
      <c r="O249" s="65">
        <v>1</v>
      </c>
      <c r="P249" s="64" t="e">
        <f>VLOOKUP($I249,[1]资产项汇总!$G:$M,6,0)</f>
        <v>#N/A</v>
      </c>
      <c r="Q249" s="64" t="e">
        <f>VLOOKUP($I249,[1]资产项汇总!$G:$M,7,0)</f>
        <v>#N/A</v>
      </c>
      <c r="R249" s="63"/>
      <c r="S249" s="66"/>
    </row>
    <row r="250" ht="16.5" spans="1:19">
      <c r="A250" s="62">
        <v>32</v>
      </c>
      <c r="B250" s="62" t="s">
        <v>493</v>
      </c>
      <c r="C250" s="62" t="s">
        <v>494</v>
      </c>
      <c r="D250" s="62" t="s">
        <v>472</v>
      </c>
      <c r="E250" s="62" t="s">
        <v>604</v>
      </c>
      <c r="F250" s="62" t="s">
        <v>574</v>
      </c>
      <c r="G250" s="62" t="s">
        <v>577</v>
      </c>
      <c r="H250" s="62" t="s">
        <v>608</v>
      </c>
      <c r="I250" s="63"/>
      <c r="J250" s="62" t="str">
        <f t="shared" si="3"/>
        <v>坐便器01_/</v>
      </c>
      <c r="K250" s="64" t="s">
        <v>492</v>
      </c>
      <c r="L250" s="64" t="s">
        <v>499</v>
      </c>
      <c r="M250" s="64" t="e">
        <f>VLOOKUP($I250,[1]资产项汇总!$G:$M,4,0)</f>
        <v>#N/A</v>
      </c>
      <c r="N250" s="64" t="s">
        <v>499</v>
      </c>
      <c r="O250" s="65">
        <v>1</v>
      </c>
      <c r="P250" s="64" t="e">
        <f>VLOOKUP($I250,[1]资产项汇总!$G:$M,6,0)</f>
        <v>#N/A</v>
      </c>
      <c r="Q250" s="64" t="e">
        <f>VLOOKUP($I250,[1]资产项汇总!$G:$M,7,0)</f>
        <v>#N/A</v>
      </c>
      <c r="R250" s="63"/>
      <c r="S250" s="66"/>
    </row>
    <row r="251" ht="16.5" spans="1:19">
      <c r="A251" s="62">
        <v>33</v>
      </c>
      <c r="B251" s="62" t="s">
        <v>493</v>
      </c>
      <c r="C251" s="62" t="s">
        <v>494</v>
      </c>
      <c r="D251" s="62" t="s">
        <v>472</v>
      </c>
      <c r="E251" s="62" t="s">
        <v>604</v>
      </c>
      <c r="F251" s="62" t="s">
        <v>574</v>
      </c>
      <c r="G251" s="62" t="s">
        <v>579</v>
      </c>
      <c r="H251" s="62" t="s">
        <v>609</v>
      </c>
      <c r="I251" s="63"/>
      <c r="J251" s="62" t="str">
        <f t="shared" si="3"/>
        <v>毛巾架01_/</v>
      </c>
      <c r="K251" s="64" t="s">
        <v>492</v>
      </c>
      <c r="L251" s="64" t="s">
        <v>499</v>
      </c>
      <c r="M251" s="64" t="e">
        <f>VLOOKUP($I251,[1]资产项汇总!$G:$M,4,0)</f>
        <v>#N/A</v>
      </c>
      <c r="N251" s="64" t="s">
        <v>499</v>
      </c>
      <c r="O251" s="65">
        <v>1</v>
      </c>
      <c r="P251" s="64" t="e">
        <f>VLOOKUP($I251,[1]资产项汇总!$G:$M,6,0)</f>
        <v>#N/A</v>
      </c>
      <c r="Q251" s="64" t="e">
        <f>VLOOKUP($I251,[1]资产项汇总!$G:$M,7,0)</f>
        <v>#N/A</v>
      </c>
      <c r="R251" s="63"/>
      <c r="S251" s="66"/>
    </row>
    <row r="252" ht="16.5" spans="1:19">
      <c r="A252" s="62">
        <v>34</v>
      </c>
      <c r="B252" s="62" t="s">
        <v>493</v>
      </c>
      <c r="C252" s="62" t="s">
        <v>494</v>
      </c>
      <c r="D252" s="62" t="s">
        <v>472</v>
      </c>
      <c r="E252" s="62" t="s">
        <v>604</v>
      </c>
      <c r="F252" s="62" t="s">
        <v>521</v>
      </c>
      <c r="G252" s="62" t="s">
        <v>581</v>
      </c>
      <c r="H252" s="62" t="s">
        <v>597</v>
      </c>
      <c r="I252" s="63"/>
      <c r="J252" s="62" t="str">
        <f t="shared" si="3"/>
        <v>电热水器01-40L_/</v>
      </c>
      <c r="K252" s="64" t="s">
        <v>492</v>
      </c>
      <c r="L252" s="64" t="s">
        <v>499</v>
      </c>
      <c r="M252" s="64" t="e">
        <f>VLOOKUP($I252,[1]资产项汇总!$G:$M,4,0)</f>
        <v>#N/A</v>
      </c>
      <c r="N252" s="64" t="s">
        <v>499</v>
      </c>
      <c r="O252" s="65">
        <v>1</v>
      </c>
      <c r="P252" s="64" t="e">
        <f>VLOOKUP($I252,[1]资产项汇总!$G:$M,6,0)</f>
        <v>#N/A</v>
      </c>
      <c r="Q252" s="64" t="e">
        <f>VLOOKUP($I252,[1]资产项汇总!$G:$M,7,0)</f>
        <v>#N/A</v>
      </c>
      <c r="R252" s="63"/>
      <c r="S252" s="66"/>
    </row>
    <row r="253" ht="16.5" spans="1:19">
      <c r="A253" s="62">
        <v>35</v>
      </c>
      <c r="B253" s="62" t="s">
        <v>493</v>
      </c>
      <c r="C253" s="62" t="s">
        <v>494</v>
      </c>
      <c r="D253" s="62" t="s">
        <v>472</v>
      </c>
      <c r="E253" s="62" t="s">
        <v>604</v>
      </c>
      <c r="F253" s="62" t="s">
        <v>502</v>
      </c>
      <c r="G253" s="62" t="s">
        <v>583</v>
      </c>
      <c r="H253" s="62" t="s">
        <v>584</v>
      </c>
      <c r="I253" s="63"/>
      <c r="J253" s="62" t="str">
        <f t="shared" si="3"/>
        <v>防水贴纸_/</v>
      </c>
      <c r="K253" s="64" t="s">
        <v>492</v>
      </c>
      <c r="L253" s="64" t="s">
        <v>499</v>
      </c>
      <c r="M253" s="64" t="e">
        <f>VLOOKUP($I253,[1]资产项汇总!$G:$M,4,0)</f>
        <v>#N/A</v>
      </c>
      <c r="N253" s="64" t="s">
        <v>499</v>
      </c>
      <c r="O253" s="65">
        <v>1</v>
      </c>
      <c r="P253" s="64" t="e">
        <f>VLOOKUP($I253,[1]资产项汇总!$G:$M,6,0)</f>
        <v>#N/A</v>
      </c>
      <c r="Q253" s="64" t="e">
        <f>VLOOKUP($I253,[1]资产项汇总!$G:$M,7,0)</f>
        <v>#N/A</v>
      </c>
      <c r="R253" s="63"/>
      <c r="S253" s="66"/>
    </row>
    <row r="254" ht="16.5" spans="1:19">
      <c r="A254" s="62">
        <v>36</v>
      </c>
      <c r="B254" s="62" t="s">
        <v>493</v>
      </c>
      <c r="C254" s="62" t="s">
        <v>494</v>
      </c>
      <c r="D254" s="62" t="s">
        <v>472</v>
      </c>
      <c r="E254" s="62" t="s">
        <v>604</v>
      </c>
      <c r="F254" s="62" t="s">
        <v>574</v>
      </c>
      <c r="G254" s="62" t="s">
        <v>587</v>
      </c>
      <c r="H254" s="62" t="s">
        <v>610</v>
      </c>
      <c r="I254" s="63"/>
      <c r="J254" s="62" t="str">
        <f t="shared" si="3"/>
        <v>三角浴篮01_/</v>
      </c>
      <c r="K254" s="64" t="s">
        <v>492</v>
      </c>
      <c r="L254" s="64" t="s">
        <v>499</v>
      </c>
      <c r="M254" s="64" t="e">
        <f>VLOOKUP($I254,[1]资产项汇总!$G:$M,4,0)</f>
        <v>#N/A</v>
      </c>
      <c r="N254" s="64" t="s">
        <v>499</v>
      </c>
      <c r="O254" s="65">
        <v>1</v>
      </c>
      <c r="P254" s="64" t="e">
        <f>VLOOKUP($I254,[1]资产项汇总!$G:$M,6,0)</f>
        <v>#N/A</v>
      </c>
      <c r="Q254" s="64" t="e">
        <f>VLOOKUP($I254,[1]资产项汇总!$G:$M,7,0)</f>
        <v>#N/A</v>
      </c>
      <c r="R254" s="63"/>
      <c r="S254" s="66"/>
    </row>
    <row r="255" ht="16.5" spans="1:19">
      <c r="A255" s="62">
        <v>37</v>
      </c>
      <c r="B255" s="62" t="s">
        <v>493</v>
      </c>
      <c r="C255" s="62" t="s">
        <v>494</v>
      </c>
      <c r="D255" s="62" t="s">
        <v>472</v>
      </c>
      <c r="E255" s="62" t="s">
        <v>604</v>
      </c>
      <c r="F255" s="62" t="s">
        <v>574</v>
      </c>
      <c r="G255" s="62" t="s">
        <v>589</v>
      </c>
      <c r="H255" s="62" t="s">
        <v>611</v>
      </c>
      <c r="I255" s="63"/>
      <c r="J255" s="62" t="str">
        <f t="shared" si="3"/>
        <v>纸巾架01_/</v>
      </c>
      <c r="K255" s="64" t="s">
        <v>492</v>
      </c>
      <c r="L255" s="64" t="s">
        <v>499</v>
      </c>
      <c r="M255" s="64" t="e">
        <f>VLOOKUP($I255,[1]资产项汇总!$G:$M,4,0)</f>
        <v>#N/A</v>
      </c>
      <c r="N255" s="64" t="s">
        <v>499</v>
      </c>
      <c r="O255" s="65">
        <v>1</v>
      </c>
      <c r="P255" s="64" t="e">
        <f>VLOOKUP($I255,[1]资产项汇总!$G:$M,6,0)</f>
        <v>#N/A</v>
      </c>
      <c r="Q255" s="64" t="e">
        <f>VLOOKUP($I255,[1]资产项汇总!$G:$M,7,0)</f>
        <v>#N/A</v>
      </c>
      <c r="R255" s="63"/>
      <c r="S255" s="66"/>
    </row>
  </sheetData>
  <mergeCells count="2">
    <mergeCell ref="A1:S1"/>
    <mergeCell ref="A3:H3"/>
  </mergeCells>
  <conditionalFormatting sqref="F2:K2">
    <cfRule type="containsText" dxfId="1" priority="22" operator="between" text="灭火器03">
      <formula>NOT(ISERROR(SEARCH("灭火器03",F2)))</formula>
    </cfRule>
    <cfRule type="containsText" dxfId="1" priority="23" operator="between" text="灭火器04">
      <formula>NOT(ISERROR(SEARCH("灭火器04",F2)))</formula>
    </cfRule>
    <cfRule type="containsText" dxfId="1" priority="24" operator="between" text="电热水器04">
      <formula>NOT(ISERROR(SEARCH("电热水器04",F2)))</formula>
    </cfRule>
    <cfRule type="containsText" dxfId="1" priority="25" operator="between" text="双人餐桌">
      <formula>NOT(ISERROR(SEARCH("双人餐桌",F2)))</formula>
    </cfRule>
    <cfRule type="containsText" dxfId="1" priority="26" operator="between" text="操作台08">
      <formula>NOT(ISERROR(SEARCH("操作台08",F2)))</formula>
    </cfRule>
    <cfRule type="containsText" dxfId="1" priority="27" operator="between" text="操作台07">
      <formula>NOT(ISERROR(SEARCH("操作台07",F2)))</formula>
    </cfRule>
    <cfRule type="containsText" dxfId="1" priority="28" operator="between" text="标准床06">
      <formula>NOT(ISERROR(SEARCH("标准床06",F2)))</formula>
    </cfRule>
    <cfRule type="containsText" dxfId="1" priority="29" operator="between" text="标准床05">
      <formula>NOT(ISERROR(SEARCH("标准床05",F2)))</formula>
    </cfRule>
    <cfRule type="containsText" dxfId="1" priority="30" operator="between" text="标准床05,操作台07">
      <formula>NOT(ISERROR(SEARCH("标准床05,操作台07",F2)))</formula>
    </cfRule>
  </conditionalFormatting>
  <conditionalFormatting sqref="I1:I255">
    <cfRule type="containsText" dxfId="2" priority="10" operator="between" text="至少">
      <formula>NOT(ISERROR(SEARCH("至少",I1)))</formula>
    </cfRule>
    <cfRule type="containsText" dxfId="2" priority="11" operator="between" text="标配">
      <formula>NOT(ISERROR(SEARCH("标配",I1)))</formula>
    </cfRule>
  </conditionalFormatting>
  <conditionalFormatting sqref="N1:N3">
    <cfRule type="containsText" dxfId="1" priority="12" operator="between" text="总包">
      <formula>NOT(ISERROR(SEARCH("总包",N1)))</formula>
    </cfRule>
    <cfRule type="containsText" dxfId="1" priority="13" operator="between" text="整体卫浴">
      <formula>NOT(ISERROR(SEARCH("整体卫浴",N1)))</formula>
    </cfRule>
    <cfRule type="containsText" dxfId="1" priority="14" operator="between" text="网络">
      <formula>NOT(ISERROR(SEARCH("网络",N1)))</formula>
    </cfRule>
    <cfRule type="containsText" dxfId="1" priority="15" operator="between" text="灭火器">
      <formula>NOT(ISERROR(SEARCH("灭火器",N1)))</formula>
    </cfRule>
    <cfRule type="containsText" dxfId="1" priority="16" operator="between" text="门锁">
      <formula>NOT(ISERROR(SEARCH("门锁",N1)))</formula>
    </cfRule>
    <cfRule type="containsText" dxfId="1" priority="17" operator="between" text="家具">
      <formula>NOT(ISERROR(SEARCH("家具",N1)))</formula>
    </cfRule>
    <cfRule type="containsText" dxfId="1" priority="18" operator="between" text="房间内标识">
      <formula>NOT(ISERROR(SEARCH("房间内标识",N1)))</formula>
    </cfRule>
    <cfRule type="containsText" dxfId="1" priority="19" operator="between" text="电器">
      <formula>NOT(ISERROR(SEARCH("电器",N1)))</formula>
    </cfRule>
    <cfRule type="containsText" dxfId="1" priority="20" operator="between" text="窗帘">
      <formula>NOT(ISERROR(SEARCH("窗帘",N1)))</formula>
    </cfRule>
    <cfRule type="containsText" dxfId="1" priority="21" operator="between" text="插座">
      <formula>NOT(ISERROR(SEARCH("插座",N1)))</formula>
    </cfRule>
  </conditionalFormatting>
  <conditionalFormatting sqref="J3:K255 O3:O255 H4:H255">
    <cfRule type="containsText" dxfId="1" priority="1" operator="between" text="灭火器03">
      <formula>NOT(ISERROR(SEARCH("灭火器03",H3)))</formula>
    </cfRule>
    <cfRule type="containsText" dxfId="1" priority="2" operator="between" text="灭火器04">
      <formula>NOT(ISERROR(SEARCH("灭火器04",H3)))</formula>
    </cfRule>
    <cfRule type="containsText" dxfId="1" priority="3" operator="between" text="电热水器04">
      <formula>NOT(ISERROR(SEARCH("电热水器04",H3)))</formula>
    </cfRule>
    <cfRule type="containsText" dxfId="1" priority="4" operator="between" text="双人餐桌">
      <formula>NOT(ISERROR(SEARCH("双人餐桌",H3)))</formula>
    </cfRule>
    <cfRule type="containsText" dxfId="1" priority="5" operator="between" text="操作台08">
      <formula>NOT(ISERROR(SEARCH("操作台08",H3)))</formula>
    </cfRule>
    <cfRule type="containsText" dxfId="1" priority="6" operator="between" text="操作台07">
      <formula>NOT(ISERROR(SEARCH("操作台07",H3)))</formula>
    </cfRule>
    <cfRule type="containsText" dxfId="1" priority="7" operator="between" text="标准床06">
      <formula>NOT(ISERROR(SEARCH("标准床06",H3)))</formula>
    </cfRule>
    <cfRule type="containsText" dxfId="1" priority="8" operator="between" text="标准床05">
      <formula>NOT(ISERROR(SEARCH("标准床05",H3)))</formula>
    </cfRule>
    <cfRule type="containsText" dxfId="1" priority="9" operator="between" text="标准床05,操作台07">
      <formula>NOT(ISERROR(SEARCH("标准床05,操作台07",H3)))</formula>
    </cfRule>
  </conditionalFormatting>
  <dataValidations count="3">
    <dataValidation type="list" allowBlank="1" showInputMessage="1" showErrorMessage="1" sqref="G1 G3:H3">
      <formula1>INDIRECT(#REF!)</formula1>
    </dataValidation>
    <dataValidation type="list" allowBlank="1" showInputMessage="1" showErrorMessage="1" sqref="G4:G255">
      <formula1>INDIRECT($G4)</formula1>
    </dataValidation>
    <dataValidation type="list" allowBlank="1" showInputMessage="1" showErrorMessage="1" sqref="H4:H255">
      <formula1>INDIRECT($H4)</formula1>
    </dataValidation>
  </dataValidation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J12" sqref="J12"/>
    </sheetView>
  </sheetViews>
  <sheetFormatPr defaultColWidth="12.25" defaultRowHeight="14" outlineLevelCol="7"/>
  <sheetData>
    <row r="1" ht="14.25" customHeight="1" spans="1:8">
      <c r="A1" s="29" t="str">
        <f>"安居乐寓"&amp;'【2】运营中心填-基本信息&amp;审核标准'!C2&amp;'【2】运营中心填-基本信息&amp;审核标准'!E2&amp;"公寓定价"</f>
        <v>安居乐寓兴围村兴围中6-20栋公寓定价</v>
      </c>
      <c r="B1" s="30"/>
      <c r="C1" s="30"/>
      <c r="D1" s="30"/>
      <c r="E1" s="30"/>
      <c r="F1" s="30"/>
      <c r="G1" s="30"/>
      <c r="H1" s="30"/>
    </row>
    <row r="2" ht="14.25" customHeight="1" spans="1:8">
      <c r="A2" s="29"/>
      <c r="B2" s="30"/>
      <c r="C2" s="30"/>
      <c r="D2" s="30"/>
      <c r="E2" s="30"/>
      <c r="F2" s="30"/>
      <c r="G2" s="30"/>
      <c r="H2" s="30"/>
    </row>
    <row r="3" ht="16.5" spans="1:8">
      <c r="A3" s="31" t="s">
        <v>612</v>
      </c>
      <c r="B3" s="32" t="s">
        <v>613</v>
      </c>
      <c r="C3" s="33">
        <v>101</v>
      </c>
      <c r="D3" s="33">
        <v>102</v>
      </c>
      <c r="E3" s="33">
        <v>103</v>
      </c>
      <c r="F3" s="33">
        <v>104</v>
      </c>
      <c r="G3" s="33">
        <v>105</v>
      </c>
      <c r="H3" s="33">
        <v>106</v>
      </c>
    </row>
    <row r="4" ht="16.5" spans="1:8">
      <c r="A4" s="31"/>
      <c r="B4" s="32" t="s">
        <v>336</v>
      </c>
      <c r="C4" s="18" t="str">
        <f>VLOOKUP(C3,'【3-2】大区&amp;运营中心填-房间模型价'!$H:$AM,2,0)</f>
        <v>A</v>
      </c>
      <c r="D4" s="18" t="str">
        <f>VLOOKUP(D3,'【3-2】大区&amp;运营中心填-房间模型价'!$H:$AM,2,0)</f>
        <v>B</v>
      </c>
      <c r="E4" s="18" t="str">
        <f>VLOOKUP(E3,'【3-2】大区&amp;运营中心填-房间模型价'!$H:$AM,2,0)</f>
        <v>C</v>
      </c>
      <c r="F4" s="18" t="str">
        <f>VLOOKUP(F3,'【3-2】大区&amp;运营中心填-房间模型价'!$H:$AM,2,0)</f>
        <v>C</v>
      </c>
      <c r="G4" s="18" t="str">
        <f>VLOOKUP(G3,'【3-2】大区&amp;运营中心填-房间模型价'!$H:$AM,2,0)</f>
        <v>B</v>
      </c>
      <c r="H4" s="18" t="str">
        <f>VLOOKUP(H3,'【3-2】大区&amp;运营中心填-房间模型价'!$H:$AM,2,0)</f>
        <v>A</v>
      </c>
    </row>
    <row r="5" ht="16.5" spans="1:8">
      <c r="A5" s="34"/>
      <c r="B5" s="35" t="s">
        <v>614</v>
      </c>
      <c r="C5" s="36">
        <f>VLOOKUP(C3,'【3-2】大区&amp;运营中心填-房间模型价'!$H:$AM,32,0)</f>
        <v>1920</v>
      </c>
      <c r="D5" s="36">
        <f>VLOOKUP(D3,'【3-2】大区&amp;运营中心填-房间模型价'!$H:$AM,32,0)</f>
        <v>1200</v>
      </c>
      <c r="E5" s="36">
        <f>VLOOKUP(E3,'【3-2】大区&amp;运营中心填-房间模型价'!$H:$AM,32,0)</f>
        <v>1200</v>
      </c>
      <c r="F5" s="36">
        <f>VLOOKUP(F3,'【3-2】大区&amp;运营中心填-房间模型价'!$H:$AM,32,0)</f>
        <v>1200</v>
      </c>
      <c r="G5" s="36">
        <f>VLOOKUP(G3,'【3-2】大区&amp;运营中心填-房间模型价'!$H:$AM,32,0)</f>
        <v>1200</v>
      </c>
      <c r="H5" s="36">
        <f>VLOOKUP(H3,'【3-2】大区&amp;运营中心填-房间模型价'!$H:$AM,32,0)</f>
        <v>1720</v>
      </c>
    </row>
    <row r="6" ht="17.5" spans="1:8">
      <c r="A6" s="37"/>
      <c r="B6" s="38"/>
      <c r="C6" s="39"/>
      <c r="D6" s="39"/>
      <c r="E6" s="39"/>
      <c r="F6" s="39"/>
      <c r="G6" s="39"/>
      <c r="H6" s="39"/>
    </row>
    <row r="7" ht="16.5" spans="1:8">
      <c r="A7" s="31" t="s">
        <v>615</v>
      </c>
      <c r="B7" s="32" t="s">
        <v>613</v>
      </c>
      <c r="C7" s="40">
        <v>201</v>
      </c>
      <c r="D7" s="40">
        <v>202</v>
      </c>
      <c r="E7" s="40">
        <v>203</v>
      </c>
      <c r="F7" s="40">
        <v>204</v>
      </c>
      <c r="G7" s="40">
        <v>205</v>
      </c>
      <c r="H7" s="40">
        <v>206</v>
      </c>
    </row>
    <row r="8" ht="16.5" spans="1:8">
      <c r="A8" s="31"/>
      <c r="B8" s="32" t="s">
        <v>336</v>
      </c>
      <c r="C8" s="18" t="str">
        <f>VLOOKUP(C7,'【3-2】大区&amp;运营中心填-房间模型价'!$H:$AM,2,0)</f>
        <v>D</v>
      </c>
      <c r="D8" s="18" t="str">
        <f>VLOOKUP(D7,'【3-2】大区&amp;运营中心填-房间模型价'!$H:$AM,2,0)</f>
        <v>E</v>
      </c>
      <c r="E8" s="18" t="str">
        <f>VLOOKUP(E7,'【3-2】大区&amp;运营中心填-房间模型价'!$H:$AM,2,0)</f>
        <v>F</v>
      </c>
      <c r="F8" s="18" t="str">
        <f>VLOOKUP(F7,'【3-2】大区&amp;运营中心填-房间模型价'!$H:$AM,2,0)</f>
        <v>F</v>
      </c>
      <c r="G8" s="18" t="str">
        <f>VLOOKUP(G7,'【3-2】大区&amp;运营中心填-房间模型价'!$H:$AM,2,0)</f>
        <v>E</v>
      </c>
      <c r="H8" s="18" t="str">
        <f>VLOOKUP(H7,'【3-2】大区&amp;运营中心填-房间模型价'!$H:$AM,2,0)</f>
        <v>D</v>
      </c>
    </row>
    <row r="9" ht="16.5" spans="1:8">
      <c r="A9" s="34"/>
      <c r="B9" s="35" t="s">
        <v>614</v>
      </c>
      <c r="C9" s="36">
        <f>VLOOKUP(C7,'【3-2】大区&amp;运营中心填-房间模型价'!$H:$AM,32,0)</f>
        <v>2120</v>
      </c>
      <c r="D9" s="36">
        <f>VLOOKUP(D7,'【3-2】大区&amp;运营中心填-房间模型价'!$H:$AM,32,0)</f>
        <v>1560</v>
      </c>
      <c r="E9" s="36">
        <f>VLOOKUP(E7,'【3-2】大区&amp;运营中心填-房间模型价'!$H:$AM,32,0)</f>
        <v>1370</v>
      </c>
      <c r="F9" s="36">
        <f>VLOOKUP(F7,'【3-2】大区&amp;运营中心填-房间模型价'!$H:$AM,32,0)</f>
        <v>1370</v>
      </c>
      <c r="G9" s="36">
        <f>VLOOKUP(G7,'【3-2】大区&amp;运营中心填-房间模型价'!$H:$AM,32,0)</f>
        <v>1430</v>
      </c>
      <c r="H9" s="36">
        <f>VLOOKUP(H7,'【3-2】大区&amp;运营中心填-房间模型价'!$H:$AM,32,0)</f>
        <v>2120</v>
      </c>
    </row>
    <row r="10" ht="17.5" spans="1:8">
      <c r="A10" s="37"/>
      <c r="B10" s="38"/>
      <c r="C10" s="39"/>
      <c r="D10" s="39"/>
      <c r="E10" s="39"/>
      <c r="F10" s="39"/>
      <c r="G10" s="39"/>
      <c r="H10" s="39"/>
    </row>
    <row r="11" ht="16.5" spans="1:8">
      <c r="A11" s="31" t="s">
        <v>616</v>
      </c>
      <c r="B11" s="32" t="s">
        <v>613</v>
      </c>
      <c r="C11" s="40">
        <v>301</v>
      </c>
      <c r="D11" s="40">
        <v>302</v>
      </c>
      <c r="E11" s="40">
        <v>303</v>
      </c>
      <c r="F11" s="40">
        <v>304</v>
      </c>
      <c r="G11" s="40">
        <v>305</v>
      </c>
      <c r="H11" s="40">
        <v>306</v>
      </c>
    </row>
    <row r="12" ht="16.5" spans="1:8">
      <c r="A12" s="31"/>
      <c r="B12" s="32" t="s">
        <v>336</v>
      </c>
      <c r="C12" s="18" t="str">
        <f>VLOOKUP(C11,'【3-2】大区&amp;运营中心填-房间模型价'!$H:$AM,2,0)</f>
        <v>D</v>
      </c>
      <c r="D12" s="18" t="str">
        <f>VLOOKUP(D11,'【3-2】大区&amp;运营中心填-房间模型价'!$H:$AM,2,0)</f>
        <v>E</v>
      </c>
      <c r="E12" s="18" t="str">
        <f>VLOOKUP(E11,'【3-2】大区&amp;运营中心填-房间模型价'!$H:$AM,2,0)</f>
        <v>F</v>
      </c>
      <c r="F12" s="18" t="str">
        <f>VLOOKUP(F11,'【3-2】大区&amp;运营中心填-房间模型价'!$H:$AM,2,0)</f>
        <v>F</v>
      </c>
      <c r="G12" s="18" t="str">
        <f>VLOOKUP(G11,'【3-2】大区&amp;运营中心填-房间模型价'!$H:$AM,2,0)</f>
        <v>E</v>
      </c>
      <c r="H12" s="18" t="str">
        <f>VLOOKUP(H11,'【3-2】大区&amp;运营中心填-房间模型价'!$H:$AM,2,0)</f>
        <v>D</v>
      </c>
    </row>
    <row r="13" ht="16.5" spans="1:8">
      <c r="A13" s="34"/>
      <c r="B13" s="35" t="s">
        <v>614</v>
      </c>
      <c r="C13" s="36">
        <f>VLOOKUP(C11,'【3-2】大区&amp;运营中心填-房间模型价'!$H:$AM,32,0)</f>
        <v>2120</v>
      </c>
      <c r="D13" s="36">
        <f>VLOOKUP(D11,'【3-2】大区&amp;运营中心填-房间模型价'!$H:$AM,32,0)</f>
        <v>1550</v>
      </c>
      <c r="E13" s="36">
        <f>VLOOKUP(E11,'【3-2】大区&amp;运营中心填-房间模型价'!$H:$AM,32,0)</f>
        <v>1360</v>
      </c>
      <c r="F13" s="36">
        <f>VLOOKUP(F11,'【3-2】大区&amp;运营中心填-房间模型价'!$H:$AM,32,0)</f>
        <v>1360</v>
      </c>
      <c r="G13" s="36">
        <f>VLOOKUP(G11,'【3-2】大区&amp;运营中心填-房间模型价'!$H:$AM,32,0)</f>
        <v>1420</v>
      </c>
      <c r="H13" s="36">
        <f>VLOOKUP(H11,'【3-2】大区&amp;运营中心填-房间模型价'!$H:$AM,32,0)</f>
        <v>2120</v>
      </c>
    </row>
    <row r="14" ht="17.5" spans="1:8">
      <c r="A14" s="37"/>
      <c r="B14" s="38"/>
      <c r="C14" s="39"/>
      <c r="D14" s="39"/>
      <c r="E14" s="39"/>
      <c r="F14" s="39"/>
      <c r="G14" s="39"/>
      <c r="H14" s="39"/>
    </row>
    <row r="15" ht="16.5" spans="1:8">
      <c r="A15" s="31" t="s">
        <v>617</v>
      </c>
      <c r="B15" s="32" t="s">
        <v>613</v>
      </c>
      <c r="C15" s="40">
        <v>401</v>
      </c>
      <c r="D15" s="40">
        <v>402</v>
      </c>
      <c r="E15" s="40">
        <v>403</v>
      </c>
      <c r="F15" s="40">
        <v>404</v>
      </c>
      <c r="G15" s="40">
        <v>405</v>
      </c>
      <c r="H15" s="40">
        <v>406</v>
      </c>
    </row>
    <row r="16" ht="16.5" spans="1:8">
      <c r="A16" s="31"/>
      <c r="B16" s="32" t="s">
        <v>336</v>
      </c>
      <c r="C16" s="18" t="str">
        <f>VLOOKUP(C15,'【3-2】大区&amp;运营中心填-房间模型价'!$H:$AM,2,0)</f>
        <v>D</v>
      </c>
      <c r="D16" s="18" t="str">
        <f>VLOOKUP(D15,'【3-2】大区&amp;运营中心填-房间模型价'!$H:$AM,2,0)</f>
        <v>E</v>
      </c>
      <c r="E16" s="18" t="str">
        <f>VLOOKUP(E15,'【3-2】大区&amp;运营中心填-房间模型价'!$H:$AM,2,0)</f>
        <v>F</v>
      </c>
      <c r="F16" s="18" t="str">
        <f>VLOOKUP(F15,'【3-2】大区&amp;运营中心填-房间模型价'!$H:$AM,2,0)</f>
        <v>F</v>
      </c>
      <c r="G16" s="18" t="str">
        <f>VLOOKUP(G15,'【3-2】大区&amp;运营中心填-房间模型价'!$H:$AM,2,0)</f>
        <v>E</v>
      </c>
      <c r="H16" s="18" t="str">
        <f>VLOOKUP(H15,'【3-2】大区&amp;运营中心填-房间模型价'!$H:$AM,2,0)</f>
        <v>D</v>
      </c>
    </row>
    <row r="17" ht="16.5" spans="1:8">
      <c r="A17" s="34"/>
      <c r="B17" s="35" t="s">
        <v>614</v>
      </c>
      <c r="C17" s="36">
        <f>VLOOKUP(C15,'【3-2】大区&amp;运营中心填-房间模型价'!$H:$AM,32,0)</f>
        <v>2080</v>
      </c>
      <c r="D17" s="36">
        <f>VLOOKUP(D15,'【3-2】大区&amp;运营中心填-房间模型价'!$H:$AM,32,0)</f>
        <v>1530</v>
      </c>
      <c r="E17" s="36">
        <f>VLOOKUP(E15,'【3-2】大区&amp;运营中心填-房间模型价'!$H:$AM,32,0)</f>
        <v>1350</v>
      </c>
      <c r="F17" s="36">
        <f>VLOOKUP(F15,'【3-2】大区&amp;运营中心填-房间模型价'!$H:$AM,32,0)</f>
        <v>1350</v>
      </c>
      <c r="G17" s="36">
        <f>VLOOKUP(G15,'【3-2】大区&amp;运营中心填-房间模型价'!$H:$AM,32,0)</f>
        <v>1410</v>
      </c>
      <c r="H17" s="36">
        <f>VLOOKUP(H15,'【3-2】大区&amp;运营中心填-房间模型价'!$H:$AM,32,0)</f>
        <v>2080</v>
      </c>
    </row>
    <row r="18" ht="17.5" spans="1:8">
      <c r="A18" s="37"/>
      <c r="B18" s="38"/>
      <c r="C18" s="39"/>
      <c r="D18" s="39"/>
      <c r="E18" s="39"/>
      <c r="F18" s="39"/>
      <c r="G18" s="39"/>
      <c r="H18" s="39"/>
    </row>
    <row r="19" ht="16.5" spans="1:8">
      <c r="A19" s="31" t="s">
        <v>618</v>
      </c>
      <c r="B19" s="32" t="s">
        <v>613</v>
      </c>
      <c r="C19" s="40">
        <v>501</v>
      </c>
      <c r="D19" s="40">
        <v>502</v>
      </c>
      <c r="E19" s="40">
        <v>503</v>
      </c>
      <c r="F19" s="40">
        <v>504</v>
      </c>
      <c r="G19" s="40">
        <v>505</v>
      </c>
      <c r="H19" s="40">
        <v>506</v>
      </c>
    </row>
    <row r="20" ht="16.5" spans="1:8">
      <c r="A20" s="31"/>
      <c r="B20" s="32" t="s">
        <v>336</v>
      </c>
      <c r="C20" s="18" t="str">
        <f>VLOOKUP(C19,'【3-2】大区&amp;运营中心填-房间模型价'!$H:$AM,2,0)</f>
        <v>D</v>
      </c>
      <c r="D20" s="18" t="str">
        <f>VLOOKUP(D19,'【3-2】大区&amp;运营中心填-房间模型价'!$H:$AM,2,0)</f>
        <v>E</v>
      </c>
      <c r="E20" s="18" t="str">
        <f>VLOOKUP(E19,'【3-2】大区&amp;运营中心填-房间模型价'!$H:$AM,2,0)</f>
        <v>F</v>
      </c>
      <c r="F20" s="18" t="str">
        <f>VLOOKUP(F19,'【3-2】大区&amp;运营中心填-房间模型价'!$H:$AM,2,0)</f>
        <v>F</v>
      </c>
      <c r="G20" s="18" t="str">
        <f>VLOOKUP(G19,'【3-2】大区&amp;运营中心填-房间模型价'!$H:$AM,2,0)</f>
        <v>E</v>
      </c>
      <c r="H20" s="18" t="str">
        <f>VLOOKUP(H19,'【3-2】大区&amp;运营中心填-房间模型价'!$H:$AM,2,0)</f>
        <v>D</v>
      </c>
    </row>
    <row r="21" ht="16.5" spans="1:8">
      <c r="A21" s="34"/>
      <c r="B21" s="35" t="s">
        <v>614</v>
      </c>
      <c r="C21" s="36">
        <f>VLOOKUP(C19,'【3-2】大区&amp;运营中心填-房间模型价'!$H:$AM,32,0)</f>
        <v>2060</v>
      </c>
      <c r="D21" s="36">
        <f>VLOOKUP(D19,'【3-2】大区&amp;运营中心填-房间模型价'!$H:$AM,32,0)</f>
        <v>1600</v>
      </c>
      <c r="E21" s="36">
        <f>VLOOKUP(E19,'【3-2】大区&amp;运营中心填-房间模型价'!$H:$AM,32,0)</f>
        <v>1450</v>
      </c>
      <c r="F21" s="36">
        <f>VLOOKUP(F19,'【3-2】大区&amp;运营中心填-房间模型价'!$H:$AM,32,0)</f>
        <v>1450</v>
      </c>
      <c r="G21" s="36">
        <f>VLOOKUP(G19,'【3-2】大区&amp;运营中心填-房间模型价'!$H:$AM,32,0)</f>
        <v>1600</v>
      </c>
      <c r="H21" s="36">
        <f>VLOOKUP(H19,'【3-2】大区&amp;运营中心填-房间模型价'!$H:$AM,32,0)</f>
        <v>2060</v>
      </c>
    </row>
    <row r="22" ht="17.5" spans="1:8">
      <c r="A22" s="37"/>
      <c r="B22" s="38"/>
      <c r="C22" s="39"/>
      <c r="D22" s="39"/>
      <c r="E22" s="39"/>
      <c r="F22" s="39"/>
      <c r="G22" s="39"/>
      <c r="H22" s="39"/>
    </row>
    <row r="23" ht="16.5" spans="1:8">
      <c r="A23" s="31" t="s">
        <v>619</v>
      </c>
      <c r="B23" s="32" t="s">
        <v>613</v>
      </c>
      <c r="C23" s="40">
        <v>601</v>
      </c>
      <c r="D23" s="40">
        <v>602</v>
      </c>
      <c r="E23" s="40">
        <v>603</v>
      </c>
      <c r="F23" s="40">
        <v>604</v>
      </c>
      <c r="G23" s="40">
        <v>605</v>
      </c>
      <c r="H23" s="40">
        <v>606</v>
      </c>
    </row>
    <row r="24" ht="16.5" spans="1:8">
      <c r="A24" s="31"/>
      <c r="B24" s="32" t="s">
        <v>336</v>
      </c>
      <c r="C24" s="18" t="str">
        <f>VLOOKUP(C23,'【3-2】大区&amp;运营中心填-房间模型价'!$H:$AM,2,0)</f>
        <v>D</v>
      </c>
      <c r="D24" s="18" t="str">
        <f>VLOOKUP(D23,'【3-2】大区&amp;运营中心填-房间模型价'!$H:$AM,2,0)</f>
        <v>E</v>
      </c>
      <c r="E24" s="18" t="str">
        <f>VLOOKUP(E23,'【3-2】大区&amp;运营中心填-房间模型价'!$H:$AM,2,0)</f>
        <v>F</v>
      </c>
      <c r="F24" s="18" t="str">
        <f>VLOOKUP(F23,'【3-2】大区&amp;运营中心填-房间模型价'!$H:$AM,2,0)</f>
        <v>F</v>
      </c>
      <c r="G24" s="18" t="str">
        <f>VLOOKUP(G23,'【3-2】大区&amp;运营中心填-房间模型价'!$H:$AM,2,0)</f>
        <v>E</v>
      </c>
      <c r="H24" s="18" t="str">
        <f>VLOOKUP(H23,'【3-2】大区&amp;运营中心填-房间模型价'!$H:$AM,2,0)</f>
        <v>D</v>
      </c>
    </row>
    <row r="25" ht="16.5" spans="1:8">
      <c r="A25" s="34"/>
      <c r="B25" s="35" t="s">
        <v>614</v>
      </c>
      <c r="C25" s="36">
        <f>VLOOKUP(C23,'【3-2】大区&amp;运营中心填-房间模型价'!$H:$AM,32,0)</f>
        <v>2050</v>
      </c>
      <c r="D25" s="36">
        <f>VLOOKUP(D23,'【3-2】大区&amp;运营中心填-房间模型价'!$H:$AM,32,0)</f>
        <v>1590</v>
      </c>
      <c r="E25" s="36">
        <f>VLOOKUP(E23,'【3-2】大区&amp;运营中心填-房间模型价'!$H:$AM,32,0)</f>
        <v>1440</v>
      </c>
      <c r="F25" s="36">
        <f>VLOOKUP(F23,'【3-2】大区&amp;运营中心填-房间模型价'!$H:$AM,32,0)</f>
        <v>1440</v>
      </c>
      <c r="G25" s="36">
        <f>VLOOKUP(G23,'【3-2】大区&amp;运营中心填-房间模型价'!$H:$AM,32,0)</f>
        <v>1590</v>
      </c>
      <c r="H25" s="36">
        <f>VLOOKUP(H23,'【3-2】大区&amp;运营中心填-房间模型价'!$H:$AM,32,0)</f>
        <v>2050</v>
      </c>
    </row>
    <row r="26" ht="17.5" spans="1:8">
      <c r="A26" s="37"/>
      <c r="B26" s="38"/>
      <c r="C26" s="39"/>
      <c r="D26" s="39"/>
      <c r="E26" s="39"/>
      <c r="F26" s="39"/>
      <c r="G26" s="39"/>
      <c r="H26" s="39"/>
    </row>
    <row r="27" ht="16.5" spans="1:8">
      <c r="A27" s="31" t="s">
        <v>620</v>
      </c>
      <c r="B27" s="32" t="s">
        <v>613</v>
      </c>
      <c r="C27" s="40">
        <v>701</v>
      </c>
      <c r="D27" s="40">
        <v>702</v>
      </c>
      <c r="E27" s="40">
        <v>703</v>
      </c>
      <c r="F27" s="40">
        <v>704</v>
      </c>
      <c r="G27" s="40">
        <v>705</v>
      </c>
      <c r="H27" s="40">
        <v>706</v>
      </c>
    </row>
    <row r="28" ht="16.5" spans="1:8">
      <c r="A28" s="31"/>
      <c r="B28" s="32" t="s">
        <v>336</v>
      </c>
      <c r="C28" s="18" t="str">
        <f>VLOOKUP(C27,'【3-2】大区&amp;运营中心填-房间模型价'!$H:$AM,2,0)</f>
        <v>D</v>
      </c>
      <c r="D28" s="18" t="str">
        <f>VLOOKUP(D27,'【3-2】大区&amp;运营中心填-房间模型价'!$H:$AM,2,0)</f>
        <v>E</v>
      </c>
      <c r="E28" s="18" t="str">
        <f>VLOOKUP(E27,'【3-2】大区&amp;运营中心填-房间模型价'!$H:$AM,2,0)</f>
        <v>F</v>
      </c>
      <c r="F28" s="18" t="str">
        <f>VLOOKUP(F27,'【3-2】大区&amp;运营中心填-房间模型价'!$H:$AM,2,0)</f>
        <v>F</v>
      </c>
      <c r="G28" s="18" t="str">
        <f>VLOOKUP(G27,'【3-2】大区&amp;运营中心填-房间模型价'!$H:$AM,2,0)</f>
        <v>E</v>
      </c>
      <c r="H28" s="18" t="str">
        <f>VLOOKUP(H27,'【3-2】大区&amp;运营中心填-房间模型价'!$H:$AM,2,0)</f>
        <v>D</v>
      </c>
    </row>
    <row r="29" ht="16.5" spans="1:8">
      <c r="A29" s="34"/>
      <c r="B29" s="35" t="s">
        <v>614</v>
      </c>
      <c r="C29" s="36">
        <f>VLOOKUP(C27,'【3-2】大区&amp;运营中心填-房间模型价'!$H:$AM,32,0)</f>
        <v>2000</v>
      </c>
      <c r="D29" s="36">
        <f>VLOOKUP(D27,'【3-2】大区&amp;运营中心填-房间模型价'!$H:$AM,32,0)</f>
        <v>1560</v>
      </c>
      <c r="E29" s="36">
        <f>VLOOKUP(E27,'【3-2】大区&amp;运营中心填-房间模型价'!$H:$AM,32,0)</f>
        <v>1410</v>
      </c>
      <c r="F29" s="36">
        <f>VLOOKUP(F27,'【3-2】大区&amp;运营中心填-房间模型价'!$H:$AM,32,0)</f>
        <v>1410</v>
      </c>
      <c r="G29" s="36">
        <f>VLOOKUP(G27,'【3-2】大区&amp;运营中心填-房间模型价'!$H:$AM,32,0)</f>
        <v>1560</v>
      </c>
      <c r="H29" s="36">
        <f>VLOOKUP(H27,'【3-2】大区&amp;运营中心填-房间模型价'!$H:$AM,32,0)</f>
        <v>2000</v>
      </c>
    </row>
    <row r="30" ht="17.5" spans="1:8">
      <c r="A30" s="37"/>
      <c r="B30" s="38"/>
      <c r="C30" s="39"/>
      <c r="D30" s="39"/>
      <c r="E30" s="39"/>
      <c r="F30" s="39"/>
      <c r="G30" s="39"/>
      <c r="H30" s="39"/>
    </row>
  </sheetData>
  <mergeCells count="8">
    <mergeCell ref="A3:A5"/>
    <mergeCell ref="A7:A9"/>
    <mergeCell ref="A11:A13"/>
    <mergeCell ref="A15:A17"/>
    <mergeCell ref="A19:A21"/>
    <mergeCell ref="A23:A25"/>
    <mergeCell ref="A27:A29"/>
    <mergeCell ref="A1:H2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5"/>
  <sheetViews>
    <sheetView workbookViewId="0">
      <selection activeCell="R29" sqref="R29"/>
    </sheetView>
  </sheetViews>
  <sheetFormatPr defaultColWidth="9" defaultRowHeight="14"/>
  <cols>
    <col min="2" max="2" width="15.5" customWidth="1"/>
    <col min="11" max="11" width="9.625" customWidth="1"/>
  </cols>
  <sheetData>
    <row r="1" ht="17.5" spans="2:28">
      <c r="C1" s="16">
        <v>1</v>
      </c>
      <c r="D1" s="16">
        <v>2</v>
      </c>
      <c r="E1" s="16">
        <v>3</v>
      </c>
      <c r="F1" s="16">
        <v>4</v>
      </c>
      <c r="G1" s="16">
        <v>5</v>
      </c>
    </row>
    <row r="2" spans="2:28">
      <c r="B2" s="8"/>
      <c r="C2" s="8"/>
      <c r="D2" s="8"/>
      <c r="E2" s="8"/>
      <c r="F2" s="8"/>
      <c r="G2" s="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6.5" spans="2:28">
      <c r="B3" s="18" t="s">
        <v>621</v>
      </c>
      <c r="C3" s="19" t="s">
        <v>622</v>
      </c>
      <c r="D3" s="20" t="s">
        <v>623</v>
      </c>
      <c r="E3" s="21" t="s">
        <v>624</v>
      </c>
      <c r="F3" s="22" t="s">
        <v>134</v>
      </c>
      <c r="G3" s="23" t="s">
        <v>625</v>
      </c>
      <c r="H3" s="24" t="s">
        <v>626</v>
      </c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6.5" spans="2:28">
      <c r="B4" s="25" t="s">
        <v>627</v>
      </c>
      <c r="C4" s="18" t="s">
        <v>628</v>
      </c>
      <c r="D4" s="18"/>
      <c r="E4" s="18"/>
      <c r="F4" s="26"/>
      <c r="G4" s="2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6.5" spans="2:28">
      <c r="B5" s="25"/>
      <c r="C5" s="18" t="s">
        <v>629</v>
      </c>
      <c r="D5" s="18"/>
      <c r="E5" s="18"/>
      <c r="F5" s="12"/>
      <c r="G5" s="1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6.9" customHeight="1" spans="2:28">
      <c r="B6" s="8"/>
      <c r="C6" s="8"/>
      <c r="D6" s="8"/>
      <c r="E6" s="8"/>
      <c r="F6" s="8"/>
      <c r="G6" s="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6.5" spans="2:28">
      <c r="B7" s="18" t="s">
        <v>630</v>
      </c>
      <c r="C7" s="18"/>
      <c r="D7" s="18"/>
      <c r="E7" s="18"/>
      <c r="F7" s="18"/>
      <c r="G7" s="18"/>
      <c r="H7" s="17"/>
      <c r="I7" s="18" t="s">
        <v>630</v>
      </c>
      <c r="J7" s="18"/>
      <c r="K7" s="18"/>
      <c r="L7" s="18"/>
      <c r="M7" s="18"/>
      <c r="N7" s="18" t="s">
        <v>160</v>
      </c>
      <c r="O7" s="17"/>
      <c r="P7" s="18" t="s">
        <v>630</v>
      </c>
      <c r="Q7" s="18"/>
      <c r="R7" s="18"/>
      <c r="S7" s="18"/>
      <c r="T7" s="18"/>
      <c r="U7" s="18" t="s">
        <v>160</v>
      </c>
      <c r="V7" s="17"/>
      <c r="W7" s="18" t="s">
        <v>630</v>
      </c>
      <c r="X7" s="18"/>
      <c r="Y7" s="18"/>
      <c r="Z7" s="18"/>
      <c r="AA7" s="18"/>
      <c r="AB7" s="18" t="s">
        <v>160</v>
      </c>
    </row>
    <row r="8" ht="16.5" spans="2:28">
      <c r="B8" s="18" t="s">
        <v>631</v>
      </c>
      <c r="C8" s="18"/>
      <c r="D8" s="18"/>
      <c r="E8" s="18"/>
      <c r="F8" s="18" t="s">
        <v>160</v>
      </c>
      <c r="G8" s="18"/>
      <c r="H8" s="17"/>
      <c r="I8" s="18" t="s">
        <v>631</v>
      </c>
      <c r="J8" s="18"/>
      <c r="K8" s="18"/>
      <c r="L8" s="18"/>
      <c r="M8" s="18" t="s">
        <v>160</v>
      </c>
      <c r="N8" s="18" t="s">
        <v>160</v>
      </c>
      <c r="O8" s="17"/>
      <c r="P8" s="18" t="s">
        <v>631</v>
      </c>
      <c r="Q8" s="18"/>
      <c r="R8" s="18"/>
      <c r="S8" s="18"/>
      <c r="T8" s="18" t="s">
        <v>160</v>
      </c>
      <c r="U8" s="18" t="s">
        <v>160</v>
      </c>
      <c r="V8" s="17"/>
      <c r="W8" s="18" t="s">
        <v>631</v>
      </c>
      <c r="X8" s="18"/>
      <c r="Y8" s="18"/>
      <c r="Z8" s="18"/>
      <c r="AA8" s="18" t="s">
        <v>160</v>
      </c>
      <c r="AB8" s="18" t="s">
        <v>160</v>
      </c>
    </row>
    <row r="9" ht="16.5" spans="2:28">
      <c r="B9" s="18" t="s">
        <v>632</v>
      </c>
      <c r="C9" s="18"/>
      <c r="D9" s="18"/>
      <c r="E9" s="18" t="s">
        <v>160</v>
      </c>
      <c r="F9" s="18" t="s">
        <v>363</v>
      </c>
      <c r="G9" s="18"/>
      <c r="H9" s="17"/>
      <c r="I9" s="18" t="s">
        <v>632</v>
      </c>
      <c r="J9" s="18"/>
      <c r="K9" s="18"/>
      <c r="L9" s="18" t="s">
        <v>160</v>
      </c>
      <c r="M9" s="18" t="s">
        <v>160</v>
      </c>
      <c r="N9" s="18" t="s">
        <v>363</v>
      </c>
      <c r="O9" s="17"/>
      <c r="P9" s="18" t="s">
        <v>632</v>
      </c>
      <c r="Q9" s="18"/>
      <c r="R9" s="18"/>
      <c r="S9" s="18" t="s">
        <v>160</v>
      </c>
      <c r="T9" s="18" t="s">
        <v>160</v>
      </c>
      <c r="U9" s="18" t="s">
        <v>363</v>
      </c>
      <c r="V9" s="17"/>
      <c r="W9" s="18" t="s">
        <v>632</v>
      </c>
      <c r="X9" s="18"/>
      <c r="Y9" s="18"/>
      <c r="Z9" s="18" t="s">
        <v>160</v>
      </c>
      <c r="AA9" s="18" t="s">
        <v>160</v>
      </c>
      <c r="AB9" s="18" t="s">
        <v>363</v>
      </c>
    </row>
    <row r="10" ht="16.5" spans="2:28">
      <c r="B10" s="18" t="s">
        <v>633</v>
      </c>
      <c r="C10" s="18"/>
      <c r="D10" s="18" t="s">
        <v>160</v>
      </c>
      <c r="E10" s="18" t="s">
        <v>363</v>
      </c>
      <c r="F10" s="18" t="s">
        <v>63</v>
      </c>
      <c r="G10" s="18"/>
      <c r="H10" s="17"/>
      <c r="I10" s="18" t="s">
        <v>633</v>
      </c>
      <c r="J10" s="18"/>
      <c r="K10" s="18" t="s">
        <v>160</v>
      </c>
      <c r="L10" s="18" t="s">
        <v>160</v>
      </c>
      <c r="M10" s="18" t="s">
        <v>363</v>
      </c>
      <c r="N10" s="18" t="s">
        <v>63</v>
      </c>
      <c r="O10" s="17"/>
      <c r="P10" s="18" t="s">
        <v>633</v>
      </c>
      <c r="Q10" s="18"/>
      <c r="R10" s="18" t="s">
        <v>160</v>
      </c>
      <c r="S10" s="18" t="s">
        <v>160</v>
      </c>
      <c r="T10" s="18" t="s">
        <v>363</v>
      </c>
      <c r="U10" s="18" t="s">
        <v>63</v>
      </c>
      <c r="V10" s="17"/>
      <c r="W10" s="18" t="s">
        <v>633</v>
      </c>
      <c r="X10" s="18"/>
      <c r="Y10" s="18" t="s">
        <v>160</v>
      </c>
      <c r="Z10" s="18" t="s">
        <v>160</v>
      </c>
      <c r="AA10" s="18" t="s">
        <v>363</v>
      </c>
      <c r="AB10" s="18" t="s">
        <v>63</v>
      </c>
    </row>
    <row r="11" ht="16.5" spans="2:28">
      <c r="B11" s="18" t="s">
        <v>634</v>
      </c>
      <c r="C11" s="18" t="s">
        <v>160</v>
      </c>
      <c r="D11" s="18" t="s">
        <v>363</v>
      </c>
      <c r="E11" s="18" t="s">
        <v>63</v>
      </c>
      <c r="F11" s="18" t="s">
        <v>635</v>
      </c>
      <c r="G11" s="18"/>
      <c r="H11" s="17"/>
      <c r="I11" s="18" t="s">
        <v>634</v>
      </c>
      <c r="J11" s="18" t="s">
        <v>160</v>
      </c>
      <c r="K11" s="18" t="s">
        <v>160</v>
      </c>
      <c r="L11" s="18" t="s">
        <v>363</v>
      </c>
      <c r="M11" s="18" t="s">
        <v>63</v>
      </c>
      <c r="N11" s="18" t="s">
        <v>635</v>
      </c>
      <c r="O11" s="17"/>
      <c r="P11" s="18" t="s">
        <v>634</v>
      </c>
      <c r="Q11" s="18" t="s">
        <v>160</v>
      </c>
      <c r="R11" s="18" t="s">
        <v>160</v>
      </c>
      <c r="S11" s="18" t="s">
        <v>363</v>
      </c>
      <c r="T11" s="18" t="s">
        <v>63</v>
      </c>
      <c r="U11" s="18" t="s">
        <v>635</v>
      </c>
      <c r="V11" s="17"/>
      <c r="W11" s="18" t="s">
        <v>634</v>
      </c>
      <c r="X11" s="18" t="s">
        <v>160</v>
      </c>
      <c r="Y11" s="18" t="s">
        <v>160</v>
      </c>
      <c r="Z11" s="18" t="s">
        <v>363</v>
      </c>
      <c r="AA11" s="18" t="s">
        <v>63</v>
      </c>
      <c r="AB11" s="18" t="s">
        <v>635</v>
      </c>
    </row>
    <row r="12" ht="16.5" spans="2:28">
      <c r="B12" s="18" t="s">
        <v>636</v>
      </c>
      <c r="C12" s="18" t="s">
        <v>363</v>
      </c>
      <c r="D12" s="18" t="s">
        <v>63</v>
      </c>
      <c r="E12" s="18" t="s">
        <v>635</v>
      </c>
      <c r="F12" s="23" t="s">
        <v>354</v>
      </c>
      <c r="G12" s="18"/>
      <c r="H12" s="17"/>
      <c r="I12" s="18" t="s">
        <v>636</v>
      </c>
      <c r="J12" s="18" t="s">
        <v>160</v>
      </c>
      <c r="K12" s="18" t="s">
        <v>363</v>
      </c>
      <c r="L12" s="18" t="s">
        <v>63</v>
      </c>
      <c r="M12" s="23" t="s">
        <v>635</v>
      </c>
      <c r="N12" s="18" t="s">
        <v>354</v>
      </c>
      <c r="O12" s="17"/>
      <c r="P12" s="18" t="s">
        <v>636</v>
      </c>
      <c r="Q12" s="18" t="s">
        <v>160</v>
      </c>
      <c r="R12" s="18" t="s">
        <v>363</v>
      </c>
      <c r="S12" s="18" t="s">
        <v>63</v>
      </c>
      <c r="T12" s="23" t="s">
        <v>635</v>
      </c>
      <c r="U12" s="18" t="s">
        <v>354</v>
      </c>
      <c r="V12" s="17"/>
      <c r="W12" s="18" t="s">
        <v>636</v>
      </c>
      <c r="X12" s="18" t="s">
        <v>160</v>
      </c>
      <c r="Y12" s="18" t="s">
        <v>363</v>
      </c>
      <c r="Z12" s="18" t="s">
        <v>63</v>
      </c>
      <c r="AA12" s="23" t="s">
        <v>635</v>
      </c>
      <c r="AB12" s="18" t="s">
        <v>354</v>
      </c>
    </row>
    <row r="13" ht="16.5" spans="2:28">
      <c r="B13" s="18"/>
      <c r="C13" s="18" t="s">
        <v>637</v>
      </c>
      <c r="D13" s="18" t="s">
        <v>638</v>
      </c>
      <c r="E13" s="18" t="s">
        <v>639</v>
      </c>
      <c r="F13" s="18" t="s">
        <v>640</v>
      </c>
      <c r="G13" s="18" t="s">
        <v>641</v>
      </c>
      <c r="H13" s="8"/>
      <c r="I13" s="18"/>
      <c r="J13" s="18" t="s">
        <v>637</v>
      </c>
      <c r="K13" s="18" t="s">
        <v>638</v>
      </c>
      <c r="L13" s="18" t="s">
        <v>639</v>
      </c>
      <c r="M13" s="18" t="s">
        <v>640</v>
      </c>
      <c r="N13" s="18" t="s">
        <v>641</v>
      </c>
      <c r="O13" s="17"/>
      <c r="P13" s="18"/>
      <c r="Q13" s="18" t="s">
        <v>637</v>
      </c>
      <c r="R13" s="18" t="s">
        <v>638</v>
      </c>
      <c r="S13" s="18" t="s">
        <v>639</v>
      </c>
      <c r="T13" s="18" t="s">
        <v>640</v>
      </c>
      <c r="U13" s="18" t="s">
        <v>641</v>
      </c>
      <c r="V13" s="17"/>
      <c r="W13" s="18"/>
      <c r="X13" s="18" t="s">
        <v>637</v>
      </c>
      <c r="Y13" s="18" t="s">
        <v>638</v>
      </c>
      <c r="Z13" s="18" t="s">
        <v>639</v>
      </c>
      <c r="AA13" s="18" t="s">
        <v>640</v>
      </c>
      <c r="AB13" s="18" t="s">
        <v>641</v>
      </c>
    </row>
    <row r="14" spans="2:28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6.5" spans="2:28">
      <c r="B15" s="27" t="s">
        <v>642</v>
      </c>
      <c r="C15" s="27"/>
      <c r="D15" s="27"/>
      <c r="E15" s="27"/>
      <c r="F15" s="27"/>
      <c r="G15" s="27"/>
      <c r="H15" s="17"/>
      <c r="I15" s="28" t="s">
        <v>643</v>
      </c>
      <c r="J15" s="28"/>
      <c r="K15" s="28"/>
      <c r="L15" s="28"/>
      <c r="M15" s="28"/>
      <c r="N15" s="28"/>
      <c r="O15" s="17"/>
      <c r="P15" s="17"/>
      <c r="Q15" s="17"/>
      <c r="R15" s="28" t="s">
        <v>644</v>
      </c>
      <c r="S15" s="28"/>
      <c r="T15" s="17"/>
      <c r="U15" s="17"/>
      <c r="V15" s="17"/>
      <c r="W15" s="17"/>
      <c r="X15" s="17"/>
      <c r="Y15" s="28" t="s">
        <v>645</v>
      </c>
      <c r="Z15" s="28"/>
      <c r="AA15" s="17"/>
      <c r="AB15" s="17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3" priority="82" operator="between" text="不足">
      <formula>NOT(ISERROR(SEARCH("不足",C3)))</formula>
    </cfRule>
  </conditionalFormatting>
  <conditionalFormatting sqref="C12">
    <cfRule type="containsText" dxfId="3" priority="78" operator="between" text="较差">
      <formula>NOT(ISERROR(SEARCH("较差",C12)))</formula>
    </cfRule>
  </conditionalFormatting>
  <conditionalFormatting sqref="F12">
    <cfRule type="containsText" dxfId="3" priority="34" operator="between" text="较差">
      <formula>NOT(ISERROR(SEARCH("较差",F12)))</formula>
    </cfRule>
  </conditionalFormatting>
  <conditionalFormatting sqref="J12">
    <cfRule type="containsText" dxfId="3" priority="15" operator="between" text="较差">
      <formula>NOT(ISERROR(SEARCH("较差",J12)))</formula>
    </cfRule>
  </conditionalFormatting>
  <conditionalFormatting sqref="M12">
    <cfRule type="containsText" dxfId="3" priority="13" operator="between" text="较差">
      <formula>NOT(ISERROR(SEARCH("较差",M12)))</formula>
    </cfRule>
  </conditionalFormatting>
  <conditionalFormatting sqref="Q12">
    <cfRule type="containsText" dxfId="3" priority="9" operator="between" text="较差">
      <formula>NOT(ISERROR(SEARCH("较差",Q12)))</formula>
    </cfRule>
  </conditionalFormatting>
  <conditionalFormatting sqref="T12">
    <cfRule type="containsText" dxfId="3" priority="7" operator="between" text="较差">
      <formula>NOT(ISERROR(SEARCH("较差",T12)))</formula>
    </cfRule>
  </conditionalFormatting>
  <conditionalFormatting sqref="X12">
    <cfRule type="containsText" dxfId="3" priority="3" operator="between" text="较差">
      <formula>NOT(ISERROR(SEARCH("较差",X12)))</formula>
    </cfRule>
  </conditionalFormatting>
  <conditionalFormatting sqref="AA12">
    <cfRule type="containsText" dxfId="3" priority="1" operator="between" text="较差">
      <formula>NOT(ISERROR(SEARCH("较差",AA12)))</formula>
    </cfRule>
  </conditionalFormatting>
  <conditionalFormatting sqref="C3:G3 C4:C5 F5:G5 C6:G12">
    <cfRule type="containsText" dxfId="4" priority="80" operator="between" text="适中">
      <formula>NOT(ISERROR(SEARCH("适中",C3)))</formula>
    </cfRule>
    <cfRule type="containsText" dxfId="5" priority="81" operator="between" text="差">
      <formula>NOT(ISERROR(SEARCH("差",C3)))</formula>
    </cfRule>
  </conditionalFormatting>
  <conditionalFormatting sqref="C6:G12 C3:G3 C4:C5 F5:G5">
    <cfRule type="containsText" dxfId="6" priority="79" operator="between" text="较优">
      <formula>NOT(ISERROR(SEARCH("较优",C3)))</formula>
    </cfRule>
  </conditionalFormatting>
  <conditionalFormatting sqref="D7:G12">
    <cfRule type="containsText" dxfId="3" priority="77" operator="between" text="较差">
      <formula>NOT(ISERROR(SEARCH("较差",D7)))</formula>
    </cfRule>
  </conditionalFormatting>
  <conditionalFormatting sqref="J7:N12">
    <cfRule type="containsText" dxfId="6" priority="16" operator="between" text="较优">
      <formula>NOT(ISERROR(SEARCH("较优",J7)))</formula>
    </cfRule>
    <cfRule type="containsText" dxfId="4" priority="17" operator="between" text="适中">
      <formula>NOT(ISERROR(SEARCH("适中",J7)))</formula>
    </cfRule>
    <cfRule type="containsText" dxfId="5" priority="18" operator="between" text="差">
      <formula>NOT(ISERROR(SEARCH("差",J7)))</formula>
    </cfRule>
  </conditionalFormatting>
  <conditionalFormatting sqref="K7:N12">
    <cfRule type="containsText" dxfId="3" priority="14" operator="between" text="较差">
      <formula>NOT(ISERROR(SEARCH("较差",K7)))</formula>
    </cfRule>
  </conditionalFormatting>
  <conditionalFormatting sqref="Q7:U12">
    <cfRule type="containsText" dxfId="6" priority="10" operator="between" text="较优">
      <formula>NOT(ISERROR(SEARCH("较优",Q7)))</formula>
    </cfRule>
    <cfRule type="containsText" dxfId="4" priority="11" operator="between" text="适中">
      <formula>NOT(ISERROR(SEARCH("适中",Q7)))</formula>
    </cfRule>
    <cfRule type="containsText" dxfId="5" priority="12" operator="between" text="差">
      <formula>NOT(ISERROR(SEARCH("差",Q7)))</formula>
    </cfRule>
  </conditionalFormatting>
  <conditionalFormatting sqref="R7:U12">
    <cfRule type="containsText" dxfId="3" priority="8" operator="between" text="较差">
      <formula>NOT(ISERROR(SEARCH("较差",R7)))</formula>
    </cfRule>
  </conditionalFormatting>
  <conditionalFormatting sqref="X7:AB12">
    <cfRule type="containsText" dxfId="6" priority="4" operator="between" text="较优">
      <formula>NOT(ISERROR(SEARCH("较优",X7)))</formula>
    </cfRule>
    <cfRule type="containsText" dxfId="4" priority="5" operator="between" text="适中">
      <formula>NOT(ISERROR(SEARCH("适中",X7)))</formula>
    </cfRule>
    <cfRule type="containsText" dxfId="5" priority="6" operator="between" text="差">
      <formula>NOT(ISERROR(SEARCH("差",X7)))</formula>
    </cfRule>
  </conditionalFormatting>
  <conditionalFormatting sqref="Y7:AB12">
    <cfRule type="containsText" dxfId="3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8"/>
  <sheetViews>
    <sheetView workbookViewId="0">
      <selection activeCell="C5" sqref="C5"/>
    </sheetView>
  </sheetViews>
  <sheetFormatPr defaultColWidth="8.625" defaultRowHeight="14" outlineLevelCol="7"/>
  <cols>
    <col min="2" max="2" width="18.5" customWidth="1"/>
    <col min="3" max="5" width="19.75" customWidth="1"/>
    <col min="6" max="6" width="13.5" customWidth="1"/>
    <col min="8" max="8" width="10.5"/>
    <col min="9" max="9" width="12.625"/>
  </cols>
  <sheetData>
    <row r="3" ht="16.5" spans="2:8">
      <c r="B3" s="1"/>
      <c r="C3" s="2" t="s">
        <v>646</v>
      </c>
      <c r="D3" s="2"/>
      <c r="E3" s="3" t="s">
        <v>647</v>
      </c>
      <c r="F3" s="3"/>
    </row>
    <row r="4" ht="16.5" spans="2:8">
      <c r="B4" s="4" t="s">
        <v>170</v>
      </c>
      <c r="C4" s="5" t="s">
        <v>648</v>
      </c>
      <c r="D4" s="6" t="s">
        <v>649</v>
      </c>
      <c r="E4" s="7" t="s">
        <v>650</v>
      </c>
      <c r="F4" s="7" t="s">
        <v>651</v>
      </c>
      <c r="G4" t="s">
        <v>652</v>
      </c>
    </row>
    <row r="5" ht="16.5" spans="2:8">
      <c r="B5" s="8" t="s">
        <v>197</v>
      </c>
      <c r="C5" s="9">
        <v>76.4885649998321</v>
      </c>
      <c r="D5" s="10">
        <v>84.3937277113488</v>
      </c>
      <c r="E5" s="9">
        <v>114.570529827272</v>
      </c>
      <c r="F5" s="3"/>
      <c r="G5" s="11">
        <v>893.31</v>
      </c>
      <c r="H5">
        <f>C5*G5</f>
        <v>68328</v>
      </c>
    </row>
    <row r="6" ht="16.5" spans="2:8">
      <c r="B6" s="8" t="s">
        <v>225</v>
      </c>
      <c r="C6" s="9">
        <v>62.2623439988709</v>
      </c>
      <c r="D6" s="10">
        <v>104.988888888889</v>
      </c>
      <c r="E6" s="9">
        <v>95.1228855420472</v>
      </c>
      <c r="F6" s="3"/>
      <c r="G6" s="11">
        <v>4959.9</v>
      </c>
      <c r="H6">
        <f t="shared" ref="H6:H38" si="0">C6*G6</f>
        <v>308815</v>
      </c>
    </row>
    <row r="7" ht="16.5" spans="2:8">
      <c r="B7" s="8" t="s">
        <v>191</v>
      </c>
      <c r="C7" s="9">
        <v>59.7621050102127</v>
      </c>
      <c r="D7" s="10">
        <v>79.9555555555556</v>
      </c>
      <c r="E7" s="9">
        <v>102.006488045176</v>
      </c>
      <c r="F7" s="3"/>
      <c r="G7" s="11">
        <v>832.3</v>
      </c>
      <c r="H7">
        <f t="shared" si="0"/>
        <v>49740</v>
      </c>
    </row>
    <row r="8" ht="16.5" spans="2:8">
      <c r="B8" s="8" t="s">
        <v>178</v>
      </c>
      <c r="C8" s="9">
        <v>58.7240334322711</v>
      </c>
      <c r="D8" s="10">
        <v>79.2</v>
      </c>
      <c r="E8" s="9">
        <v>91.1367632149686</v>
      </c>
      <c r="F8" s="3"/>
      <c r="G8" s="11">
        <v>10909.22</v>
      </c>
      <c r="H8">
        <f t="shared" si="0"/>
        <v>640633.4</v>
      </c>
    </row>
    <row r="9" ht="16.5" spans="2:8">
      <c r="B9" s="8" t="s">
        <v>190</v>
      </c>
      <c r="C9" s="3">
        <v>60.2008360596147</v>
      </c>
      <c r="D9" s="3"/>
      <c r="E9" s="3">
        <v>109.891857506361</v>
      </c>
      <c r="F9" s="3"/>
      <c r="G9" s="12">
        <v>1100.4</v>
      </c>
      <c r="H9">
        <f t="shared" si="0"/>
        <v>66245</v>
      </c>
    </row>
    <row r="10" ht="16.5" spans="2:8">
      <c r="B10" s="8" t="s">
        <v>653</v>
      </c>
      <c r="C10" s="3">
        <v>86.9969008264463</v>
      </c>
      <c r="D10" s="3"/>
      <c r="E10" s="3">
        <v>118.246900826446</v>
      </c>
      <c r="F10" s="3"/>
      <c r="G10" s="11">
        <v>968</v>
      </c>
      <c r="H10">
        <f t="shared" si="0"/>
        <v>84213</v>
      </c>
    </row>
    <row r="11" ht="16.5" spans="2:8">
      <c r="B11" s="8" t="s">
        <v>654</v>
      </c>
      <c r="C11" s="3">
        <v>47.8292794860028</v>
      </c>
      <c r="D11" s="3"/>
      <c r="E11" s="3">
        <v>82.2900413033502</v>
      </c>
      <c r="F11" s="3"/>
      <c r="G11" s="11">
        <v>1089.5</v>
      </c>
      <c r="H11">
        <f t="shared" si="0"/>
        <v>52110</v>
      </c>
    </row>
    <row r="12" ht="16.5" spans="2:8">
      <c r="B12" s="8" t="s">
        <v>655</v>
      </c>
      <c r="C12" s="3">
        <v>31.947912602419</v>
      </c>
      <c r="D12" s="3"/>
      <c r="E12" s="3">
        <v>60.0936402653141</v>
      </c>
      <c r="F12" s="3"/>
      <c r="G12" s="11">
        <v>1025.2</v>
      </c>
      <c r="H12">
        <f t="shared" si="0"/>
        <v>32753</v>
      </c>
    </row>
    <row r="13" ht="16.5" spans="2:8">
      <c r="B13" s="8" t="s">
        <v>179</v>
      </c>
      <c r="C13" s="3">
        <v>59.7116014856893</v>
      </c>
      <c r="D13" s="3"/>
      <c r="E13" s="3">
        <v>91.0203189862355</v>
      </c>
      <c r="F13" s="3"/>
      <c r="G13" s="11">
        <v>915.4</v>
      </c>
      <c r="H13">
        <f t="shared" si="0"/>
        <v>54660</v>
      </c>
    </row>
    <row r="14" ht="16.5" spans="2:8">
      <c r="B14" s="8" t="s">
        <v>201</v>
      </c>
      <c r="C14" s="3">
        <v>28.0623482692648</v>
      </c>
      <c r="D14" s="3"/>
      <c r="E14" s="3">
        <v>52.0370102413222</v>
      </c>
      <c r="F14" s="3"/>
      <c r="G14" s="11">
        <v>2487.96</v>
      </c>
      <c r="H14">
        <f t="shared" si="0"/>
        <v>69818</v>
      </c>
    </row>
    <row r="15" ht="16.5" spans="2:8">
      <c r="B15" s="8" t="s">
        <v>656</v>
      </c>
      <c r="C15" s="3">
        <v>51.9406451105032</v>
      </c>
      <c r="D15" s="3"/>
      <c r="E15" s="3">
        <v>77.358156377305</v>
      </c>
      <c r="F15" s="3"/>
      <c r="G15" s="11">
        <v>2540.65</v>
      </c>
      <c r="H15">
        <f t="shared" si="0"/>
        <v>131963</v>
      </c>
    </row>
    <row r="16" ht="16.5" spans="2:8">
      <c r="B16" s="8" t="s">
        <v>204</v>
      </c>
      <c r="C16" s="3">
        <v>46.0776229690945</v>
      </c>
      <c r="D16" s="3"/>
      <c r="E16" s="3">
        <v>73.4126998170371</v>
      </c>
      <c r="F16" s="3"/>
      <c r="G16" s="11">
        <v>2825.71</v>
      </c>
      <c r="H16">
        <f t="shared" si="0"/>
        <v>130202</v>
      </c>
    </row>
    <row r="17" ht="16.5" spans="2:8">
      <c r="B17" s="8" t="s">
        <v>187</v>
      </c>
      <c r="C17" s="3">
        <v>44.8384666889856</v>
      </c>
      <c r="D17" s="3"/>
      <c r="E17" s="3">
        <v>79.8766878696574</v>
      </c>
      <c r="F17" s="3"/>
      <c r="G17" s="11">
        <v>3584.4</v>
      </c>
      <c r="H17">
        <f t="shared" si="0"/>
        <v>160719</v>
      </c>
    </row>
    <row r="18" ht="16.5" spans="2:8">
      <c r="B18" s="8" t="s">
        <v>657</v>
      </c>
      <c r="C18" s="3">
        <v>38.9745082815735</v>
      </c>
      <c r="D18" s="3"/>
      <c r="E18" s="3">
        <v>64.7612577639752</v>
      </c>
      <c r="F18" s="3"/>
      <c r="G18" s="11">
        <v>1545.6</v>
      </c>
      <c r="H18">
        <f t="shared" si="0"/>
        <v>60239</v>
      </c>
    </row>
    <row r="19" ht="16.5" spans="2:8">
      <c r="B19" s="8" t="s">
        <v>206</v>
      </c>
      <c r="C19" s="3">
        <v>53.2721044238379</v>
      </c>
      <c r="D19" s="3"/>
      <c r="E19" s="3">
        <v>83.7133069517453</v>
      </c>
      <c r="F19" s="3"/>
      <c r="G19" s="11">
        <v>338.62</v>
      </c>
      <c r="H19">
        <f t="shared" si="0"/>
        <v>18039</v>
      </c>
    </row>
    <row r="20" ht="16.5" spans="2:8">
      <c r="B20" s="8" t="s">
        <v>198</v>
      </c>
      <c r="C20" s="3">
        <v>32.113960867266</v>
      </c>
      <c r="D20" s="3"/>
      <c r="E20" s="3">
        <v>63.0691433104178</v>
      </c>
      <c r="F20" s="3"/>
      <c r="G20" s="11">
        <v>1512.8</v>
      </c>
      <c r="H20">
        <f t="shared" si="0"/>
        <v>48582</v>
      </c>
    </row>
    <row r="21" ht="16.5" spans="2:8">
      <c r="B21" s="8" t="s">
        <v>221</v>
      </c>
      <c r="C21" s="3">
        <v>63.0059948615472</v>
      </c>
      <c r="D21" s="3"/>
      <c r="E21" s="3">
        <v>90.23598820059</v>
      </c>
      <c r="F21" s="3"/>
      <c r="G21" s="11">
        <v>1050.9</v>
      </c>
      <c r="H21">
        <f t="shared" si="0"/>
        <v>66213</v>
      </c>
    </row>
    <row r="22" ht="16.5" spans="2:8">
      <c r="B22" s="8" t="s">
        <v>200</v>
      </c>
      <c r="C22" s="3">
        <v>41.7996678266371</v>
      </c>
      <c r="D22" s="3"/>
      <c r="E22" s="3">
        <v>66.8933881683012</v>
      </c>
      <c r="F22" s="3"/>
      <c r="G22" s="11">
        <v>1264.4</v>
      </c>
      <c r="H22">
        <f t="shared" si="0"/>
        <v>52851.4999999999</v>
      </c>
    </row>
    <row r="23" ht="16.5" spans="2:8">
      <c r="B23" s="8" t="s">
        <v>173</v>
      </c>
      <c r="C23" s="13">
        <v>62.4010444301712</v>
      </c>
      <c r="D23" s="13"/>
      <c r="E23" s="13">
        <v>94.9437292300818</v>
      </c>
      <c r="F23" s="13"/>
      <c r="G23" s="11">
        <v>17904.5</v>
      </c>
      <c r="H23">
        <f t="shared" si="0"/>
        <v>1117259.5</v>
      </c>
    </row>
    <row r="24" ht="16.5" spans="2:8">
      <c r="B24" s="8" t="s">
        <v>658</v>
      </c>
      <c r="C24" s="3">
        <v>43.5750932835821</v>
      </c>
      <c r="D24" s="3"/>
      <c r="E24" s="3">
        <v>71.1753731343284</v>
      </c>
      <c r="F24" s="3"/>
      <c r="G24" s="11">
        <v>428.8</v>
      </c>
      <c r="H24">
        <f t="shared" si="0"/>
        <v>18685</v>
      </c>
    </row>
    <row r="25" ht="16.5" spans="2:8">
      <c r="B25" s="8" t="s">
        <v>659</v>
      </c>
      <c r="C25" s="3">
        <v>43.6043360433604</v>
      </c>
      <c r="D25" s="3"/>
      <c r="E25" s="3">
        <v>71.0414246999613</v>
      </c>
      <c r="F25" s="3"/>
      <c r="G25" s="11">
        <v>516.6</v>
      </c>
      <c r="H25">
        <f t="shared" si="0"/>
        <v>22526</v>
      </c>
    </row>
    <row r="26" ht="16.5" spans="2:8">
      <c r="B26" s="8" t="s">
        <v>222</v>
      </c>
      <c r="C26" s="13">
        <v>42.2454439901055</v>
      </c>
      <c r="D26" s="13"/>
      <c r="E26" s="13">
        <v>70.3526174970973</v>
      </c>
      <c r="F26" s="13"/>
      <c r="G26" s="11">
        <v>3961.8</v>
      </c>
      <c r="H26">
        <f t="shared" si="0"/>
        <v>167368</v>
      </c>
    </row>
    <row r="27" ht="16.5" spans="2:8">
      <c r="B27" s="8" t="s">
        <v>205</v>
      </c>
      <c r="C27" s="3">
        <v>41.6918429003021</v>
      </c>
      <c r="D27" s="3"/>
      <c r="E27" s="3">
        <v>76.348726801899</v>
      </c>
      <c r="F27" s="3"/>
      <c r="G27" s="11">
        <v>463.4</v>
      </c>
      <c r="H27">
        <f t="shared" si="0"/>
        <v>19320</v>
      </c>
    </row>
    <row r="28" ht="16.5" spans="2:8">
      <c r="B28" s="8" t="s">
        <v>216</v>
      </c>
      <c r="C28" s="3">
        <v>88.7350095918095</v>
      </c>
      <c r="D28" s="3"/>
      <c r="E28" s="3">
        <v>118.620420808584</v>
      </c>
      <c r="F28" s="3"/>
      <c r="G28" s="11">
        <v>974.79</v>
      </c>
      <c r="H28">
        <f t="shared" si="0"/>
        <v>86498</v>
      </c>
    </row>
    <row r="29" ht="16.5" spans="2:8">
      <c r="B29" s="8" t="s">
        <v>220</v>
      </c>
      <c r="C29" s="3">
        <v>88.9981617647059</v>
      </c>
      <c r="D29" s="3"/>
      <c r="E29" s="3">
        <v>124.852941176471</v>
      </c>
      <c r="F29" s="3"/>
      <c r="G29" s="11">
        <v>544</v>
      </c>
      <c r="H29">
        <f t="shared" si="0"/>
        <v>48415</v>
      </c>
    </row>
    <row r="30" ht="16.5" spans="2:8">
      <c r="B30" s="8" t="s">
        <v>219</v>
      </c>
      <c r="C30" s="3">
        <v>90.5917089878351</v>
      </c>
      <c r="D30" s="3"/>
      <c r="E30" s="3">
        <v>122.097555214362</v>
      </c>
      <c r="F30" s="3"/>
      <c r="G30" s="11">
        <v>846.7</v>
      </c>
      <c r="H30">
        <f t="shared" si="0"/>
        <v>76704</v>
      </c>
    </row>
    <row r="31" ht="16.5" spans="2:8">
      <c r="B31" s="8" t="s">
        <v>184</v>
      </c>
      <c r="C31" s="3">
        <v>43.0648104077423</v>
      </c>
      <c r="D31" s="3"/>
      <c r="E31" s="3">
        <v>78.5974932571791</v>
      </c>
      <c r="F31" s="3"/>
      <c r="G31" s="11">
        <v>1260.6</v>
      </c>
      <c r="H31">
        <f t="shared" si="0"/>
        <v>54287.4999999999</v>
      </c>
    </row>
    <row r="32" ht="16.5" spans="2:8">
      <c r="B32" s="8" t="s">
        <v>180</v>
      </c>
      <c r="C32" s="3">
        <v>42.8466128466128</v>
      </c>
      <c r="D32" s="3"/>
      <c r="E32" s="3">
        <v>76.4244764244764</v>
      </c>
      <c r="F32" s="3"/>
      <c r="G32" s="11">
        <v>854.7</v>
      </c>
      <c r="H32">
        <f t="shared" si="0"/>
        <v>36621</v>
      </c>
    </row>
    <row r="33" ht="16.5" spans="2:8">
      <c r="B33" s="8" t="s">
        <v>203</v>
      </c>
      <c r="C33" s="3">
        <v>37.345793224153</v>
      </c>
      <c r="D33" s="3"/>
      <c r="E33" s="3">
        <v>62.4328041005126</v>
      </c>
      <c r="F33" s="3"/>
      <c r="G33" s="11">
        <v>3199.6</v>
      </c>
      <c r="H33">
        <f t="shared" si="0"/>
        <v>119491.6</v>
      </c>
    </row>
    <row r="34" ht="16.5" spans="2:8">
      <c r="B34" s="8" t="s">
        <v>185</v>
      </c>
      <c r="C34" s="3">
        <v>44.097985685826</v>
      </c>
      <c r="D34" s="3"/>
      <c r="E34" s="3">
        <v>74.5960303991736</v>
      </c>
      <c r="F34" s="3"/>
      <c r="G34" s="11">
        <v>1355.3</v>
      </c>
      <c r="H34">
        <f t="shared" si="0"/>
        <v>59766</v>
      </c>
    </row>
    <row r="35" ht="16.5" spans="2:8">
      <c r="B35" s="8" t="s">
        <v>195</v>
      </c>
      <c r="C35" s="3">
        <v>50.453727463081</v>
      </c>
      <c r="D35" s="3"/>
      <c r="E35" s="3">
        <v>78.2425418548256</v>
      </c>
      <c r="F35" s="3"/>
      <c r="G35" s="11">
        <v>6523.74</v>
      </c>
      <c r="H35">
        <f t="shared" si="0"/>
        <v>329147</v>
      </c>
    </row>
    <row r="36" ht="16.5" spans="2:8">
      <c r="B36" s="8" t="s">
        <v>218</v>
      </c>
      <c r="C36" s="3">
        <v>92.3106490783611</v>
      </c>
      <c r="D36" s="3"/>
      <c r="E36" s="3">
        <v>146.527474447453</v>
      </c>
      <c r="F36" s="3"/>
      <c r="G36" s="11">
        <v>1144.7</v>
      </c>
      <c r="H36">
        <f t="shared" si="0"/>
        <v>105668</v>
      </c>
    </row>
    <row r="37" ht="16.5" spans="2:8">
      <c r="B37" s="8" t="s">
        <v>199</v>
      </c>
      <c r="C37" s="3">
        <v>50.5743096363407</v>
      </c>
      <c r="D37" s="3"/>
      <c r="E37" s="3">
        <v>81.7244716211099</v>
      </c>
      <c r="F37" s="3"/>
      <c r="G37" s="11">
        <v>1426.06</v>
      </c>
      <c r="H37">
        <f t="shared" si="0"/>
        <v>72122</v>
      </c>
    </row>
    <row r="38" ht="16.5" spans="2:8">
      <c r="B38" s="14" t="s">
        <v>302</v>
      </c>
      <c r="C38" s="15">
        <v>43.5669707153145</v>
      </c>
      <c r="D38" s="15"/>
      <c r="E38" s="3">
        <v>86.4298287726036</v>
      </c>
      <c r="F38" s="3"/>
      <c r="G38">
        <v>624.9</v>
      </c>
      <c r="H38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  <vt:lpstr>piovt_各村均价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赖颢天</dc:creator>
  <cp:lastModifiedBy>阿恰 </cp:lastModifiedBy>
  <dcterms:created xsi:type="dcterms:W3CDTF">2015-06-14T10:17:00Z</dcterms:created>
  <dcterms:modified xsi:type="dcterms:W3CDTF">2026-03-06T00:21:22Z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1176292092074F5989FE10BA81780F10_13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