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786" firstSheet="4" activeTab="11"/>
  </bookViews>
  <sheets>
    <sheet name="更新日志" sheetId="1" state="hidden" r:id="rId1"/>
    <sheet name="【1】定价因子" sheetId="2" r:id="rId2"/>
    <sheet name="各村基准价" sheetId="3" state="veryHidden" r:id="rId3"/>
    <sheet name="piovt_各村均价" sheetId="4" state="hidden" r:id="rId4"/>
    <sheet name="【2】运营中心填-基本信息&amp;审核标准" sheetId="5" r:id="rId5"/>
    <sheet name="【1】楼栋基本信息" sheetId="6" state="hidden" r:id="rId6"/>
    <sheet name="项目基准价" sheetId="7" state="hidden" r:id="rId7"/>
    <sheet name="赋权表" sheetId="8" state="hidden" r:id="rId8"/>
    <sheet name="目录" sheetId="9" state="hidden" r:id="rId9"/>
    <sheet name="【3】大区填-楼栋基准格局定价" sheetId="10" r:id="rId10"/>
    <sheet name="【3-1】大区填-采光基本要素" sheetId="11" r:id="rId11"/>
    <sheet name="【3-2】大区&amp;运营中心填-房间模型价" sheetId="12" r:id="rId12"/>
    <sheet name="户型资产表" sheetId="13" state="hidden" r:id="rId13"/>
    <sheet name="【4】价目表" sheetId="14" r:id="rId14"/>
    <sheet name="【5】平面图" sheetId="15" r:id="rId15"/>
    <sheet name="【补充】采光验证因素" sheetId="16" state="hidden" r:id="rId16"/>
  </sheets>
  <definedNames>
    <definedName name="_xlnm._FilterDatabase" localSheetId="11" hidden="1">'【3-2】大区&amp;运营中心填-房间模型价'!$A$1:$AN$72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sharedStrings.xml><?xml version="1.0" encoding="utf-8"?>
<sst xmlns="http://schemas.openxmlformats.org/spreadsheetml/2006/main" count="9624" uniqueCount="805">
  <si>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</si>
  <si>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</si>
  <si>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</si>
  <si>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</si>
  <si>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</si>
  <si>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</si>
  <si>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</si>
  <si>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</si>
  <si>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</si>
  <si>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</si>
  <si>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</si>
  <si>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</si>
  <si>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</si>
  <si>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</si>
  <si>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rgb="FF000000"/>
        <rFont val="Microsoft YaHei Light"/>
        <charset val="134"/>
      </rPr>
      <t>1. 更新了两个项目的基准价：元芬上早</t>
    </r>
    <r>
      <rPr>
        <b/>
        <sz val="11"/>
        <color rgb="FF000000"/>
        <rFont val="Microsoft YaHei Light"/>
        <charset val="134"/>
      </rPr>
      <t>1468.41元</t>
    </r>
    <r>
      <rPr>
        <sz val="11"/>
        <color rgb="FF000000"/>
        <rFont val="Microsoft YaHei Light"/>
        <charset val="134"/>
      </rPr>
      <t>，创业花园</t>
    </r>
    <r>
      <rPr>
        <b/>
        <sz val="11"/>
        <color rgb="FF000000"/>
        <rFont val="Microsoft YaHei Light"/>
        <charset val="134"/>
      </rPr>
      <t>1763元</t>
    </r>
    <r>
      <rPr>
        <sz val="11"/>
        <color rgb="FF000000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</si>
  <si>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</si>
  <si>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</si>
  <si>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</si>
  <si>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</si>
  <si>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</si>
  <si>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</si>
  <si>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</si>
  <si>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</si>
  <si>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</si>
  <si>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</si>
  <si>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</si>
  <si>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</si>
  <si>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</si>
  <si>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</si>
  <si>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</si>
  <si>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</si>
  <si>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</si>
  <si>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</si>
  <si>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</si>
  <si>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</si>
  <si>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</si>
  <si>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</si>
  <si>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</si>
  <si>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</si>
  <si>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</si>
  <si>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</si>
  <si>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</si>
  <si>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</si>
  <si>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</si>
  <si>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</si>
  <si>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</si>
  <si>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</si>
  <si>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</si>
  <si>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</si>
  <si>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</si>
  <si>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</si>
  <si>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</si>
  <si>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</si>
  <si>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</si>
  <si>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</si>
  <si>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</si>
  <si>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</si>
  <si>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</si>
  <si>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</si>
  <si>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</si>
  <si>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</si>
  <si>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</si>
  <si>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</si>
  <si>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</si>
  <si>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</si>
  <si>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</si>
  <si>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</si>
  <si>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</si>
  <si>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</si>
  <si>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</si>
  <si>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</si>
  <si>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</si>
  <si>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</si>
  <si>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</si>
  <si>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</si>
  <si>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</si>
  <si>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</si>
  <si>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</si>
  <si>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</si>
  <si>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</si>
  <si>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</si>
  <si>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</si>
  <si>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</si>
  <si>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</si>
  <si>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</si>
  <si>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</si>
  <si>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</si>
  <si>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</si>
  <si>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</si>
  <si>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</si>
  <si>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</si>
  <si>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</si>
  <si>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</si>
  <si>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</si>
  <si>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</si>
  <si>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</si>
  <si>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</si>
  <si>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</si>
  <si>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</si>
  <si>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</si>
  <si>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</si>
  <si>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</si>
  <si>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</si>
  <si>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</si>
  <si>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</si>
  <si>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</si>
  <si>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</si>
  <si>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</si>
  <si>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</si>
  <si>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</si>
  <si>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</si>
  <si>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</si>
  <si>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</si>
  <si>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</si>
  <si>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</si>
  <si>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</si>
  <si>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</si>
  <si>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</si>
  <si>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</si>
  <si>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</si>
  <si>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</si>
  <si>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</si>
  <si>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</si>
  <si>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</si>
  <si>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</si>
  <si>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</si>
  <si>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</si>
  <si>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</si>
  <si>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</si>
  <si>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</si>
  <si>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</si>
  <si>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</si>
  <si>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</si>
  <si>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</si>
  <si>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</si>
  <si>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</si>
  <si>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</si>
  <si>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</si>
  <si>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</si>
  <si>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</si>
  <si>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</si>
  <si>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</si>
  <si>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</si>
  <si>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</si>
  <si>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</si>
  <si>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</si>
  <si>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</si>
  <si>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</si>
  <si>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</si>
  <si>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</si>
  <si>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</si>
  <si>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</si>
  <si>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</si>
  <si>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</si>
  <si>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</si>
  <si>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</si>
  <si>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</si>
  <si>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</si>
  <si>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</si>
  <si>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</si>
  <si>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</si>
  <si>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</si>
  <si>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</si>
  <si>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</si>
  <si>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</si>
  <si>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</si>
  <si>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</si>
  <si>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</si>
  <si>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</si>
  <si>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</si>
  <si>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</si>
  <si>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</si>
  <si>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</si>
  <si>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</si>
  <si>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</si>
  <si>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</si>
  <si>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</si>
  <si>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</si>
  <si>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</si>
  <si>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</si>
  <si>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</si>
  <si>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</si>
  <si>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</si>
  <si>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</si>
  <si>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</si>
  <si>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</si>
  <si>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</si>
  <si>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</si>
  <si>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</si>
  <si>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</si>
  <si>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</si>
  <si>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</si>
  <si>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</si>
  <si>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</si>
  <si>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</si>
  <si>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</si>
  <si>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</si>
  <si>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</si>
  <si>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</si>
  <si>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</si>
  <si>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</si>
  <si>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</si>
  <si>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</si>
  <si>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</si>
  <si>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</si>
  <si>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</si>
  <si>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</si>
  <si>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</si>
  <si>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</si>
  <si>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</si>
  <si>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</si>
  <si>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</si>
  <si>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</si>
  <si>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桥南</t>
  </si>
  <si>
    <t>桥荣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</si>
  <si>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</si>
  <si>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</si>
  <si>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</si>
  <si>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</si>
  <si>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</si>
  <si>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</si>
  <si>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</si>
  <si>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</si>
  <si>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</si>
  <si>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</si>
  <si>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</si>
  <si>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</si>
  <si>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</si>
  <si>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</si>
  <si>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</si>
  <si>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</si>
  <si>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</si>
  <si>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</si>
  <si>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</si>
  <si>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</si>
  <si>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</si>
  <si>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</si>
  <si>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</si>
  <si>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</si>
  <si>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</si>
  <si>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</si>
  <si>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</si>
  <si>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</si>
  <si>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</si>
  <si>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</si>
  <si>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</si>
  <si>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</si>
  <si>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</si>
  <si>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</si>
  <si>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</si>
  <si>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</si>
  <si>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</si>
  <si>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</si>
  <si>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</si>
  <si>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</si>
  <si>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</si>
  <si>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</si>
  <si>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</si>
  <si>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</si>
  <si>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</si>
  <si>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</si>
  <si>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</si>
  <si>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</si>
  <si>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</si>
  <si>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</si>
  <si>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</si>
  <si>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</si>
  <si>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</si>
  <si>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</si>
  <si>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兴围西4-11栋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</si>
  <si>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</si>
  <si>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</si>
  <si>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</si>
  <si>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</si>
  <si>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</si>
  <si>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</si>
  <si>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</si>
  <si>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</si>
  <si>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</si>
  <si>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</si>
  <si>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</si>
  <si>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</si>
  <si>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</si>
  <si>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</si>
  <si>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月租金</t>
  </si>
  <si>
    <t>村公寓面积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</si>
  <si>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</si>
  <si>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</si>
  <si>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</si>
  <si>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</si>
  <si>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</si>
  <si>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</si>
  <si>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</si>
  <si>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</si>
  <si>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</si>
  <si>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</si>
  <si>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</si>
  <si>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</si>
  <si>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</si>
  <si>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</si>
  <si>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</si>
  <si>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</si>
  <si>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</si>
  <si>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</si>
  <si>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</si>
  <si>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</si>
  <si>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</si>
  <si>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</si>
  <si>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</si>
  <si>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</si>
  <si>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</si>
  <si>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</si>
  <si>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</si>
  <si>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</si>
  <si>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</si>
  <si>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</si>
  <si>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</si>
  <si>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</si>
  <si>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</si>
  <si>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</si>
  <si>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</si>
  <si>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</si>
  <si>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</si>
  <si>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</si>
  <si>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</si>
  <si>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</si>
  <si>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</si>
  <si>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</si>
  <si>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</si>
  <si>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</si>
  <si>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</si>
  <si>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</si>
  <si>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</si>
  <si>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</si>
  <si>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</si>
  <si>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</si>
  <si>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</si>
  <si>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</si>
  <si>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</si>
  <si>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</si>
  <si>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</si>
  <si>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</si>
  <si>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</si>
  <si>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</si>
  <si>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</si>
  <si>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</si>
  <si>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</si>
  <si>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</si>
  <si>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</si>
  <si>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</si>
  <si>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</si>
  <si>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</si>
  <si>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</si>
  <si>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</si>
  <si>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</si>
  <si>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</si>
  <si>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</si>
  <si>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</si>
  <si>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</si>
  <si>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</si>
  <si>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</si>
  <si>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</si>
  <si>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</si>
  <si>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</si>
  <si>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</si>
  <si>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</si>
  <si>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</si>
  <si>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</si>
  <si>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</si>
  <si>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</si>
  <si>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</si>
  <si>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</si>
  <si>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</si>
  <si>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</si>
  <si>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</si>
  <si>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</si>
  <si>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</si>
  <si>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</si>
  <si>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</si>
  <si>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</si>
  <si>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</si>
  <si>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</si>
  <si>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</si>
  <si>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</si>
  <si>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</si>
  <si>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</si>
  <si>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</si>
  <si>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</si>
  <si>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</si>
  <si>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</si>
  <si>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</si>
  <si>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</si>
  <si>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</si>
  <si>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</si>
  <si>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</si>
  <si>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</si>
  <si>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</si>
  <si>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</si>
  <si>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</si>
  <si>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</si>
  <si>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</si>
  <si>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</si>
  <si>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</si>
  <si>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</si>
  <si>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</si>
  <si>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</si>
  <si>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</si>
  <si>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</si>
  <si>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</si>
  <si>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</si>
  <si>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</si>
  <si>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</si>
  <si>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</si>
  <si>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</si>
  <si>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</si>
  <si>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</si>
  <si>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</si>
  <si>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</si>
  <si>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</si>
  <si>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</si>
  <si>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</si>
  <si>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</si>
  <si>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</si>
  <si>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</si>
  <si>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</si>
  <si>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</si>
  <si>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</si>
  <si>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</si>
  <si>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</si>
  <si>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</si>
  <si>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</si>
  <si>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</si>
  <si>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</si>
  <si>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</si>
  <si>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</si>
  <si>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</si>
  <si>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</si>
  <si>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</si>
  <si>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</si>
  <si>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</si>
  <si>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</si>
  <si>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</si>
  <si>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</si>
  <si>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</si>
  <si>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</si>
  <si>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调价倍数2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</si>
  <si>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</si>
  <si>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</si>
  <si>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</si>
  <si>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</si>
  <si>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</si>
  <si>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</si>
  <si>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</si>
  <si>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</si>
  <si>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</si>
  <si>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</si>
  <si>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</si>
  <si>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</si>
  <si>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</si>
  <si>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</si>
  <si>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</si>
  <si>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</si>
  <si>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</si>
  <si>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</si>
  <si>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</si>
  <si>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</si>
  <si>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</si>
  <si>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</si>
  <si>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</si>
  <si>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</si>
  <si>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</si>
  <si>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</si>
  <si>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</si>
  <si>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</si>
  <si>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套内面积</t>
  </si>
  <si>
    <t>调价倍数3</t>
  </si>
  <si>
    <t>调价倍数4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</si>
  <si>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</si>
  <si>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</si>
  <si>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</si>
  <si>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</si>
  <si>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</si>
  <si>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</si>
  <si>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</si>
  <si>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</si>
  <si>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调价倍数5</t>
  </si>
  <si>
    <t>调价倍数6</t>
  </si>
  <si>
    <t>调价倍数7</t>
  </si>
  <si>
    <t>调价倍数8</t>
  </si>
  <si>
    <t>房间模型价</t>
  </si>
  <si>
    <t>实际定价</t>
  </si>
  <si>
    <t>差距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</si>
  <si>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</si>
  <si>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</si>
  <si>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</si>
  <si>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</si>
  <si>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</si>
  <si>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</si>
  <si>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</si>
  <si>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</si>
  <si>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</si>
  <si>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</si>
  <si>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</si>
  <si>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</si>
  <si>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</si>
  <si>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</si>
  <si>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</si>
  <si>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</si>
  <si>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</si>
  <si>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/>
  </si>
  <si>
    <t>找不到的三类去资产项里查找一下对应的一类和二类名称，需要对应改</t>
  </si>
  <si>
    <t>全部下拉，有公式</t>
  </si>
  <si>
    <t>下拉，有公式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</si>
  <si>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</si>
  <si>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</si>
  <si>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</si>
  <si>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</si>
  <si>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</si>
  <si>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</si>
  <si>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</si>
  <si>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</si>
  <si>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</si>
  <si>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</si>
  <si>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</si>
  <si>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</si>
  <si>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</si>
  <si>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</si>
  <si>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</si>
  <si>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</si>
  <si>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</si>
  <si>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</si>
  <si>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</si>
  <si>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</si>
  <si>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兴围西</t>
  </si>
  <si>
    <t>4-11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</si>
  <si>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</si>
  <si>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</si>
  <si>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</si>
  <si>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</si>
  <si>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</si>
  <si>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</si>
  <si>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</si>
  <si>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</si>
  <si>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</si>
  <si>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</si>
  <si>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</si>
  <si>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</si>
  <si>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</si>
  <si>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</si>
  <si>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</si>
  <si>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</si>
  <si>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</si>
  <si>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</si>
  <si>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</si>
  <si>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</si>
  <si>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</si>
  <si>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</si>
  <si>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</si>
  <si>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</si>
  <si>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家具</t>
  </si>
  <si>
    <t>鞋柜</t>
  </si>
  <si>
    <t>鞋柜01</t>
  </si>
  <si>
    <t>鞋柜01_/</t>
  </si>
  <si>
    <t>600宽铁艺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</si>
  <si>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</si>
  <si>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</si>
  <si>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</si>
  <si>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</si>
  <si>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</si>
  <si>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</si>
  <si>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</si>
  <si>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</si>
  <si>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衣柜01-通用无冰箱</t>
  </si>
  <si>
    <t>衣柜01-通用无冰箱_/</t>
  </si>
  <si>
    <t>1050*500*2000mm，YG_10无冰箱位</t>
  </si>
  <si>
    <t>电器</t>
  </si>
  <si>
    <t>空调</t>
  </si>
  <si>
    <t>冷暖空调01-1p</t>
  </si>
  <si>
    <t>冷暖空调01-1p_/</t>
  </si>
  <si>
    <t>灯具</t>
  </si>
  <si>
    <t>筒灯</t>
  </si>
  <si>
    <t>筒灯01</t>
  </si>
  <si>
    <t>筒灯01_/</t>
  </si>
  <si>
    <t>6W（直径90mm,3300K）</t>
  </si>
  <si>
    <t>吸顶灯</t>
  </si>
  <si>
    <t>吸顶灯01</t>
  </si>
  <si>
    <t>吸顶灯01_/</t>
  </si>
  <si>
    <t>规格：直径30cm</t>
  </si>
  <si>
    <t>消防</t>
  </si>
  <si>
    <t>烟感</t>
  </si>
  <si>
    <t>烟感01</t>
  </si>
  <si>
    <t>烟感01_/</t>
  </si>
  <si>
    <t>-</t>
  </si>
  <si>
    <t>强电</t>
  </si>
  <si>
    <t>户内箱</t>
  </si>
  <si>
    <t>户内配电箱01</t>
  </si>
  <si>
    <t>户内配电箱01_/</t>
  </si>
  <si>
    <t>AL1</t>
  </si>
  <si>
    <t>网络收纳盒</t>
  </si>
  <si>
    <t>网络收纳盒01</t>
  </si>
  <si>
    <t>网络收纳盒01_/</t>
  </si>
  <si>
    <t>试衣镜</t>
  </si>
  <si>
    <t>试衣镜01</t>
  </si>
  <si>
    <t>试衣镜01_/</t>
  </si>
  <si>
    <t>40*140cm</t>
  </si>
  <si>
    <t>窗</t>
  </si>
  <si>
    <t>窗户02磨砂</t>
  </si>
  <si>
    <t>窗户02磨砂_/</t>
  </si>
  <si>
    <t>磨砂窗户，用于首层公寓</t>
  </si>
  <si>
    <t>扇</t>
  </si>
  <si>
    <t>软装装饰</t>
  </si>
  <si>
    <t>窗帘</t>
  </si>
  <si>
    <t>卷帘01</t>
  </si>
  <si>
    <t>卷帘01_/</t>
  </si>
  <si>
    <t>尺寸根据现场定制</t>
  </si>
  <si>
    <t>平米</t>
  </si>
  <si>
    <t>操作台03洗衣机1.2m</t>
  </si>
  <si>
    <t>操作台03洗衣机1.2m_/</t>
  </si>
  <si>
    <t>套</t>
  </si>
  <si>
    <t>书桌01无挡板0.9m</t>
  </si>
  <si>
    <t>书桌01无挡板0.9m_/</t>
  </si>
  <si>
    <t>900宽</t>
  </si>
  <si>
    <t>椅子</t>
  </si>
  <si>
    <t>椅子01配书桌</t>
  </si>
  <si>
    <t>椅子01配书桌_/</t>
  </si>
  <si>
    <t>440*430*750mm</t>
  </si>
  <si>
    <t>晾衣架</t>
  </si>
  <si>
    <t>墙上/天花晾衣杆</t>
  </si>
  <si>
    <t>墙上/天花晾衣杆_/</t>
  </si>
  <si>
    <t>根</t>
  </si>
  <si>
    <t>整体卫浴</t>
  </si>
  <si>
    <t>等电位箱</t>
  </si>
  <si>
    <t>等电位箱01</t>
  </si>
  <si>
    <t>等电位箱01_/</t>
  </si>
  <si>
    <t>卫生间门</t>
  </si>
  <si>
    <t>整体卫浴卫生间门01</t>
  </si>
  <si>
    <t>整体卫浴卫生间门01_/</t>
  </si>
  <si>
    <t>700*2000mm，含门锁、结构胶及门套门框，铝合金门框尺寸</t>
  </si>
  <si>
    <t>排风扇</t>
  </si>
  <si>
    <t>整体卫浴排风扇01</t>
  </si>
  <si>
    <t>整体卫浴排风扇01_/</t>
  </si>
  <si>
    <t>含排风管</t>
  </si>
  <si>
    <t>镜子</t>
  </si>
  <si>
    <t>整体卫浴镜子01</t>
  </si>
  <si>
    <t>整体卫浴镜子01_/</t>
  </si>
  <si>
    <t>400*600mm,厚度5mm</t>
  </si>
  <si>
    <t>面</t>
  </si>
  <si>
    <t>厨卫灯</t>
  </si>
  <si>
    <t>整体卫浴厨卫灯01</t>
  </si>
  <si>
    <t>整体卫浴厨卫灯01_/</t>
  </si>
  <si>
    <t>卫浴五金</t>
  </si>
  <si>
    <t>淋浴器</t>
  </si>
  <si>
    <t>整体卫浴淋浴手持花洒01</t>
  </si>
  <si>
    <t>整体卫浴淋浴手持花洒01_/</t>
  </si>
  <si>
    <t>单把挂墙 不锈钢（两个座）</t>
  </si>
  <si>
    <t>马桶</t>
  </si>
  <si>
    <t>整体卫浴坐便器01</t>
  </si>
  <si>
    <t>整体卫浴坐便器01_/</t>
  </si>
  <si>
    <t>连体顶按</t>
  </si>
  <si>
    <t>毛巾架</t>
  </si>
  <si>
    <t>整体卫浴毛巾架01</t>
  </si>
  <si>
    <t>整体卫浴毛巾架01_/</t>
  </si>
  <si>
    <t>L=400mm,不锈钢</t>
  </si>
  <si>
    <t>热水器</t>
  </si>
  <si>
    <t>电热水器01-40L</t>
  </si>
  <si>
    <t>电热水器01-40L_/</t>
  </si>
  <si>
    <t>40L-D40-HK3</t>
  </si>
  <si>
    <t>台</t>
  </si>
  <si>
    <t>功能标识</t>
  </si>
  <si>
    <t>防水贴纸</t>
  </si>
  <si>
    <t>防水贴纸_/</t>
  </si>
  <si>
    <t>100*150机房、管井、设备
、警示、热水器开关、监控区域)</t>
  </si>
  <si>
    <t>洗手盆</t>
  </si>
  <si>
    <t>整体卫浴悬挂式洗手盆01</t>
  </si>
  <si>
    <t>整体卫浴悬挂式洗手盆01_/</t>
  </si>
  <si>
    <t>L=1000mm(SMC)</t>
  </si>
  <si>
    <t>浴篮</t>
  </si>
  <si>
    <t>整体卫浴三角浴篮01</t>
  </si>
  <si>
    <t>整体卫浴三角浴篮01_/</t>
  </si>
  <si>
    <t>不锈钢</t>
  </si>
  <si>
    <t>纸巾架</t>
  </si>
  <si>
    <t>整体卫浴纸巾架01</t>
  </si>
  <si>
    <t>整体卫浴纸巾架01_/</t>
  </si>
  <si>
    <t>书桌02带挡板0.9m</t>
  </si>
  <si>
    <t>书桌02带挡板0.9m_/</t>
  </si>
  <si>
    <t>900宽1350高</t>
  </si>
  <si>
    <t>客厅1</t>
  </si>
  <si>
    <t>布帘01</t>
  </si>
  <si>
    <t>布帘01_/</t>
  </si>
  <si>
    <t>件</t>
  </si>
  <si>
    <t>房间门</t>
  </si>
  <si>
    <t>房间门01</t>
  </si>
  <si>
    <t>房间门01_/</t>
  </si>
  <si>
    <t>含门吸、门锁、钥匙、把手，尺寸根据现场</t>
  </si>
  <si>
    <t>温感</t>
  </si>
  <si>
    <t>温感01</t>
  </si>
  <si>
    <t>温感01_/</t>
  </si>
  <si>
    <t>窗户01清玻</t>
  </si>
  <si>
    <t>窗户01清玻_/</t>
  </si>
  <si>
    <t>标准窗户，带固定页</t>
  </si>
  <si>
    <t>沙发</t>
  </si>
  <si>
    <t>沙发02两人</t>
  </si>
  <si>
    <t>沙发02两人_/</t>
  </si>
  <si>
    <t>两人餐桌01正方形</t>
  </si>
  <si>
    <t>两人餐桌01正方形_/</t>
  </si>
  <si>
    <t>600*600*750</t>
  </si>
  <si>
    <t>椅子02配餐桌</t>
  </si>
  <si>
    <t>椅子02配餐桌_/</t>
  </si>
  <si>
    <t>520*480*760</t>
  </si>
  <si>
    <t>排风扇01</t>
  </si>
  <si>
    <t>排风扇01_/</t>
  </si>
  <si>
    <t>300*300mm</t>
  </si>
  <si>
    <t>电热水器02-60L</t>
  </si>
  <si>
    <t>电热水器02-60L_/</t>
  </si>
  <si>
    <t>60L，F60-A20GA2(H)</t>
  </si>
  <si>
    <t>茶几</t>
  </si>
  <si>
    <t>茶几01圆形</t>
  </si>
  <si>
    <t>茶几01圆形_/</t>
  </si>
  <si>
    <t>Φ400*450（圆形）</t>
  </si>
  <si>
    <t>床头柜</t>
  </si>
  <si>
    <t>床头柜01</t>
  </si>
  <si>
    <t>床头柜01_/</t>
  </si>
  <si>
    <t>400*400*550mm</t>
  </si>
  <si>
    <t>吸油烟机02-平板式</t>
  </si>
  <si>
    <t>吸油烟机02-平板式_/</t>
  </si>
  <si>
    <t>600*450*555mm</t>
  </si>
  <si>
    <t>传统卫生间1</t>
  </si>
  <si>
    <t>卫生间门01</t>
  </si>
  <si>
    <t>卫生间门01_/</t>
  </si>
  <si>
    <t>铝镁合金门</t>
  </si>
  <si>
    <t>嵌入式厨卫灯01</t>
  </si>
  <si>
    <t>嵌入式厨卫灯01_/</t>
  </si>
  <si>
    <t>300*300mm,10W</t>
  </si>
  <si>
    <t>淋浴手持花洒01</t>
  </si>
  <si>
    <t>淋浴手持花洒01_/</t>
  </si>
  <si>
    <t>混水器
无下出水嘴，无升降
杆，304不锈钢-</t>
  </si>
  <si>
    <t>坐便器01</t>
  </si>
  <si>
    <t>坐便器01_/</t>
  </si>
  <si>
    <t>长590mm*宽
370mm*高720mm</t>
  </si>
  <si>
    <t>毛巾架01</t>
  </si>
  <si>
    <t>毛巾架01_/</t>
  </si>
  <si>
    <t>80mm*600mm</t>
  </si>
  <si>
    <t>三角浴篮01</t>
  </si>
  <si>
    <t>三角浴篮01_/</t>
  </si>
  <si>
    <t>半径220mm高120mm</t>
  </si>
  <si>
    <t>纸巾架01</t>
  </si>
  <si>
    <t>纸巾架01_/</t>
  </si>
  <si>
    <t>130H*150L*130W</t>
  </si>
  <si>
    <t>门帘</t>
  </si>
  <si>
    <t>门帘01</t>
  </si>
  <si>
    <t>门帘01_/</t>
  </si>
  <si>
    <t>尺寸以现场为准，阳台门用</t>
  </si>
  <si>
    <t>阳台门</t>
  </si>
  <si>
    <t>阳台门03平开门</t>
  </si>
  <si>
    <t>阳台门03平开门_/</t>
  </si>
  <si>
    <t>单开门，尺寸以现场为准</t>
  </si>
  <si>
    <t>阳台灯</t>
  </si>
  <si>
    <t>阳台灯01</t>
  </si>
  <si>
    <t>阳台灯01_/</t>
  </si>
  <si>
    <t>围形LED防水防蚊吸顶灯</t>
  </si>
  <si>
    <t>开关插座面板</t>
  </si>
  <si>
    <t>插座防溅盒</t>
  </si>
  <si>
    <t>插座防溅盒01</t>
  </si>
  <si>
    <t>插座防溅盒01_/</t>
  </si>
  <si>
    <t>构筑物</t>
  </si>
  <si>
    <t>栏杆</t>
  </si>
  <si>
    <t>阳台栏杆01</t>
  </si>
  <si>
    <t>阳台栏杆01_/</t>
  </si>
  <si>
    <t>50*50*1.2mm不锈钢扶手</t>
  </si>
  <si>
    <t>1层</t>
  </si>
  <si>
    <t>房号</t>
  </si>
  <si>
    <t>价格</t>
  </si>
  <si>
    <t>2层</t>
  </si>
  <si>
    <t>3层</t>
  </si>
  <si>
    <t>4层</t>
  </si>
  <si>
    <t>5层</t>
  </si>
  <si>
    <t>6层</t>
  </si>
  <si>
    <t>7层</t>
  </si>
  <si>
    <t>8层</t>
  </si>
  <si>
    <t>9层</t>
  </si>
  <si>
    <t>采光名词设定标准</t>
  </si>
  <si>
    <t>阴暗</t>
  </si>
  <si>
    <t>不足</t>
  </si>
  <si>
    <t>良好</t>
  </si>
  <si>
    <t>完美</t>
  </si>
  <si>
    <r>
      <rPr>
        <sz val="11"/>
        <color rgb="FF000000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rgb="FF000000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</si>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</sst>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0.0_ "/>
    <numFmt numFmtId="178" formatCode="0.00_ "/>
    <numFmt numFmtId="179" formatCode="0_ "/>
    <numFmt numFmtId="180" formatCode="_ * #,##0.000_ ;_ * \-#,##0.000_ ;_ * &quot;-&quot;??_ ;_ @_ "/>
    <numFmt numFmtId="181" formatCode="0.0%"/>
    <numFmt numFmtId="182" formatCode="_ * #,##0_ ;_ * \-#,##0_ ;_ * &quot;-&quot;??_ ;_ @_ "/>
    <numFmt numFmtId="183" formatCode="_ * #,##0.0_ ;_ * \-#,##0.0_ ;_ * &quot;-&quot;??_ ;_ @_ "/>
    <numFmt numFmtId="184" formatCode="[$-F800]dddd\,\ mmmm\ dd\,\ yyyy"/>
  </numFmts>
  <fonts count="63">
    <font>
      <sz val="11"/>
      <name val="等线"/>
      <charset val="134"/>
    </font>
    <font>
      <sz val="14"/>
      <name val="等线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</font>
    <font>
      <sz val="11"/>
      <color indexed="8"/>
      <name val="等线"/>
      <charset val="134"/>
    </font>
    <font>
      <b/>
      <sz val="12"/>
      <color rgb="FF000000"/>
      <name val="微软雅黑"/>
      <charset val="134"/>
    </font>
    <font>
      <b/>
      <sz val="11"/>
      <color rgb="FFFFFFFF"/>
      <name val="微软雅黑"/>
      <charset val="134"/>
    </font>
    <font>
      <b/>
      <sz val="16"/>
      <color rgb="FFFF0000"/>
      <name val="微软雅黑"/>
      <charset val="134"/>
    </font>
    <font>
      <sz val="10"/>
      <name val="等线"/>
      <charset val="134"/>
    </font>
    <font>
      <sz val="10"/>
      <color rgb="FF000000"/>
      <name val="等线"/>
      <charset val="134"/>
    </font>
    <font>
      <b/>
      <sz val="12"/>
      <color rgb="FF000000"/>
      <name val="等线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rgb="FF000000"/>
      <name val="等线"/>
      <charset val="134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8"/>
      <color rgb="FF000000"/>
      <name val="微软雅黑"/>
      <charset val="134"/>
    </font>
    <font>
      <b/>
      <sz val="10"/>
      <color rgb="FF757171"/>
      <name val="微软雅黑"/>
      <charset val="134"/>
    </font>
    <font>
      <b/>
      <sz val="14"/>
      <color rgb="FF000000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rgb="FF000000"/>
      <name val="等线"/>
      <charset val="134"/>
    </font>
    <font>
      <b/>
      <sz val="22"/>
      <name val="等线"/>
      <charset val="134"/>
    </font>
    <font>
      <sz val="22"/>
      <color rgb="FF000000"/>
      <name val="等线"/>
      <charset val="134"/>
    </font>
    <font>
      <b/>
      <sz val="14"/>
      <color rgb="FFC00000"/>
      <name val="微软雅黑"/>
      <charset val="134"/>
    </font>
    <font>
      <sz val="26"/>
      <color rgb="FF000000"/>
      <name val="等线"/>
      <charset val="134"/>
    </font>
    <font>
      <b/>
      <sz val="14"/>
      <color rgb="FFC00000"/>
      <name val="等线"/>
      <charset val="134"/>
    </font>
    <font>
      <b/>
      <sz val="14"/>
      <name val="等线"/>
      <charset val="134"/>
    </font>
    <font>
      <sz val="12"/>
      <name val="等线"/>
      <charset val="134"/>
    </font>
    <font>
      <sz val="12"/>
      <color rgb="FF000000"/>
      <name val="等线"/>
      <charset val="134"/>
    </font>
    <font>
      <b/>
      <sz val="11"/>
      <color rgb="FF000000"/>
      <name val="Microsoft YaHei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sz val="11"/>
      <color rgb="FF000000"/>
      <name val="Microsoft YaHei Light"/>
      <charset val="134"/>
    </font>
    <font>
      <b/>
      <sz val="9"/>
      <name val="宋体"/>
      <charset val="134"/>
    </font>
    <font>
      <sz val="9"/>
      <name val="宋体"/>
      <charset val="134"/>
    </font>
  </fonts>
  <fills count="6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2" fillId="0" borderId="0">
      <alignment vertical="top"/>
      <protection locked="0"/>
    </xf>
    <xf numFmtId="44" fontId="2" fillId="0" borderId="0">
      <alignment vertical="top"/>
      <protection locked="0"/>
    </xf>
    <xf numFmtId="9" fontId="2" fillId="0" borderId="0">
      <alignment vertical="top"/>
      <protection locked="0"/>
    </xf>
    <xf numFmtId="41" fontId="38" fillId="0" borderId="0" applyFont="0" applyFill="0" applyBorder="0" applyAlignment="0" applyProtection="0">
      <alignment vertical="center"/>
    </xf>
    <xf numFmtId="42" fontId="38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8" fillId="35" borderId="54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55" applyNumberFormat="0" applyFill="0" applyAlignment="0" applyProtection="0">
      <alignment vertical="center"/>
    </xf>
    <xf numFmtId="0" fontId="45" fillId="0" borderId="55" applyNumberFormat="0" applyFill="0" applyAlignment="0" applyProtection="0">
      <alignment vertical="center"/>
    </xf>
    <xf numFmtId="0" fontId="46" fillId="0" borderId="5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6" borderId="57" applyNumberFormat="0" applyAlignment="0" applyProtection="0">
      <alignment vertical="center"/>
    </xf>
    <xf numFmtId="0" fontId="48" fillId="19" borderId="58" applyNumberFormat="0" applyAlignment="0" applyProtection="0">
      <alignment vertical="center"/>
    </xf>
    <xf numFmtId="0" fontId="49" fillId="19" borderId="57" applyNumberFormat="0" applyAlignment="0" applyProtection="0">
      <alignment vertical="center"/>
    </xf>
    <xf numFmtId="0" fontId="50" fillId="37" borderId="59" applyNumberFormat="0" applyAlignment="0" applyProtection="0">
      <alignment vertical="center"/>
    </xf>
    <xf numFmtId="0" fontId="51" fillId="0" borderId="60" applyNumberFormat="0" applyFill="0" applyAlignment="0" applyProtection="0">
      <alignment vertical="center"/>
    </xf>
    <xf numFmtId="0" fontId="52" fillId="0" borderId="61" applyNumberFormat="0" applyFill="0" applyAlignment="0" applyProtection="0">
      <alignment vertical="center"/>
    </xf>
    <xf numFmtId="0" fontId="53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5" fillId="40" borderId="0" applyNumberFormat="0" applyBorder="0" applyAlignment="0" applyProtection="0">
      <alignment vertical="center"/>
    </xf>
    <xf numFmtId="0" fontId="56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7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7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6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7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6" fillId="53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7" fillId="55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6" fillId="57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7" fillId="59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6" fillId="61" borderId="0" applyNumberFormat="0" applyBorder="0" applyAlignment="0" applyProtection="0">
      <alignment vertical="center"/>
    </xf>
    <xf numFmtId="0" fontId="57" fillId="62" borderId="0" applyNumberFormat="0" applyBorder="0" applyAlignment="0" applyProtection="0">
      <alignment vertical="center"/>
    </xf>
    <xf numFmtId="0" fontId="57" fillId="63" borderId="0" applyNumberFormat="0" applyBorder="0" applyAlignment="0" applyProtection="0">
      <alignment vertical="center"/>
    </xf>
    <xf numFmtId="0" fontId="56" fillId="64" borderId="0" applyNumberFormat="0" applyBorder="0" applyAlignment="0" applyProtection="0">
      <alignment vertical="center"/>
    </xf>
    <xf numFmtId="0" fontId="2" fillId="0" borderId="0">
      <protection locked="0"/>
    </xf>
    <xf numFmtId="176" fontId="2" fillId="0" borderId="0">
      <alignment vertical="top"/>
      <protection locked="0"/>
    </xf>
  </cellStyleXfs>
  <cellXfs count="309">
    <xf numFmtId="0" fontId="0" fillId="0" borderId="0" xfId="0">
      <alignment vertical="center"/>
    </xf>
    <xf numFmtId="0" fontId="1" fillId="2" borderId="1" xfId="49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44" fontId="4" fillId="0" borderId="0" xfId="2" applyFont="1" applyAlignment="1" applyProtection="1">
      <alignment horizontal="center" vertical="center"/>
    </xf>
    <xf numFmtId="0" fontId="4" fillId="0" borderId="0" xfId="0" applyFont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5" fontId="6" fillId="10" borderId="1" xfId="0" applyNumberFormat="1" applyFont="1" applyFill="1" applyBorder="1" applyAlignment="1">
      <alignment horizontal="center" vertical="center"/>
    </xf>
    <xf numFmtId="5" fontId="7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79" fontId="2" fillId="0" borderId="0" xfId="0" applyNumberFormat="1" applyFont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8" fontId="2" fillId="1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179" fontId="2" fillId="15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10" fontId="2" fillId="0" borderId="1" xfId="3" applyNumberFormat="1" applyBorder="1" applyAlignment="1" applyProtection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18" borderId="1" xfId="0" applyFont="1" applyFill="1" applyBorder="1" applyAlignment="1">
      <alignment horizontal="center" vertical="center" wrapText="1"/>
    </xf>
    <xf numFmtId="179" fontId="2" fillId="18" borderId="1" xfId="0" applyNumberFormat="1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2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9" fontId="2" fillId="0" borderId="0" xfId="0" applyNumberFormat="1" applyFont="1" applyAlignment="1"/>
    <xf numFmtId="0" fontId="2" fillId="13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179" fontId="2" fillId="14" borderId="0" xfId="0" applyNumberFormat="1" applyFont="1" applyFill="1" applyAlignment="1">
      <alignment horizontal="center"/>
    </xf>
    <xf numFmtId="0" fontId="2" fillId="13" borderId="1" xfId="0" applyFont="1" applyFill="1" applyBorder="1">
      <alignment vertical="center"/>
    </xf>
    <xf numFmtId="0" fontId="0" fillId="13" borderId="5" xfId="0" applyFill="1" applyBorder="1">
      <alignment vertical="center"/>
    </xf>
    <xf numFmtId="0" fontId="2" fillId="14" borderId="5" xfId="0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13" fillId="0" borderId="0" xfId="0" applyFont="1" applyAlignment="1"/>
    <xf numFmtId="180" fontId="13" fillId="0" borderId="0" xfId="1" applyNumberFormat="1" applyFont="1" applyAlignment="1" applyProtection="1"/>
    <xf numFmtId="0" fontId="14" fillId="0" borderId="0" xfId="0" applyFont="1" applyAlignment="1"/>
    <xf numFmtId="0" fontId="14" fillId="0" borderId="0" xfId="0" applyFont="1" applyAlignment="1">
      <alignment horizontal="center"/>
    </xf>
    <xf numFmtId="181" fontId="14" fillId="0" borderId="0" xfId="3" applyNumberFormat="1" applyFont="1" applyAlignment="1" applyProtection="1"/>
    <xf numFmtId="0" fontId="15" fillId="0" borderId="1" xfId="0" applyFont="1" applyBorder="1" applyAlignment="1">
      <alignment horizontal="center"/>
    </xf>
    <xf numFmtId="0" fontId="16" fillId="22" borderId="9" xfId="0" applyFont="1" applyFill="1" applyBorder="1" applyAlignment="1">
      <alignment vertical="top" wrapText="1"/>
    </xf>
    <xf numFmtId="0" fontId="16" fillId="22" borderId="10" xfId="0" applyFont="1" applyFill="1" applyBorder="1" applyAlignment="1">
      <alignment horizontal="center" vertical="top" wrapText="1"/>
    </xf>
    <xf numFmtId="0" fontId="16" fillId="22" borderId="10" xfId="0" applyFont="1" applyFill="1" applyBorder="1" applyAlignment="1">
      <alignment vertical="top" wrapText="1"/>
    </xf>
    <xf numFmtId="181" fontId="16" fillId="0" borderId="10" xfId="3" applyNumberFormat="1" applyFont="1" applyBorder="1" applyAlignment="1" applyProtection="1">
      <alignment vertical="top" wrapText="1"/>
    </xf>
    <xf numFmtId="0" fontId="17" fillId="23" borderId="10" xfId="0" applyFont="1" applyFill="1" applyBorder="1" applyAlignment="1">
      <alignment horizontal="left" vertical="center" wrapText="1" readingOrder="1"/>
    </xf>
    <xf numFmtId="0" fontId="17" fillId="22" borderId="10" xfId="0" applyFont="1" applyFill="1" applyBorder="1" applyAlignment="1">
      <alignment horizontal="left" vertical="center" wrapText="1" readingOrder="1"/>
    </xf>
    <xf numFmtId="0" fontId="18" fillId="15" borderId="1" xfId="0" applyFont="1" applyFill="1" applyBorder="1" applyAlignment="1">
      <alignment vertical="top" wrapText="1"/>
    </xf>
    <xf numFmtId="0" fontId="18" fillId="15" borderId="1" xfId="0" applyFont="1" applyFill="1" applyBorder="1" applyAlignment="1">
      <alignment horizontal="center" vertical="top" wrapText="1"/>
    </xf>
    <xf numFmtId="181" fontId="18" fillId="0" borderId="1" xfId="3" applyNumberFormat="1" applyFont="1" applyBorder="1" applyAlignment="1" applyProtection="1">
      <alignment vertical="top" wrapText="1"/>
    </xf>
    <xf numFmtId="0" fontId="16" fillId="24" borderId="1" xfId="0" applyFont="1" applyFill="1" applyBorder="1" applyAlignment="1">
      <alignment vertical="center" wrapText="1" readingOrder="1"/>
    </xf>
    <xf numFmtId="0" fontId="19" fillId="24" borderId="1" xfId="0" applyFont="1" applyFill="1" applyBorder="1" applyAlignment="1">
      <alignment vertical="center" wrapText="1" readingOrder="1"/>
    </xf>
    <xf numFmtId="0" fontId="18" fillId="24" borderId="1" xfId="0" applyFont="1" applyFill="1" applyBorder="1" applyAlignment="1">
      <alignment vertical="center" wrapText="1" readingOrder="1"/>
    </xf>
    <xf numFmtId="0" fontId="18" fillId="24" borderId="1" xfId="0" applyFont="1" applyFill="1" applyBorder="1" applyAlignment="1">
      <alignment horizontal="center" vertical="center" wrapText="1" readingOrder="1"/>
    </xf>
    <xf numFmtId="181" fontId="18" fillId="0" borderId="1" xfId="3" applyNumberFormat="1" applyFont="1" applyBorder="1" applyAlignment="1" applyProtection="1">
      <alignment vertical="center" wrapText="1" readingOrder="1"/>
    </xf>
    <xf numFmtId="0" fontId="18" fillId="24" borderId="0" xfId="0" applyFont="1" applyFill="1" applyAlignment="1">
      <alignment vertical="center" wrapText="1" readingOrder="1"/>
    </xf>
    <xf numFmtId="0" fontId="18" fillId="24" borderId="0" xfId="0" applyFont="1" applyFill="1" applyAlignment="1">
      <alignment horizontal="center" vertical="center" wrapText="1" readingOrder="1"/>
    </xf>
    <xf numFmtId="181" fontId="18" fillId="0" borderId="0" xfId="3" applyNumberFormat="1" applyFont="1" applyAlignment="1" applyProtection="1">
      <alignment vertical="center" wrapText="1" readingOrder="1"/>
    </xf>
    <xf numFmtId="0" fontId="16" fillId="24" borderId="0" xfId="0" applyFont="1" applyFill="1" applyAlignment="1">
      <alignment vertical="center" wrapText="1" readingOrder="1"/>
    </xf>
    <xf numFmtId="182" fontId="18" fillId="24" borderId="0" xfId="1" applyNumberFormat="1" applyFont="1" applyFill="1" applyAlignment="1" applyProtection="1">
      <alignment vertical="center" wrapText="1" readingOrder="1"/>
    </xf>
    <xf numFmtId="180" fontId="18" fillId="24" borderId="0" xfId="1" applyNumberFormat="1" applyFont="1" applyFill="1" applyAlignment="1" applyProtection="1">
      <alignment vertical="center" wrapText="1" readingOrder="1"/>
    </xf>
    <xf numFmtId="180" fontId="16" fillId="24" borderId="0" xfId="1" applyNumberFormat="1" applyFont="1" applyFill="1" applyAlignment="1" applyProtection="1">
      <alignment vertical="center" wrapText="1" readingOrder="1"/>
    </xf>
    <xf numFmtId="180" fontId="19" fillId="24" borderId="1" xfId="1" applyNumberFormat="1" applyFont="1" applyFill="1" applyBorder="1" applyAlignment="1" applyProtection="1">
      <alignment vertical="center" wrapText="1" readingOrder="1"/>
    </xf>
    <xf numFmtId="180" fontId="16" fillId="24" borderId="1" xfId="1" applyNumberFormat="1" applyFont="1" applyFill="1" applyBorder="1" applyAlignment="1" applyProtection="1">
      <alignment vertical="center" wrapText="1" readingOrder="1"/>
    </xf>
    <xf numFmtId="180" fontId="19" fillId="14" borderId="1" xfId="1" applyNumberFormat="1" applyFont="1" applyFill="1" applyBorder="1" applyAlignment="1" applyProtection="1">
      <alignment vertical="center" wrapText="1" readingOrder="1"/>
    </xf>
    <xf numFmtId="0" fontId="0" fillId="15" borderId="1" xfId="0" applyFill="1" applyBorder="1" applyAlignment="1">
      <alignment horizontal="center" vertical="center"/>
    </xf>
    <xf numFmtId="180" fontId="16" fillId="24" borderId="0" xfId="0" applyNumberFormat="1" applyFont="1" applyFill="1" applyAlignment="1">
      <alignment vertical="center" wrapText="1" readingOrder="1"/>
    </xf>
    <xf numFmtId="180" fontId="19" fillId="24" borderId="0" xfId="1" applyNumberFormat="1" applyFont="1" applyFill="1" applyAlignment="1" applyProtection="1">
      <alignment vertical="center" wrapText="1" readingOrder="1"/>
    </xf>
    <xf numFmtId="180" fontId="19" fillId="24" borderId="0" xfId="0" applyNumberFormat="1" applyFont="1" applyFill="1" applyAlignment="1">
      <alignment vertical="center" wrapText="1" readingOrder="1"/>
    </xf>
    <xf numFmtId="180" fontId="0" fillId="15" borderId="0" xfId="0" applyNumberFormat="1" applyFill="1" applyAlignment="1">
      <alignment horizontal="center" vertical="center"/>
    </xf>
    <xf numFmtId="182" fontId="18" fillId="14" borderId="0" xfId="1" applyNumberFormat="1" applyFont="1" applyFill="1" applyAlignment="1" applyProtection="1">
      <alignment vertical="center" wrapText="1" readingOrder="1"/>
    </xf>
    <xf numFmtId="180" fontId="16" fillId="24" borderId="1" xfId="0" applyNumberFormat="1" applyFont="1" applyFill="1" applyBorder="1" applyAlignment="1">
      <alignment vertical="center" wrapText="1" readingOrder="1"/>
    </xf>
    <xf numFmtId="181" fontId="18" fillId="14" borderId="0" xfId="3" applyNumberFormat="1" applyFont="1" applyFill="1" applyAlignment="1" applyProtection="1">
      <alignment vertical="center" wrapText="1" readingOrder="1"/>
    </xf>
    <xf numFmtId="180" fontId="19" fillId="24" borderId="1" xfId="0" applyNumberFormat="1" applyFont="1" applyFill="1" applyBorder="1" applyAlignment="1">
      <alignment vertical="center" wrapText="1" readingOrder="1"/>
    </xf>
    <xf numFmtId="0" fontId="18" fillId="14" borderId="0" xfId="0" applyFont="1" applyFill="1" applyAlignment="1">
      <alignment vertical="center" wrapText="1" readingOrder="1"/>
    </xf>
    <xf numFmtId="0" fontId="0" fillId="14" borderId="1" xfId="0" applyFill="1" applyBorder="1" applyAlignment="1">
      <alignment horizontal="center" vertical="center"/>
    </xf>
    <xf numFmtId="180" fontId="16" fillId="14" borderId="0" xfId="0" applyNumberFormat="1" applyFont="1" applyFill="1" applyAlignment="1">
      <alignment vertical="center" wrapText="1" readingOrder="1"/>
    </xf>
    <xf numFmtId="0" fontId="19" fillId="24" borderId="0" xfId="0" applyFont="1" applyFill="1" applyAlignment="1">
      <alignment vertical="center" wrapText="1" readingOrder="1"/>
    </xf>
    <xf numFmtId="9" fontId="18" fillId="0" borderId="0" xfId="3" applyFont="1" applyAlignment="1" applyProtection="1">
      <alignment vertical="center" wrapText="1" readingOrder="1"/>
    </xf>
    <xf numFmtId="180" fontId="13" fillId="0" borderId="0" xfId="0" applyNumberFormat="1" applyFont="1" applyAlignment="1"/>
    <xf numFmtId="10" fontId="13" fillId="0" borderId="0" xfId="0" applyNumberFormat="1" applyFont="1" applyAlignment="1"/>
    <xf numFmtId="181" fontId="16" fillId="0" borderId="0" xfId="3" applyNumberFormat="1" applyFont="1" applyAlignment="1" applyProtection="1">
      <alignment vertical="center" wrapText="1" readingOrder="1"/>
    </xf>
    <xf numFmtId="0" fontId="16" fillId="0" borderId="0" xfId="0" applyFont="1" applyAlignment="1">
      <alignment vertical="center" wrapText="1" readingOrder="1"/>
    </xf>
    <xf numFmtId="0" fontId="20" fillId="0" borderId="0" xfId="0" applyFont="1" applyAlignment="1"/>
    <xf numFmtId="182" fontId="2" fillId="0" borderId="0" xfId="1" applyNumberFormat="1" applyAlignment="1" applyProtection="1"/>
    <xf numFmtId="182" fontId="20" fillId="0" borderId="0" xfId="1" applyNumberFormat="1" applyFont="1" applyAlignment="1" applyProtection="1"/>
    <xf numFmtId="183" fontId="2" fillId="0" borderId="0" xfId="1" applyNumberFormat="1" applyAlignment="1" applyProtection="1"/>
    <xf numFmtId="9" fontId="2" fillId="0" borderId="0" xfId="3" applyAlignment="1" applyProtection="1"/>
    <xf numFmtId="182" fontId="2" fillId="14" borderId="0" xfId="1" applyNumberFormat="1" applyFill="1" applyAlignment="1" applyProtection="1"/>
    <xf numFmtId="0" fontId="17" fillId="22" borderId="1" xfId="0" applyFont="1" applyFill="1" applyBorder="1" applyAlignment="1">
      <alignment horizontal="left" vertical="center" wrapText="1" readingOrder="1"/>
    </xf>
    <xf numFmtId="0" fontId="21" fillId="22" borderId="1" xfId="0" applyFont="1" applyFill="1" applyBorder="1" applyAlignment="1">
      <alignment horizontal="left" vertical="center" wrapText="1" readingOrder="1"/>
    </xf>
    <xf numFmtId="182" fontId="2" fillId="0" borderId="0" xfId="0" applyNumberFormat="1" applyFont="1" applyAlignment="1"/>
    <xf numFmtId="176" fontId="2" fillId="0" borderId="0" xfId="0" applyNumberFormat="1" applyFont="1" applyAlignment="1"/>
    <xf numFmtId="0" fontId="18" fillId="0" borderId="0" xfId="0" applyFont="1" applyAlignment="1">
      <alignment vertical="center" wrapText="1" readingOrder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3" fillId="16" borderId="1" xfId="0" applyNumberFormat="1" applyFont="1" applyFill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 applyProtection="1">
      <alignment horizontal="center" vertical="center"/>
    </xf>
    <xf numFmtId="9" fontId="4" fillId="0" borderId="1" xfId="3" applyFont="1" applyBorder="1" applyAlignment="1" applyProtection="1">
      <alignment horizontal="center" vertical="center"/>
    </xf>
    <xf numFmtId="0" fontId="24" fillId="0" borderId="0" xfId="0" applyFont="1" applyAlignment="1">
      <alignment horizontal="center" vertical="center"/>
    </xf>
    <xf numFmtId="0" fontId="3" fillId="24" borderId="1" xfId="0" applyFont="1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3" fillId="24" borderId="11" xfId="0" applyFont="1" applyFill="1" applyBorder="1" applyAlignment="1">
      <alignment horizontal="center" vertical="center"/>
    </xf>
    <xf numFmtId="0" fontId="3" fillId="24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11" fillId="25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1" fillId="25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1" fillId="25" borderId="15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1" fillId="25" borderId="20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center" vertical="center"/>
    </xf>
    <xf numFmtId="177" fontId="3" fillId="0" borderId="23" xfId="0" applyNumberFormat="1" applyFont="1" applyBorder="1" applyAlignment="1">
      <alignment horizontal="center" vertical="center"/>
    </xf>
    <xf numFmtId="177" fontId="3" fillId="0" borderId="21" xfId="0" applyNumberFormat="1" applyFont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77" fontId="3" fillId="0" borderId="25" xfId="0" applyNumberFormat="1" applyFont="1" applyBorder="1" applyAlignment="1">
      <alignment horizontal="center" vertical="center"/>
    </xf>
    <xf numFmtId="177" fontId="3" fillId="0" borderId="26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11" fillId="26" borderId="30" xfId="0" applyFont="1" applyFill="1" applyBorder="1" applyAlignment="1">
      <alignment horizontal="center" vertical="center"/>
    </xf>
    <xf numFmtId="0" fontId="11" fillId="27" borderId="14" xfId="0" applyFont="1" applyFill="1" applyBorder="1" applyAlignment="1">
      <alignment horizontal="center" vertical="center"/>
    </xf>
    <xf numFmtId="0" fontId="11" fillId="26" borderId="31" xfId="0" applyFont="1" applyFill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0" fontId="3" fillId="0" borderId="1" xfId="3" applyNumberFormat="1" applyFont="1" applyBorder="1" applyAlignment="1" applyProtection="1">
      <alignment horizontal="center" vertical="center"/>
    </xf>
    <xf numFmtId="0" fontId="11" fillId="27" borderId="3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26" borderId="34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22" xfId="3" applyFont="1" applyBorder="1" applyAlignment="1" applyProtection="1">
      <alignment horizontal="center" vertical="center"/>
    </xf>
    <xf numFmtId="0" fontId="11" fillId="27" borderId="23" xfId="0" applyFont="1" applyFill="1" applyBorder="1" applyAlignment="1">
      <alignment horizontal="center" vertical="center"/>
    </xf>
    <xf numFmtId="0" fontId="2" fillId="0" borderId="35" xfId="0" applyFont="1" applyBorder="1" applyAlignment="1"/>
    <xf numFmtId="0" fontId="11" fillId="0" borderId="35" xfId="0" applyFont="1" applyBorder="1">
      <alignment vertical="center"/>
    </xf>
    <xf numFmtId="0" fontId="11" fillId="26" borderId="36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1" fillId="26" borderId="39" xfId="0" applyFont="1" applyFill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9" fontId="2" fillId="0" borderId="33" xfId="3" applyBorder="1" applyAlignment="1" applyProtection="1">
      <alignment horizontal="center" vertical="center"/>
    </xf>
    <xf numFmtId="0" fontId="11" fillId="26" borderId="42" xfId="0" applyFont="1" applyFill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9" fontId="2" fillId="0" borderId="23" xfId="3" applyBorder="1" applyAlignment="1" applyProtection="1">
      <alignment horizontal="center" vertical="center"/>
    </xf>
    <xf numFmtId="0" fontId="2" fillId="0" borderId="35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11" fillId="27" borderId="13" xfId="0" applyFont="1" applyFill="1" applyBorder="1" applyAlignment="1">
      <alignment horizontal="center" vertical="center"/>
    </xf>
    <xf numFmtId="9" fontId="2" fillId="0" borderId="1" xfId="3" applyBorder="1" applyAlignment="1" applyProtection="1">
      <alignment horizontal="center" vertical="center"/>
    </xf>
    <xf numFmtId="0" fontId="2" fillId="0" borderId="33" xfId="0" applyFont="1" applyBorder="1" applyAlignment="1">
      <alignment horizontal="center" vertical="center"/>
    </xf>
    <xf numFmtId="10" fontId="2" fillId="0" borderId="22" xfId="3" applyNumberFormat="1" applyBorder="1" applyAlignment="1" applyProtection="1">
      <alignment horizontal="center" vertical="center"/>
    </xf>
    <xf numFmtId="9" fontId="2" fillId="0" borderId="22" xfId="3" applyBorder="1" applyAlignment="1" applyProtection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0" fontId="2" fillId="0" borderId="44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177" fontId="2" fillId="0" borderId="22" xfId="0" applyNumberFormat="1" applyFont="1" applyBorder="1" applyAlignment="1">
      <alignment horizontal="center" vertical="center"/>
    </xf>
    <xf numFmtId="10" fontId="2" fillId="0" borderId="23" xfId="3" applyNumberFormat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7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7" fontId="11" fillId="26" borderId="1" xfId="0" applyNumberFormat="1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center" vertical="center"/>
    </xf>
    <xf numFmtId="177" fontId="11" fillId="25" borderId="1" xfId="0" applyNumberFormat="1" applyFont="1" applyFill="1" applyBorder="1" applyAlignment="1">
      <alignment horizontal="center" vertical="center"/>
    </xf>
    <xf numFmtId="177" fontId="11" fillId="28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7" fillId="29" borderId="8" xfId="0" applyFont="1" applyFill="1" applyBorder="1" applyAlignment="1">
      <alignment horizontal="center" vertical="center"/>
    </xf>
    <xf numFmtId="177" fontId="27" fillId="29" borderId="8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177" fontId="2" fillId="0" borderId="0" xfId="0" applyNumberFormat="1" applyFont="1" applyAlignment="1"/>
    <xf numFmtId="0" fontId="3" fillId="0" borderId="8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8" fillId="0" borderId="0" xfId="0" applyFont="1" applyAlignment="1"/>
    <xf numFmtId="0" fontId="0" fillId="0" borderId="0" xfId="0" applyAlignment="1"/>
    <xf numFmtId="0" fontId="2" fillId="0" borderId="0" xfId="49" applyProtection="1"/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80" fontId="1" fillId="0" borderId="0" xfId="1" applyNumberFormat="1" applyFont="1" applyAlignment="1" applyProtection="1">
      <alignment vertical="center"/>
    </xf>
    <xf numFmtId="0" fontId="8" fillId="0" borderId="0" xfId="0" applyFont="1" applyAlignment="1">
      <alignment horizontal="left" vertical="center"/>
    </xf>
    <xf numFmtId="0" fontId="28" fillId="30" borderId="1" xfId="0" applyFont="1" applyFill="1" applyBorder="1" applyAlignment="1">
      <alignment horizontal="center" vertical="center"/>
    </xf>
    <xf numFmtId="0" fontId="29" fillId="30" borderId="1" xfId="0" applyFont="1" applyFill="1" applyBorder="1" applyAlignment="1">
      <alignment horizontal="center" vertical="center"/>
    </xf>
    <xf numFmtId="180" fontId="29" fillId="30" borderId="1" xfId="1" applyNumberFormat="1" applyFont="1" applyFill="1" applyBorder="1" applyAlignment="1" applyProtection="1">
      <alignment vertical="center"/>
    </xf>
    <xf numFmtId="0" fontId="28" fillId="30" borderId="1" xfId="0" applyFont="1" applyFill="1" applyBorder="1" applyAlignment="1" applyProtection="1">
      <alignment horizontal="center" vertical="center"/>
      <protection locked="0"/>
    </xf>
    <xf numFmtId="0" fontId="28" fillId="30" borderId="1" xfId="0" applyFont="1" applyFill="1" applyBorder="1" applyAlignment="1">
      <alignment horizontal="left" vertical="center"/>
    </xf>
    <xf numFmtId="182" fontId="28" fillId="0" borderId="0" xfId="1" applyNumberFormat="1" applyFont="1" applyAlignment="1" applyProtection="1"/>
    <xf numFmtId="0" fontId="28" fillId="0" borderId="0" xfId="0" applyFont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30" fillId="31" borderId="5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80" fontId="1" fillId="2" borderId="1" xfId="50" applyNumberFormat="1" applyFont="1" applyFill="1" applyBorder="1" applyAlignment="1" applyProtection="1">
      <alignment vertical="center"/>
    </xf>
    <xf numFmtId="0" fontId="8" fillId="2" borderId="1" xfId="49" applyFont="1" applyFill="1" applyBorder="1" applyAlignment="1" applyProtection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20" fillId="23" borderId="1" xfId="0" applyFont="1" applyFill="1" applyBorder="1" applyAlignment="1">
      <alignment horizontal="center" vertical="center"/>
    </xf>
    <xf numFmtId="0" fontId="30" fillId="31" borderId="6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30" fillId="31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8" fillId="2" borderId="1" xfId="49" applyFont="1" applyFill="1" applyBorder="1" applyAlignment="1" applyProtection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32" fillId="32" borderId="5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2" fillId="32" borderId="6" xfId="0" applyFont="1" applyFill="1" applyBorder="1" applyAlignment="1">
      <alignment horizontal="center" vertical="center" wrapText="1"/>
    </xf>
    <xf numFmtId="0" fontId="34" fillId="23" borderId="1" xfId="0" applyFont="1" applyFill="1" applyBorder="1" applyAlignment="1">
      <alignment horizontal="center" vertical="center"/>
    </xf>
    <xf numFmtId="0" fontId="6" fillId="14" borderId="1" xfId="49" applyFont="1" applyFill="1" applyBorder="1" applyAlignment="1" applyProtection="1">
      <alignment horizontal="center"/>
    </xf>
    <xf numFmtId="0" fontId="34" fillId="13" borderId="1" xfId="49" applyFont="1" applyFill="1" applyBorder="1" applyAlignment="1" applyProtection="1">
      <alignment horizontal="center" vertical="center"/>
    </xf>
    <xf numFmtId="0" fontId="8" fillId="33" borderId="1" xfId="49" applyFont="1" applyFill="1" applyBorder="1" applyAlignment="1" applyProtection="1">
      <alignment horizontal="center" vertical="center"/>
    </xf>
    <xf numFmtId="0" fontId="32" fillId="32" borderId="4" xfId="0" applyFont="1" applyFill="1" applyBorder="1" applyAlignment="1">
      <alignment horizontal="center" vertical="center" wrapText="1"/>
    </xf>
    <xf numFmtId="0" fontId="33" fillId="2" borderId="5" xfId="0" applyFont="1" applyFill="1" applyBorder="1" applyAlignment="1">
      <alignment horizontal="center" vertical="center"/>
    </xf>
    <xf numFmtId="9" fontId="2" fillId="0" borderId="0" xfId="3" applyAlignment="1" applyProtection="1">
      <alignment horizontal="center" vertical="center"/>
    </xf>
    <xf numFmtId="0" fontId="33" fillId="2" borderId="6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3" fillId="2" borderId="5" xfId="49" applyFont="1" applyFill="1" applyBorder="1" applyAlignment="1" applyProtection="1">
      <alignment horizontal="center" vertical="center"/>
    </xf>
    <xf numFmtId="0" fontId="8" fillId="2" borderId="1" xfId="49" applyFont="1" applyFill="1" applyBorder="1" applyAlignment="1" applyProtection="1">
      <alignment horizontal="center" vertical="center"/>
    </xf>
    <xf numFmtId="0" fontId="33" fillId="2" borderId="6" xfId="49" applyFont="1" applyFill="1" applyBorder="1" applyAlignment="1" applyProtection="1">
      <alignment horizontal="center" vertical="center"/>
    </xf>
    <xf numFmtId="0" fontId="6" fillId="23" borderId="46" xfId="49" applyFont="1" applyFill="1" applyBorder="1" applyAlignment="1" applyProtection="1">
      <alignment horizontal="center" vertical="center" wrapText="1"/>
    </xf>
    <xf numFmtId="0" fontId="6" fillId="14" borderId="47" xfId="49" applyFont="1" applyFill="1" applyBorder="1" applyAlignment="1" applyProtection="1">
      <alignment horizontal="center" vertical="center" wrapText="1"/>
    </xf>
    <xf numFmtId="0" fontId="6" fillId="14" borderId="48" xfId="49" applyFont="1" applyFill="1" applyBorder="1" applyAlignment="1" applyProtection="1">
      <alignment horizontal="center" vertical="center" wrapText="1"/>
    </xf>
    <xf numFmtId="0" fontId="35" fillId="13" borderId="1" xfId="49" applyFont="1" applyFill="1" applyBorder="1" applyAlignment="1" applyProtection="1">
      <alignment horizontal="center" vertical="center"/>
    </xf>
    <xf numFmtId="0" fontId="36" fillId="33" borderId="1" xfId="49" applyFont="1" applyFill="1" applyBorder="1" applyAlignment="1" applyProtection="1">
      <alignment horizontal="center" vertical="center" wrapText="1"/>
    </xf>
    <xf numFmtId="0" fontId="36" fillId="33" borderId="1" xfId="49" applyFont="1" applyFill="1" applyBorder="1" applyAlignment="1" applyProtection="1">
      <alignment horizontal="center" vertical="center"/>
    </xf>
    <xf numFmtId="0" fontId="36" fillId="33" borderId="49" xfId="49" applyFont="1" applyFill="1" applyBorder="1" applyAlignment="1" applyProtection="1">
      <alignment horizontal="center" vertical="center"/>
    </xf>
    <xf numFmtId="0" fontId="36" fillId="33" borderId="50" xfId="49" applyFont="1" applyFill="1" applyBorder="1" applyAlignment="1" applyProtection="1">
      <alignment horizontal="center" vertical="center" wrapText="1"/>
    </xf>
    <xf numFmtId="0" fontId="36" fillId="33" borderId="51" xfId="49" applyFont="1" applyFill="1" applyBorder="1" applyAlignment="1" applyProtection="1">
      <alignment horizontal="center" vertical="center" wrapText="1"/>
    </xf>
    <xf numFmtId="0" fontId="33" fillId="2" borderId="4" xfId="49" applyFont="1" applyFill="1" applyBorder="1" applyAlignment="1" applyProtection="1">
      <alignment horizontal="center" vertical="center"/>
    </xf>
    <xf numFmtId="180" fontId="1" fillId="2" borderId="1" xfId="50" applyNumberFormat="1" applyFont="1" applyFill="1" applyBorder="1" applyAlignment="1" applyProtection="1">
      <alignment horizontal="center" vertical="center"/>
    </xf>
    <xf numFmtId="0" fontId="32" fillId="32" borderId="6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0" fontId="1" fillId="0" borderId="1" xfId="1" applyNumberFormat="1" applyFont="1" applyBorder="1" applyAlignment="1" applyProtection="1">
      <alignment vertical="center"/>
    </xf>
    <xf numFmtId="0" fontId="8" fillId="0" borderId="1" xfId="0" applyFont="1" applyBorder="1" applyAlignment="1">
      <alignment horizontal="left" vertical="center"/>
    </xf>
    <xf numFmtId="0" fontId="2" fillId="0" borderId="0" xfId="49" applyAlignment="1" applyProtection="1">
      <alignment horizontal="center" vertical="center"/>
    </xf>
    <xf numFmtId="182" fontId="2" fillId="0" borderId="0" xfId="50" applyNumberFormat="1" applyAlignment="1" applyProtection="1"/>
    <xf numFmtId="0" fontId="8" fillId="0" borderId="1" xfId="0" applyFont="1" applyBorder="1" applyAlignment="1">
      <alignment horizontal="left" vertical="center" wrapText="1"/>
    </xf>
    <xf numFmtId="184" fontId="2" fillId="0" borderId="0" xfId="0" applyNumberFormat="1" applyFont="1" applyAlignment="1"/>
    <xf numFmtId="0" fontId="2" fillId="0" borderId="0" xfId="0" applyFont="1" applyAlignment="1">
      <alignment horizontal="left" wrapText="1"/>
    </xf>
    <xf numFmtId="0" fontId="37" fillId="34" borderId="52" xfId="0" applyFont="1" applyFill="1" applyBorder="1" applyAlignment="1">
      <alignment horizontal="center" vertical="center"/>
    </xf>
    <xf numFmtId="184" fontId="37" fillId="34" borderId="47" xfId="0" applyNumberFormat="1" applyFont="1" applyFill="1" applyBorder="1" applyAlignment="1">
      <alignment horizontal="center" vertical="center"/>
    </xf>
    <xf numFmtId="0" fontId="37" fillId="34" borderId="47" xfId="0" applyFont="1" applyFill="1" applyBorder="1" applyAlignment="1">
      <alignment horizontal="center" vertical="center"/>
    </xf>
    <xf numFmtId="184" fontId="37" fillId="34" borderId="48" xfId="0" applyNumberFormat="1" applyFont="1" applyFill="1" applyBorder="1" applyAlignment="1">
      <alignment horizontal="center" vertical="center"/>
    </xf>
    <xf numFmtId="184" fontId="2" fillId="0" borderId="53" xfId="0" applyNumberFormat="1" applyFont="1" applyBorder="1" applyAlignment="1">
      <alignment horizontal="center" vertical="center"/>
    </xf>
    <xf numFmtId="184" fontId="2" fillId="0" borderId="53" xfId="0" applyNumberFormat="1" applyFont="1" applyBorder="1" applyAlignment="1">
      <alignment horizontal="center" vertical="center" wrapText="1"/>
    </xf>
    <xf numFmtId="184" fontId="2" fillId="0" borderId="53" xfId="0" applyNumberFormat="1" applyFon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BF8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7574</xdr:colOff>
      <xdr:row>16</xdr:row>
      <xdr:rowOff>0</xdr:rowOff>
    </xdr:from>
    <xdr:to>
      <xdr:col>15</xdr:col>
      <xdr:colOff>497072</xdr:colOff>
      <xdr:row>56</xdr:row>
      <xdr:rowOff>16921</xdr:rowOff>
    </xdr:to>
    <xdr:pic>
      <xdr:nvPicPr>
        <xdr:cNvPr id="2" name="图片 1" descr="c691691ed808f881a1f33f4a09195c6"/>
        <xdr:cNvPicPr/>
      </xdr:nvPicPr>
      <xdr:blipFill>
        <a:blip r:embed="rId1"/>
        <a:srcRect/>
        <a:stretch>
          <a:fillRect/>
        </a:stretch>
      </xdr:blipFill>
      <xdr:spPr>
        <a:xfrm>
          <a:off x="10268585" y="3238500"/>
          <a:ext cx="5004435" cy="712851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17</xdr:col>
      <xdr:colOff>9275</xdr:colOff>
      <xdr:row>16</xdr:row>
      <xdr:rowOff>0</xdr:rowOff>
    </xdr:from>
    <xdr:to>
      <xdr:col>26</xdr:col>
      <xdr:colOff>0</xdr:colOff>
      <xdr:row>40</xdr:row>
      <xdr:rowOff>208701</xdr:rowOff>
    </xdr:to>
    <xdr:pic>
      <xdr:nvPicPr>
        <xdr:cNvPr id="3" name="图片 2" descr="1387f01f96cac3a0ac978515b28165b"/>
        <xdr:cNvPicPr/>
      </xdr:nvPicPr>
      <xdr:blipFill>
        <a:blip r:embed="rId2"/>
        <a:srcRect/>
        <a:stretch>
          <a:fillRect/>
        </a:stretch>
      </xdr:blipFill>
      <xdr:spPr>
        <a:xfrm>
          <a:off x="16156940" y="3238500"/>
          <a:ext cx="6163310" cy="44450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26</xdr:col>
      <xdr:colOff>558183</xdr:colOff>
      <xdr:row>15</xdr:row>
      <xdr:rowOff>204787</xdr:rowOff>
    </xdr:from>
    <xdr:to>
      <xdr:col>34</xdr:col>
      <xdr:colOff>492707</xdr:colOff>
      <xdr:row>36</xdr:row>
      <xdr:rowOff>34783</xdr:rowOff>
    </xdr:to>
    <xdr:pic>
      <xdr:nvPicPr>
        <xdr:cNvPr id="4" name="图片 3" descr="1661328271226"/>
        <xdr:cNvPicPr/>
      </xdr:nvPicPr>
      <xdr:blipFill>
        <a:blip r:embed="rId3"/>
        <a:srcRect/>
        <a:stretch>
          <a:fillRect/>
        </a:stretch>
      </xdr:blipFill>
      <xdr:spPr>
        <a:xfrm>
          <a:off x="22878415" y="3157220"/>
          <a:ext cx="5420360" cy="367157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workbookViewId="0">
      <selection activeCell="J8" sqref="J8"/>
    </sheetView>
  </sheetViews>
  <sheetFormatPr defaultColWidth="9" defaultRowHeight="14" outlineLevelCol="5"/>
  <cols>
    <col min="2" max="2" width="7.83333333333333" customWidth="1"/>
    <col min="3" max="3" width="16.0833333333333" style="300" customWidth="1"/>
    <col min="4" max="4" width="44" style="301" customWidth="1"/>
    <col min="5" max="5" width="13.8333333333333" customWidth="1"/>
    <col min="6" max="6" width="16.0833333333333" style="300" customWidth="1"/>
  </cols>
  <sheetData>
    <row r="1" ht="14.75"/>
    <row r="2" ht="16.5" spans="2:6">
      <c r="B2" s="302" t="s">
        <v>0</v>
      </c>
      <c r="C2" s="303" t="s">
        <v>1</v>
      </c>
      <c r="D2" s="304" t="s">
        <v>2</v>
      </c>
      <c r="E2" s="304" t="s">
        <v>3</v>
      </c>
      <c r="F2" s="305" t="s">
        <v>4</v>
      </c>
    </row>
    <row r="3" ht="14.75" spans="2:6">
      <c r="B3" s="306" t="s">
        <v>5</v>
      </c>
      <c r="C3" s="306">
        <v>44036</v>
      </c>
      <c r="D3" s="307" t="s">
        <v>6</v>
      </c>
      <c r="E3" s="306"/>
      <c r="F3" s="306">
        <v>44039</v>
      </c>
    </row>
    <row r="4" ht="42.75" spans="2:6">
      <c r="B4" s="306" t="s">
        <v>7</v>
      </c>
      <c r="C4" s="306">
        <v>44056</v>
      </c>
      <c r="D4" s="307" t="s">
        <v>8</v>
      </c>
      <c r="E4" s="306" t="s">
        <v>9</v>
      </c>
      <c r="F4" s="306">
        <v>44056</v>
      </c>
    </row>
    <row r="5" ht="70.75" spans="2:6">
      <c r="B5" s="306" t="s">
        <v>10</v>
      </c>
      <c r="C5" s="306">
        <v>44131</v>
      </c>
      <c r="D5" s="307" t="s">
        <v>11</v>
      </c>
      <c r="E5" s="306" t="s">
        <v>12</v>
      </c>
      <c r="F5" s="306">
        <v>44132</v>
      </c>
    </row>
    <row r="6" ht="165.75" spans="2:6">
      <c r="B6" s="306" t="s">
        <v>13</v>
      </c>
      <c r="C6" s="306">
        <v>44281</v>
      </c>
      <c r="D6" s="307" t="s">
        <v>14</v>
      </c>
      <c r="E6" s="306"/>
      <c r="F6" s="306">
        <v>44287</v>
      </c>
    </row>
    <row r="7" ht="70.75" spans="2:6">
      <c r="B7" s="306" t="s">
        <v>15</v>
      </c>
      <c r="C7" s="306">
        <v>44670</v>
      </c>
      <c r="D7" s="307" t="s">
        <v>16</v>
      </c>
      <c r="E7" s="306"/>
      <c r="F7" s="306">
        <v>44670</v>
      </c>
    </row>
    <row r="8" ht="70.75" spans="2:6">
      <c r="B8" s="306" t="s">
        <v>17</v>
      </c>
      <c r="C8" s="306">
        <v>45127</v>
      </c>
      <c r="D8" s="307" t="s">
        <v>18</v>
      </c>
      <c r="E8" s="306"/>
      <c r="F8" s="306">
        <v>45127</v>
      </c>
    </row>
    <row r="9" ht="14.75" spans="2:6">
      <c r="B9" s="306" t="s">
        <v>19</v>
      </c>
      <c r="C9" s="306">
        <v>45468</v>
      </c>
      <c r="D9" s="308" t="s">
        <v>20</v>
      </c>
      <c r="E9" s="306"/>
      <c r="F9" s="306">
        <v>45468</v>
      </c>
    </row>
    <row r="10" ht="14.75" spans="2:6">
      <c r="B10" s="306" t="s">
        <v>21</v>
      </c>
      <c r="C10" s="306">
        <v>45482</v>
      </c>
      <c r="D10" s="307" t="s">
        <v>22</v>
      </c>
      <c r="E10" s="306"/>
      <c r="F10" s="306">
        <v>45482</v>
      </c>
    </row>
    <row r="11" ht="14.75" spans="2:6">
      <c r="B11" s="306" t="s">
        <v>23</v>
      </c>
      <c r="C11" s="306">
        <v>45483</v>
      </c>
      <c r="D11" s="307" t="s">
        <v>24</v>
      </c>
      <c r="E11" s="306"/>
      <c r="F11" s="306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8"/>
  <sheetViews>
    <sheetView zoomScale="55" zoomScaleNormal="55" workbookViewId="0">
      <pane xSplit="3" ySplit="1" topLeftCell="D2" activePane="bottomRight" state="frozen"/>
      <selection/>
      <selection pane="topRight"/>
      <selection pane="bottomLeft"/>
      <selection pane="bottomRight" activeCell="G14" sqref="G14"/>
    </sheetView>
  </sheetViews>
  <sheetFormatPr defaultColWidth="9" defaultRowHeight="36.25" customHeight="1"/>
  <cols>
    <col min="1" max="1" width="40.5" customWidth="1"/>
    <col min="2" max="2" width="11" customWidth="1"/>
    <col min="3" max="3" width="25.0833333333333" style="238" customWidth="1"/>
    <col min="4" max="4" width="35.25" style="239" customWidth="1"/>
    <col min="5" max="5" width="59.5833333333333" style="239" customWidth="1"/>
    <col min="6" max="6" width="23.5" style="240" customWidth="1"/>
    <col min="7" max="7" width="206.5" style="238" customWidth="1"/>
    <col min="8" max="8" width="46.3333333333333" style="241" customWidth="1"/>
    <col min="9" max="9" width="7.5" style="123" customWidth="1"/>
    <col min="10" max="10" width="6.25" customWidth="1"/>
    <col min="11" max="11" width="25.0833333333333" style="2" customWidth="1"/>
    <col min="12" max="12" width="19.5" customWidth="1"/>
    <col min="13" max="13" width="30.8333333333333" customWidth="1"/>
    <col min="14" max="14" width="39.25" customWidth="1"/>
    <col min="15" max="15" width="12" customWidth="1"/>
  </cols>
  <sheetData>
    <row r="1" s="235" customFormat="1" customHeight="1" spans="1:15">
      <c r="A1" s="242"/>
      <c r="B1" s="242" t="s">
        <v>25</v>
      </c>
      <c r="C1" s="242" t="s">
        <v>26</v>
      </c>
      <c r="D1" s="243" t="s">
        <v>27</v>
      </c>
      <c r="E1" s="243" t="s">
        <v>28</v>
      </c>
      <c r="F1" s="244" t="s">
        <v>29</v>
      </c>
      <c r="G1" s="245" t="s">
        <v>30</v>
      </c>
      <c r="H1" s="246"/>
      <c r="I1" s="247"/>
      <c r="K1" s="248"/>
      <c r="L1" s="249" t="s">
        <v>31</v>
      </c>
      <c r="M1" s="249">
        <f>VLOOKUP('【2】运营中心填-基本信息&amp;审核标准'!C2,各村基准价!A:C,2,FALSE)</f>
        <v>1634.8</v>
      </c>
      <c r="N1" s="2"/>
    </row>
    <row r="2" customHeight="1" spans="1:15">
      <c r="A2" s="250" t="s">
        <v>32</v>
      </c>
      <c r="B2" s="250">
        <v>1</v>
      </c>
      <c r="C2" s="251" t="s">
        <v>33</v>
      </c>
      <c r="D2" s="252" t="s">
        <v>34</v>
      </c>
      <c r="E2" s="252" t="str">
        <f>$C$2&amp;D2</f>
        <v>区位交通很便利</v>
      </c>
      <c r="F2" s="253">
        <v>1.04</v>
      </c>
      <c r="G2" s="254" t="s">
        <v>35</v>
      </c>
      <c r="H2" s="255"/>
      <c r="I2" s="123" t="e">
        <f>J2*#REF!-J2</f>
        <v>#REF!</v>
      </c>
      <c r="J2">
        <v>1350</v>
      </c>
      <c r="L2" s="256" t="s">
        <v>36</v>
      </c>
      <c r="M2" s="256" t="s">
        <v>37</v>
      </c>
    </row>
    <row r="3" customHeight="1" spans="1:15">
      <c r="A3" s="257"/>
      <c r="B3" s="257"/>
      <c r="C3" s="251"/>
      <c r="D3" s="252" t="s">
        <v>38</v>
      </c>
      <c r="E3" s="252" t="str">
        <f>$C$2&amp;D3</f>
        <v>区位交通较便利</v>
      </c>
      <c r="F3" s="253">
        <v>1.02</v>
      </c>
      <c r="G3" s="254" t="s">
        <v>39</v>
      </c>
      <c r="H3" s="255"/>
      <c r="I3" s="123" t="e">
        <f>J3*#REF!-J3</f>
        <v>#REF!</v>
      </c>
      <c r="J3">
        <v>1350</v>
      </c>
      <c r="K3" s="2">
        <v>1</v>
      </c>
      <c r="L3" s="258" t="s">
        <v>40</v>
      </c>
      <c r="M3" s="224">
        <f>$M$1*K3</f>
        <v>1634.8</v>
      </c>
    </row>
    <row r="4" customHeight="1" spans="1:15">
      <c r="A4" s="257"/>
      <c r="B4" s="257"/>
      <c r="C4" s="251"/>
      <c r="D4" s="252" t="s">
        <v>41</v>
      </c>
      <c r="E4" s="252" t="str">
        <f>$C$2&amp;D4</f>
        <v>区位中心位置</v>
      </c>
      <c r="F4" s="253">
        <v>1</v>
      </c>
      <c r="G4" s="254" t="s">
        <v>42</v>
      </c>
      <c r="H4" s="255"/>
      <c r="I4" s="123">
        <f>J4*F2-J4</f>
        <v>54</v>
      </c>
      <c r="J4">
        <v>1350</v>
      </c>
      <c r="K4" s="2">
        <v>1.5</v>
      </c>
      <c r="L4" s="258" t="s">
        <v>43</v>
      </c>
      <c r="M4" s="224">
        <f>VLOOKUP('【2】运营中心填-基本信息&amp;审核标准'!C2,各村基准价!A:C,3,FALSE)</f>
        <v>2426.1</v>
      </c>
    </row>
    <row r="5" customHeight="1" spans="1:15">
      <c r="A5" s="257"/>
      <c r="B5" s="257"/>
      <c r="C5" s="251"/>
      <c r="D5" s="252" t="s">
        <v>44</v>
      </c>
      <c r="E5" s="252" t="str">
        <f>$C$2&amp;D5</f>
        <v>区位交通较不便</v>
      </c>
      <c r="F5" s="253">
        <v>0.98</v>
      </c>
      <c r="G5" s="254" t="s">
        <v>45</v>
      </c>
      <c r="H5" s="255"/>
      <c r="I5" s="123">
        <f>J5*F3-J5</f>
        <v>27</v>
      </c>
      <c r="J5">
        <v>1350</v>
      </c>
      <c r="K5" s="2">
        <v>2</v>
      </c>
      <c r="L5" s="31" t="s">
        <v>46</v>
      </c>
      <c r="M5" s="224">
        <f t="shared" ref="M5:M11" si="0">$M$1*K5</f>
        <v>3269.6</v>
      </c>
    </row>
    <row r="6" customHeight="1" spans="1:15">
      <c r="A6" s="257"/>
      <c r="B6" s="259"/>
      <c r="C6" s="251"/>
      <c r="D6" s="252" t="s">
        <v>47</v>
      </c>
      <c r="E6" s="252" t="str">
        <f>$C$2&amp;D6</f>
        <v>区位交通很不便</v>
      </c>
      <c r="F6" s="253">
        <v>0.96</v>
      </c>
      <c r="G6" s="254" t="s">
        <v>48</v>
      </c>
      <c r="H6" s="255"/>
      <c r="I6" s="123">
        <v>100</v>
      </c>
      <c r="J6">
        <v>1350</v>
      </c>
      <c r="K6" s="2">
        <v>1</v>
      </c>
      <c r="L6" s="31" t="s">
        <v>49</v>
      </c>
      <c r="M6" s="224">
        <f t="shared" si="0"/>
        <v>1634.8</v>
      </c>
    </row>
    <row r="7" customHeight="1" spans="1:15">
      <c r="A7" s="257"/>
      <c r="B7" s="250">
        <v>2</v>
      </c>
      <c r="C7" s="260" t="s">
        <v>50</v>
      </c>
      <c r="D7" s="1" t="s">
        <v>51</v>
      </c>
      <c r="E7" s="1" t="str">
        <f>$C$7&amp;D7</f>
        <v>有无电梯有</v>
      </c>
      <c r="F7" s="253">
        <v>1.05</v>
      </c>
      <c r="G7" s="261" t="s">
        <v>52</v>
      </c>
      <c r="H7" s="262"/>
      <c r="I7" s="123">
        <v>80</v>
      </c>
      <c r="J7">
        <v>1350</v>
      </c>
      <c r="K7" s="2">
        <v>1</v>
      </c>
      <c r="L7" s="31" t="s">
        <v>53</v>
      </c>
      <c r="M7" s="224">
        <f t="shared" si="0"/>
        <v>1634.8</v>
      </c>
    </row>
    <row r="8" customHeight="1" spans="1:15">
      <c r="A8" s="259"/>
      <c r="B8" s="259"/>
      <c r="C8" s="260"/>
      <c r="D8" s="1" t="s">
        <v>54</v>
      </c>
      <c r="E8" s="1" t="str">
        <f>$C$7&amp;D8</f>
        <v>有无电梯无</v>
      </c>
      <c r="F8" s="253">
        <v>1</v>
      </c>
      <c r="G8" s="261"/>
      <c r="H8" s="262"/>
      <c r="I8" s="123">
        <f>J8*F6-J8</f>
        <v>-54</v>
      </c>
      <c r="J8">
        <v>1350</v>
      </c>
      <c r="K8" s="2">
        <v>1.5</v>
      </c>
      <c r="L8" s="31" t="s">
        <v>55</v>
      </c>
      <c r="M8" s="224">
        <f>M4</f>
        <v>2426.1</v>
      </c>
    </row>
    <row r="9" customHeight="1" spans="1:15">
      <c r="A9" s="263" t="s">
        <v>56</v>
      </c>
      <c r="B9" s="264">
        <v>1</v>
      </c>
      <c r="C9" s="265" t="s">
        <v>57</v>
      </c>
      <c r="D9" s="1" t="s">
        <v>58</v>
      </c>
      <c r="E9" s="1" t="str">
        <f>$C$9&amp;D9</f>
        <v>套内空间很宽敞</v>
      </c>
      <c r="F9" s="253">
        <v>1.1</v>
      </c>
      <c r="G9" s="261" t="s">
        <v>59</v>
      </c>
      <c r="H9" s="262"/>
      <c r="I9" s="123">
        <f>J9*F7-J9</f>
        <v>0</v>
      </c>
      <c r="K9" s="2">
        <v>2</v>
      </c>
      <c r="L9" s="31" t="s">
        <v>60</v>
      </c>
      <c r="M9" s="224">
        <f t="shared" si="0"/>
        <v>3269.6</v>
      </c>
    </row>
    <row r="10" customHeight="1" spans="1:15">
      <c r="A10" s="266"/>
      <c r="B10" s="264"/>
      <c r="C10" s="265"/>
      <c r="D10" s="1" t="s">
        <v>61</v>
      </c>
      <c r="E10" s="1" t="str">
        <f>$C$9&amp;D10</f>
        <v>套内空间较宽敞</v>
      </c>
      <c r="F10" s="253">
        <v>1.06</v>
      </c>
      <c r="G10" s="261"/>
      <c r="H10" s="262"/>
      <c r="I10" s="123">
        <f>J10*F8-J10</f>
        <v>0</v>
      </c>
      <c r="K10" s="2">
        <v>2</v>
      </c>
      <c r="L10" s="31" t="s">
        <v>62</v>
      </c>
      <c r="M10" s="224">
        <f t="shared" si="0"/>
        <v>3269.6</v>
      </c>
    </row>
    <row r="11" customHeight="1" spans="1:15">
      <c r="A11" s="266"/>
      <c r="B11" s="264"/>
      <c r="C11" s="265"/>
      <c r="D11" s="1" t="s">
        <v>63</v>
      </c>
      <c r="E11" s="1" t="str">
        <f>$C$9&amp;D11</f>
        <v>套内空间适中</v>
      </c>
      <c r="F11" s="253">
        <v>1</v>
      </c>
      <c r="G11" s="261"/>
      <c r="H11" s="262"/>
      <c r="I11" s="123" t="e">
        <f>J11*#REF!-J11</f>
        <v>#REF!</v>
      </c>
      <c r="K11" s="2">
        <v>2</v>
      </c>
      <c r="L11" s="31" t="s">
        <v>64</v>
      </c>
      <c r="M11" s="224">
        <f t="shared" si="0"/>
        <v>3269.6</v>
      </c>
    </row>
    <row r="12" customHeight="1" spans="1:15">
      <c r="A12" s="266"/>
      <c r="B12" s="264"/>
      <c r="C12" s="265"/>
      <c r="D12" s="1" t="s">
        <v>65</v>
      </c>
      <c r="E12" s="1" t="str">
        <f>$C$9&amp;D12</f>
        <v>套内空间较狭小</v>
      </c>
      <c r="F12" s="253">
        <v>0.95</v>
      </c>
      <c r="G12" s="261"/>
      <c r="H12" s="262"/>
      <c r="I12" s="123" t="e">
        <f>J12*#REF!-J12</f>
        <v>#REF!</v>
      </c>
    </row>
    <row r="13" customHeight="1" spans="1:15">
      <c r="A13" s="266"/>
      <c r="B13" s="264"/>
      <c r="C13" s="265"/>
      <c r="D13" s="1" t="s">
        <v>66</v>
      </c>
      <c r="E13" s="1" t="str">
        <f>$C$9&amp;D13</f>
        <v>套内空间很狭小</v>
      </c>
      <c r="F13" s="253">
        <v>0.9</v>
      </c>
      <c r="G13" s="261"/>
      <c r="H13" s="262"/>
      <c r="I13" s="123" t="e">
        <f>J13*#REF!-J13</f>
        <v>#REF!</v>
      </c>
    </row>
    <row r="14" s="236" customFormat="1" customHeight="1" spans="1:15">
      <c r="A14" s="266"/>
      <c r="B14" s="263">
        <v>3</v>
      </c>
      <c r="C14" s="265" t="s">
        <v>67</v>
      </c>
      <c r="D14" s="1" t="s">
        <v>51</v>
      </c>
      <c r="E14" s="1" t="str">
        <f>$C$14&amp;D14</f>
        <v>阳台有</v>
      </c>
      <c r="F14" s="253">
        <v>1.07</v>
      </c>
      <c r="G14" s="261"/>
      <c r="H14" s="262"/>
      <c r="I14" s="123" t="e">
        <f>J14*#REF!-J14</f>
        <v>#REF!</v>
      </c>
      <c r="K14" s="46"/>
    </row>
    <row r="15" s="236" customFormat="1" customHeight="1" spans="1:15">
      <c r="A15" s="266"/>
      <c r="B15" s="266"/>
      <c r="C15" s="265"/>
      <c r="D15" s="1" t="s">
        <v>54</v>
      </c>
      <c r="E15" s="1" t="str">
        <f>$C$14&amp;D15</f>
        <v>阳台无</v>
      </c>
      <c r="F15" s="253">
        <v>1</v>
      </c>
      <c r="G15" s="254"/>
      <c r="H15" s="255"/>
      <c r="I15" s="123"/>
      <c r="K15" s="46"/>
    </row>
    <row r="16" customHeight="1" spans="1:15">
      <c r="A16" s="266"/>
      <c r="B16" s="263">
        <v>4</v>
      </c>
      <c r="C16" s="265" t="s">
        <v>68</v>
      </c>
      <c r="D16" s="1" t="s">
        <v>54</v>
      </c>
      <c r="E16" s="1" t="str">
        <f>$C$16&amp;D16</f>
        <v>楼梯房楼层无</v>
      </c>
      <c r="F16" s="253">
        <v>1</v>
      </c>
      <c r="G16" s="261" t="s">
        <v>69</v>
      </c>
      <c r="H16" s="262"/>
      <c r="I16" s="123">
        <f>J16*F11-J16</f>
        <v>0</v>
      </c>
      <c r="J16">
        <v>1350</v>
      </c>
      <c r="K16" s="267" t="s">
        <v>70</v>
      </c>
      <c r="L16" s="268" t="s">
        <v>71</v>
      </c>
      <c r="M16" s="268" t="s">
        <v>72</v>
      </c>
      <c r="N16" s="268" t="s">
        <v>73</v>
      </c>
      <c r="O16" s="268" t="s">
        <v>74</v>
      </c>
    </row>
    <row r="17" customHeight="1" spans="1:15">
      <c r="A17" s="266"/>
      <c r="B17" s="266"/>
      <c r="C17" s="265"/>
      <c r="D17" s="1" t="s">
        <v>75</v>
      </c>
      <c r="E17" s="1" t="str">
        <f>$C$16&amp;D17</f>
        <v>楼梯房楼层1F</v>
      </c>
      <c r="F17" s="253">
        <v>0.91</v>
      </c>
      <c r="G17" s="261"/>
      <c r="H17" s="262"/>
      <c r="I17" s="123">
        <f>J17*F12-J17</f>
        <v>-67.5</v>
      </c>
      <c r="J17">
        <v>1350</v>
      </c>
      <c r="K17" s="269" t="s">
        <v>58</v>
      </c>
      <c r="L17" s="270" t="s">
        <v>76</v>
      </c>
      <c r="M17" s="270" t="s">
        <v>77</v>
      </c>
      <c r="N17" s="270" t="s">
        <v>78</v>
      </c>
      <c r="O17" s="270" t="s">
        <v>79</v>
      </c>
    </row>
    <row r="18" customHeight="1" spans="1:15">
      <c r="A18" s="266"/>
      <c r="B18" s="266"/>
      <c r="C18" s="265"/>
      <c r="D18" s="1" t="s">
        <v>80</v>
      </c>
      <c r="E18" s="1" t="str">
        <f t="shared" ref="E18:E25" si="1">$C$16&amp;D18</f>
        <v>楼梯房楼层2F</v>
      </c>
      <c r="F18" s="253">
        <v>1.02</v>
      </c>
      <c r="G18" s="261"/>
      <c r="H18" s="262"/>
      <c r="I18" s="123">
        <f>J18*F13-J18</f>
        <v>-135</v>
      </c>
      <c r="J18">
        <v>1350</v>
      </c>
      <c r="K18" s="269" t="s">
        <v>61</v>
      </c>
      <c r="L18" s="270" t="s">
        <v>81</v>
      </c>
      <c r="M18" s="270" t="s">
        <v>82</v>
      </c>
      <c r="N18" s="270" t="s">
        <v>83</v>
      </c>
      <c r="O18" s="270" t="s">
        <v>84</v>
      </c>
    </row>
    <row r="19" customHeight="1" spans="1:15">
      <c r="A19" s="266"/>
      <c r="B19" s="266"/>
      <c r="C19" s="265"/>
      <c r="D19" s="1" t="s">
        <v>85</v>
      </c>
      <c r="E19" s="1" t="str">
        <f t="shared" si="1"/>
        <v>楼梯房楼层3F</v>
      </c>
      <c r="F19" s="253">
        <v>1.01</v>
      </c>
      <c r="G19" s="261"/>
      <c r="H19" s="262"/>
      <c r="I19" s="123" t="e">
        <f>J19*#REF!-J19</f>
        <v>#REF!</v>
      </c>
      <c r="J19">
        <v>1350</v>
      </c>
      <c r="K19" s="269" t="s">
        <v>63</v>
      </c>
      <c r="L19" s="270" t="s">
        <v>86</v>
      </c>
      <c r="M19" s="270" t="s">
        <v>87</v>
      </c>
      <c r="N19" s="270" t="s">
        <v>88</v>
      </c>
      <c r="O19" s="270" t="s">
        <v>89</v>
      </c>
    </row>
    <row r="20" customHeight="1" spans="1:15">
      <c r="A20" s="266"/>
      <c r="B20" s="266"/>
      <c r="C20" s="265"/>
      <c r="D20" s="1" t="s">
        <v>90</v>
      </c>
      <c r="E20" s="1" t="str">
        <f t="shared" si="1"/>
        <v>楼梯房楼层4F</v>
      </c>
      <c r="F20" s="253">
        <v>1</v>
      </c>
      <c r="G20" s="261"/>
      <c r="H20" s="262"/>
      <c r="I20" s="123" t="e">
        <f>J20*#REF!-J20</f>
        <v>#REF!</v>
      </c>
      <c r="J20">
        <v>1350</v>
      </c>
      <c r="K20" s="269" t="s">
        <v>65</v>
      </c>
      <c r="L20" s="270" t="s">
        <v>91</v>
      </c>
      <c r="M20" s="270" t="s">
        <v>92</v>
      </c>
      <c r="N20" s="270" t="s">
        <v>93</v>
      </c>
      <c r="O20" s="270" t="s">
        <v>94</v>
      </c>
    </row>
    <row r="21" customHeight="1" spans="1:15">
      <c r="A21" s="266"/>
      <c r="B21" s="266"/>
      <c r="C21" s="265"/>
      <c r="D21" s="1" t="s">
        <v>95</v>
      </c>
      <c r="E21" s="1" t="str">
        <f t="shared" si="1"/>
        <v>楼梯房楼层5F</v>
      </c>
      <c r="F21" s="253">
        <v>0.99</v>
      </c>
      <c r="G21" s="261"/>
      <c r="H21" s="262"/>
      <c r="I21" s="123" t="e">
        <f>J21*#REF!-J21</f>
        <v>#REF!</v>
      </c>
      <c r="J21">
        <v>1350</v>
      </c>
      <c r="K21" s="269" t="s">
        <v>66</v>
      </c>
      <c r="L21" s="270" t="s">
        <v>96</v>
      </c>
      <c r="M21" s="270" t="s">
        <v>97</v>
      </c>
      <c r="N21" s="270" t="s">
        <v>98</v>
      </c>
      <c r="O21" s="270" t="s">
        <v>99</v>
      </c>
    </row>
    <row r="22" customHeight="1" spans="1:15">
      <c r="A22" s="266"/>
      <c r="B22" s="266"/>
      <c r="C22" s="265"/>
      <c r="D22" s="1" t="s">
        <v>100</v>
      </c>
      <c r="E22" s="1" t="str">
        <f t="shared" si="1"/>
        <v>楼梯房楼层6F</v>
      </c>
      <c r="F22" s="253">
        <v>0.98</v>
      </c>
      <c r="G22" s="261"/>
      <c r="H22" s="262"/>
      <c r="I22" s="123" t="e">
        <f>J22*#REF!-J22</f>
        <v>#REF!</v>
      </c>
      <c r="J22">
        <v>1350</v>
      </c>
    </row>
    <row r="23" customHeight="1" spans="1:15">
      <c r="A23" s="266"/>
      <c r="B23" s="266"/>
      <c r="C23" s="265"/>
      <c r="D23" s="1" t="s">
        <v>101</v>
      </c>
      <c r="E23" s="1" t="str">
        <f t="shared" si="1"/>
        <v>楼梯房楼层7F</v>
      </c>
      <c r="F23" s="253">
        <v>0.96</v>
      </c>
      <c r="G23" s="261"/>
      <c r="H23" s="262"/>
      <c r="I23" s="123" t="e">
        <f>J23*#REF!-J23</f>
        <v>#REF!</v>
      </c>
      <c r="J23">
        <v>1350</v>
      </c>
    </row>
    <row r="24" customHeight="1" spans="1:15">
      <c r="A24" s="266"/>
      <c r="B24" s="266"/>
      <c r="C24" s="265"/>
      <c r="D24" s="1" t="s">
        <v>102</v>
      </c>
      <c r="E24" s="1" t="str">
        <f t="shared" si="1"/>
        <v>楼梯房楼层8F</v>
      </c>
      <c r="F24" s="253">
        <v>0.93</v>
      </c>
      <c r="G24" s="261"/>
      <c r="H24" s="262"/>
      <c r="I24" s="123">
        <f>J24*F14-J24</f>
        <v>94.5</v>
      </c>
      <c r="J24">
        <v>1350</v>
      </c>
    </row>
    <row r="25" customHeight="1" spans="1:15">
      <c r="A25" s="266"/>
      <c r="B25" s="271"/>
      <c r="C25" s="265"/>
      <c r="D25" s="1" t="s">
        <v>103</v>
      </c>
      <c r="E25" s="1" t="str">
        <f t="shared" si="1"/>
        <v>楼梯房楼层9F</v>
      </c>
      <c r="F25" s="253">
        <v>0.9</v>
      </c>
      <c r="G25" s="261"/>
      <c r="H25" s="262"/>
      <c r="I25" s="123">
        <f>J25*F15-J25</f>
        <v>0</v>
      </c>
      <c r="J25">
        <v>1350</v>
      </c>
    </row>
    <row r="26" customHeight="1" spans="1:15">
      <c r="A26" s="266"/>
      <c r="B26" s="263">
        <v>5</v>
      </c>
      <c r="C26" s="272" t="s">
        <v>104</v>
      </c>
      <c r="D26" s="1" t="s">
        <v>54</v>
      </c>
      <c r="E26" s="1" t="str">
        <f t="shared" ref="E26:E34" si="2">$C$26&amp;D26</f>
        <v>电梯房楼层无</v>
      </c>
      <c r="F26" s="253">
        <v>1</v>
      </c>
      <c r="G26" s="261"/>
      <c r="H26" s="262"/>
      <c r="I26" s="123" t="e">
        <f>J26*#REF!-J26</f>
        <v>#REF!</v>
      </c>
      <c r="J26">
        <v>1350</v>
      </c>
      <c r="K26" s="273"/>
    </row>
    <row r="27" customHeight="1" spans="1:15">
      <c r="A27" s="266"/>
      <c r="B27" s="266"/>
      <c r="C27" s="274"/>
      <c r="D27" s="1" t="s">
        <v>75</v>
      </c>
      <c r="E27" s="1" t="str">
        <f t="shared" si="2"/>
        <v>电梯房楼层1F</v>
      </c>
      <c r="F27" s="253">
        <v>0.87</v>
      </c>
      <c r="G27" s="261" t="s">
        <v>69</v>
      </c>
      <c r="H27" s="262"/>
    </row>
    <row r="28" customHeight="1" spans="1:15">
      <c r="A28" s="266"/>
      <c r="B28" s="266"/>
      <c r="C28" s="274"/>
      <c r="D28" s="1" t="s">
        <v>105</v>
      </c>
      <c r="E28" s="1" t="str">
        <f t="shared" si="2"/>
        <v>电梯房楼层2-3F</v>
      </c>
      <c r="F28" s="253">
        <v>0.99</v>
      </c>
      <c r="G28" s="261"/>
      <c r="H28" s="262"/>
      <c r="I28" s="123" t="e">
        <f>J28*#REF!-J28</f>
        <v>#REF!</v>
      </c>
    </row>
    <row r="29" customHeight="1" spans="1:15">
      <c r="A29" s="266"/>
      <c r="B29" s="266"/>
      <c r="C29" s="274"/>
      <c r="D29" s="1" t="s">
        <v>90</v>
      </c>
      <c r="E29" s="1" t="str">
        <f t="shared" si="2"/>
        <v>电梯房楼层4F</v>
      </c>
      <c r="F29" s="253">
        <v>1</v>
      </c>
      <c r="G29" s="261"/>
      <c r="H29" s="262"/>
      <c r="I29" s="123">
        <f t="shared" ref="I29" si="3">1325*F16-1325</f>
        <v>0</v>
      </c>
    </row>
    <row r="30" customHeight="1" spans="1:15">
      <c r="A30" s="266"/>
      <c r="B30" s="266"/>
      <c r="C30" s="274"/>
      <c r="D30" s="1" t="s">
        <v>106</v>
      </c>
      <c r="E30" s="1" t="str">
        <f t="shared" si="2"/>
        <v>电梯房楼层5-6F</v>
      </c>
      <c r="F30" s="253">
        <v>1.01</v>
      </c>
      <c r="G30" s="261"/>
      <c r="H30" s="262"/>
    </row>
    <row r="31" customHeight="1" spans="1:15">
      <c r="A31" s="266"/>
      <c r="B31" s="266"/>
      <c r="C31" s="274"/>
      <c r="D31" s="1" t="s">
        <v>107</v>
      </c>
      <c r="E31" s="1" t="str">
        <f t="shared" si="2"/>
        <v>电梯房楼层7-8F</v>
      </c>
      <c r="F31" s="253">
        <v>1.02</v>
      </c>
      <c r="G31" s="261"/>
      <c r="H31" s="262"/>
      <c r="I31" s="123">
        <f>1325*F18-1325</f>
        <v>26.5</v>
      </c>
    </row>
    <row r="32" customHeight="1" spans="1:15">
      <c r="A32" s="266"/>
      <c r="B32" s="266"/>
      <c r="C32" s="274"/>
      <c r="D32" s="1" t="s">
        <v>108</v>
      </c>
      <c r="E32" s="1" t="str">
        <f t="shared" si="2"/>
        <v>电梯房楼层9-10F</v>
      </c>
      <c r="F32" s="253">
        <v>1.03</v>
      </c>
      <c r="G32" s="261"/>
      <c r="H32" s="262"/>
      <c r="I32" s="123">
        <f>1325*F19-1325</f>
        <v>13.25</v>
      </c>
    </row>
    <row r="33" customHeight="1" spans="1:14">
      <c r="A33" s="266"/>
      <c r="B33" s="266"/>
      <c r="C33" s="274"/>
      <c r="D33" s="1" t="s">
        <v>109</v>
      </c>
      <c r="E33" s="1" t="str">
        <f t="shared" si="2"/>
        <v>电梯房楼层11-12F</v>
      </c>
      <c r="F33" s="253">
        <v>1.04</v>
      </c>
      <c r="G33" s="261"/>
      <c r="H33" s="262"/>
      <c r="I33" s="123">
        <f>1325*F20-1325</f>
        <v>0</v>
      </c>
    </row>
    <row r="34" customHeight="1" spans="1:14">
      <c r="A34" s="266"/>
      <c r="B34" s="271"/>
      <c r="C34" s="275"/>
      <c r="D34" s="1" t="s">
        <v>110</v>
      </c>
      <c r="E34" s="1" t="str">
        <f t="shared" si="2"/>
        <v>电梯房楼层13以上F</v>
      </c>
      <c r="F34" s="253">
        <v>1.05</v>
      </c>
      <c r="G34" s="261"/>
      <c r="H34" s="262"/>
      <c r="I34" s="123">
        <f>1325*F21-1325</f>
        <v>-13.25</v>
      </c>
    </row>
    <row r="35" customHeight="1" spans="1:14">
      <c r="A35" s="266"/>
      <c r="B35" s="266">
        <v>6</v>
      </c>
      <c r="C35" s="274" t="s">
        <v>111</v>
      </c>
      <c r="D35" s="1" t="s">
        <v>112</v>
      </c>
      <c r="E35" s="1" t="str">
        <f t="shared" ref="E35:E41" si="4">$C$35&amp;D35</f>
        <v>功能配置（开间）缺失</v>
      </c>
      <c r="F35" s="253">
        <v>0.93</v>
      </c>
      <c r="G35" s="261"/>
      <c r="H35" s="262"/>
    </row>
    <row r="36" customHeight="1" spans="1:14">
      <c r="A36" s="266"/>
      <c r="B36" s="266"/>
      <c r="C36" s="274"/>
      <c r="D36" s="1" t="s">
        <v>113</v>
      </c>
      <c r="E36" s="1" t="str">
        <f t="shared" si="4"/>
        <v>功能配置（开间）缺失（书桌）</v>
      </c>
      <c r="F36" s="253">
        <v>0.98</v>
      </c>
      <c r="G36" s="261"/>
      <c r="H36" s="262"/>
      <c r="I36" s="123">
        <f>1325*F22-1325</f>
        <v>-26.5</v>
      </c>
    </row>
    <row r="37" customHeight="1" spans="1:14">
      <c r="A37" s="266"/>
      <c r="B37" s="266"/>
      <c r="C37" s="274"/>
      <c r="D37" s="1" t="s">
        <v>114</v>
      </c>
      <c r="E37" s="1" t="str">
        <f t="shared" si="4"/>
        <v>功能配置（开间）缺失（操作台）</v>
      </c>
      <c r="F37" s="253">
        <v>0.96</v>
      </c>
      <c r="G37" s="261"/>
      <c r="H37" s="262"/>
      <c r="I37" s="123">
        <f>1325*F23-1325</f>
        <v>-53</v>
      </c>
    </row>
    <row r="38" customHeight="1" spans="1:14">
      <c r="A38" s="266"/>
      <c r="B38" s="266"/>
      <c r="C38" s="274"/>
      <c r="D38" s="1" t="s">
        <v>63</v>
      </c>
      <c r="E38" s="1" t="str">
        <f t="shared" si="4"/>
        <v>功能配置（开间）适中</v>
      </c>
      <c r="F38" s="253">
        <v>1</v>
      </c>
      <c r="G38" s="254"/>
      <c r="H38" s="255"/>
      <c r="I38" s="123">
        <f>1325*F24-1325</f>
        <v>-92.75</v>
      </c>
    </row>
    <row r="39" customHeight="1" spans="1:14">
      <c r="A39" s="266"/>
      <c r="B39" s="266"/>
      <c r="C39" s="274"/>
      <c r="D39" s="1" t="s">
        <v>115</v>
      </c>
      <c r="E39" s="1" t="str">
        <f t="shared" si="4"/>
        <v>功能配置（开间）充足（油烟机/双人沙发）</v>
      </c>
      <c r="F39" s="253">
        <v>1.04</v>
      </c>
      <c r="G39" s="254"/>
      <c r="H39" s="255"/>
      <c r="I39" s="123">
        <f>1325*F25-1325</f>
        <v>-132.5</v>
      </c>
    </row>
    <row r="40" customHeight="1" spans="1:14">
      <c r="A40" s="266"/>
      <c r="B40" s="266"/>
      <c r="C40" s="274"/>
      <c r="D40" s="1" t="s">
        <v>116</v>
      </c>
      <c r="E40" s="1" t="str">
        <f t="shared" si="4"/>
        <v>功能配置（开间）充足（单人沙发/餐桌）</v>
      </c>
      <c r="F40" s="253">
        <v>1.03</v>
      </c>
      <c r="G40" s="254"/>
      <c r="H40" s="255"/>
    </row>
    <row r="41" customHeight="1" spans="1:14">
      <c r="A41" s="266"/>
      <c r="B41" s="271"/>
      <c r="C41" s="275"/>
      <c r="D41" s="1" t="s">
        <v>117</v>
      </c>
      <c r="E41" s="1" t="str">
        <f t="shared" si="4"/>
        <v>功能配置（开间）非常充足</v>
      </c>
      <c r="F41" s="253">
        <v>1.06</v>
      </c>
      <c r="G41" s="254"/>
      <c r="H41" s="255"/>
      <c r="I41" s="123">
        <f>1325*F27-1325</f>
        <v>-172.25</v>
      </c>
    </row>
    <row r="42" customHeight="1" spans="1:14">
      <c r="A42" s="266"/>
      <c r="B42" s="266"/>
      <c r="C42" s="272" t="s">
        <v>118</v>
      </c>
      <c r="D42" s="1">
        <v>5</v>
      </c>
      <c r="E42" s="1" t="str">
        <f>$C$42&amp;D42</f>
        <v>采光5</v>
      </c>
      <c r="F42" s="253">
        <v>1.06</v>
      </c>
      <c r="G42" s="254" t="s">
        <v>119</v>
      </c>
      <c r="H42" s="276"/>
    </row>
    <row r="43" customHeight="1" spans="1:14">
      <c r="A43" s="266"/>
      <c r="B43" s="266"/>
      <c r="C43" s="274"/>
      <c r="D43" s="1">
        <v>4</v>
      </c>
      <c r="E43" s="1" t="str">
        <f>$C$42&amp;D43</f>
        <v>采光4</v>
      </c>
      <c r="F43" s="253">
        <v>1.03</v>
      </c>
      <c r="G43" s="254"/>
      <c r="H43" s="277"/>
    </row>
    <row r="44" customHeight="1" spans="1:14">
      <c r="A44" s="266"/>
      <c r="B44" s="266"/>
      <c r="C44" s="274"/>
      <c r="D44" s="1">
        <v>3</v>
      </c>
      <c r="E44" s="1" t="str">
        <f>$C$42&amp;D44</f>
        <v>采光3</v>
      </c>
      <c r="F44" s="253">
        <v>1</v>
      </c>
      <c r="G44" s="261"/>
      <c r="H44" s="276"/>
      <c r="I44" s="123">
        <f>1325*F31-1325</f>
        <v>26.5</v>
      </c>
    </row>
    <row r="45" customHeight="1" spans="1:14">
      <c r="A45" s="266"/>
      <c r="B45" s="266"/>
      <c r="C45" s="274"/>
      <c r="D45" s="1">
        <v>2</v>
      </c>
      <c r="E45" s="1" t="str">
        <f>$C$42&amp;D45</f>
        <v>采光2</v>
      </c>
      <c r="F45" s="253">
        <v>0.96</v>
      </c>
      <c r="G45" s="254"/>
      <c r="H45" s="277"/>
      <c r="I45" s="123">
        <f t="shared" ref="I45:I46" si="5">1325*F32-1325</f>
        <v>39.75</v>
      </c>
    </row>
    <row r="46" customHeight="1" spans="1:14">
      <c r="A46" s="266"/>
      <c r="B46" s="266"/>
      <c r="C46" s="275"/>
      <c r="D46" s="1">
        <v>1</v>
      </c>
      <c r="E46" s="1" t="str">
        <f>$C$42&amp;D46</f>
        <v>采光1</v>
      </c>
      <c r="F46" s="253">
        <v>0.91</v>
      </c>
      <c r="G46" s="261"/>
      <c r="H46" s="277"/>
      <c r="I46" s="123">
        <f t="shared" si="5"/>
        <v>53</v>
      </c>
      <c r="L46" s="237"/>
      <c r="M46" s="237"/>
      <c r="N46" s="237"/>
    </row>
    <row r="47" customHeight="1" spans="1:14">
      <c r="A47" s="266"/>
      <c r="B47" s="266">
        <v>8</v>
      </c>
      <c r="C47" s="278" t="s">
        <v>120</v>
      </c>
      <c r="D47" s="1" t="s">
        <v>112</v>
      </c>
      <c r="E47" s="279" t="str">
        <f t="shared" ref="E47:E53" si="6">$C$47&amp;D47</f>
        <v>功能配置（一居）缺失</v>
      </c>
      <c r="F47" s="253">
        <v>0.93</v>
      </c>
      <c r="G47" s="261"/>
      <c r="H47" s="277"/>
      <c r="L47" s="237"/>
      <c r="M47" s="237"/>
      <c r="N47" s="237"/>
    </row>
    <row r="48" customHeight="1" spans="1:14">
      <c r="A48" s="266"/>
      <c r="B48" s="266"/>
      <c r="C48" s="280"/>
      <c r="D48" s="279" t="s">
        <v>121</v>
      </c>
      <c r="E48" s="279" t="str">
        <f t="shared" si="6"/>
        <v>功能配置（一居）缺失（操作台/双人沙发）</v>
      </c>
      <c r="F48" s="253">
        <v>0.96</v>
      </c>
      <c r="G48" s="254"/>
      <c r="H48" s="279"/>
      <c r="K48" s="281" t="s">
        <v>122</v>
      </c>
      <c r="L48" s="282" t="s">
        <v>123</v>
      </c>
      <c r="M48" s="282" t="s">
        <v>73</v>
      </c>
      <c r="N48" s="283" t="s">
        <v>74</v>
      </c>
    </row>
    <row r="49" customHeight="1" spans="1:14">
      <c r="A49" s="266"/>
      <c r="B49" s="266"/>
      <c r="C49" s="280"/>
      <c r="D49" s="279" t="s">
        <v>124</v>
      </c>
      <c r="E49" s="279" t="str">
        <f t="shared" si="6"/>
        <v>功能配置（一居）缺失（餐桌）</v>
      </c>
      <c r="F49" s="253">
        <v>0.98</v>
      </c>
      <c r="G49" s="254"/>
      <c r="H49" s="279"/>
      <c r="I49" s="123">
        <f>J49*F36-J49</f>
        <v>-27</v>
      </c>
      <c r="J49">
        <v>1350</v>
      </c>
      <c r="K49" s="284" t="s">
        <v>112</v>
      </c>
      <c r="L49" s="285" t="s">
        <v>125</v>
      </c>
      <c r="M49" s="286" t="s">
        <v>126</v>
      </c>
      <c r="N49" s="287" t="s">
        <v>127</v>
      </c>
    </row>
    <row r="50" customHeight="1" spans="1:14">
      <c r="A50" s="266"/>
      <c r="B50" s="266"/>
      <c r="C50" s="280"/>
      <c r="D50" s="279" t="s">
        <v>63</v>
      </c>
      <c r="E50" s="279" t="str">
        <f t="shared" si="6"/>
        <v>功能配置（一居）适中</v>
      </c>
      <c r="F50" s="253">
        <v>1</v>
      </c>
      <c r="G50" s="254"/>
      <c r="H50" s="279"/>
      <c r="K50" s="284" t="s">
        <v>63</v>
      </c>
      <c r="L50" s="286" t="s">
        <v>128</v>
      </c>
      <c r="M50" s="286" t="s">
        <v>129</v>
      </c>
      <c r="N50" s="287" t="s">
        <v>130</v>
      </c>
    </row>
    <row r="51" customHeight="1" spans="1:14">
      <c r="A51" s="266"/>
      <c r="B51" s="266"/>
      <c r="C51" s="280"/>
      <c r="D51" s="279" t="s">
        <v>131</v>
      </c>
      <c r="E51" s="279" t="str">
        <f t="shared" si="6"/>
        <v>功能配置（一居）充配（书桌）</v>
      </c>
      <c r="F51" s="253">
        <v>1.02</v>
      </c>
      <c r="G51" s="254"/>
      <c r="H51" s="279"/>
      <c r="I51" s="123">
        <f>J51*F38-J51</f>
        <v>0</v>
      </c>
      <c r="J51">
        <v>1350</v>
      </c>
      <c r="K51" s="284" t="s">
        <v>132</v>
      </c>
      <c r="L51" s="288" t="s">
        <v>133</v>
      </c>
      <c r="M51" s="288" t="s">
        <v>134</v>
      </c>
      <c r="N51" s="289" t="s">
        <v>135</v>
      </c>
    </row>
    <row r="52" customHeight="1" spans="1:14">
      <c r="A52" s="266"/>
      <c r="B52" s="266"/>
      <c r="C52" s="280"/>
      <c r="D52" s="279" t="s">
        <v>136</v>
      </c>
      <c r="E52" s="279" t="str">
        <f t="shared" si="6"/>
        <v>功能配置（一居）充配（油烟机）</v>
      </c>
      <c r="F52" s="253">
        <v>1.04</v>
      </c>
      <c r="G52" s="254"/>
      <c r="H52" s="279"/>
      <c r="I52" s="123">
        <f>J52*F39-J52</f>
        <v>54</v>
      </c>
      <c r="J52">
        <v>1350</v>
      </c>
      <c r="K52" s="284" t="s">
        <v>117</v>
      </c>
      <c r="L52" s="288" t="s">
        <v>137</v>
      </c>
      <c r="M52" s="288" t="s">
        <v>138</v>
      </c>
      <c r="N52" s="289" t="s">
        <v>139</v>
      </c>
    </row>
    <row r="53" customHeight="1" spans="1:14">
      <c r="A53" s="266"/>
      <c r="B53" s="271"/>
      <c r="C53" s="290"/>
      <c r="D53" s="279" t="s">
        <v>140</v>
      </c>
      <c r="E53" s="279" t="str">
        <f t="shared" si="6"/>
        <v>功能配置（一居）非常充配</v>
      </c>
      <c r="F53" s="253">
        <v>1.06</v>
      </c>
      <c r="G53" s="254"/>
      <c r="H53" s="279"/>
    </row>
    <row r="54" customHeight="1" spans="1:14">
      <c r="A54" s="266"/>
      <c r="B54" s="264">
        <v>9</v>
      </c>
      <c r="C54" s="278" t="s">
        <v>141</v>
      </c>
      <c r="D54" s="1" t="s">
        <v>112</v>
      </c>
      <c r="E54" s="279" t="str">
        <f t="shared" ref="E54:E59" si="7">$C$54&amp;D54</f>
        <v>功能配置（二居）缺失</v>
      </c>
      <c r="F54" s="291">
        <v>0.93</v>
      </c>
      <c r="G54" s="254"/>
      <c r="H54" s="279"/>
    </row>
    <row r="55" customHeight="1" spans="1:14">
      <c r="A55" s="266"/>
      <c r="B55" s="264"/>
      <c r="C55" s="280"/>
      <c r="D55" s="279" t="s">
        <v>142</v>
      </c>
      <c r="E55" s="279" t="str">
        <f t="shared" si="7"/>
        <v>功能配置（二居）缺失（沙发/餐桌）</v>
      </c>
      <c r="F55" s="291">
        <v>0.96</v>
      </c>
      <c r="G55" s="254"/>
      <c r="H55" s="279"/>
    </row>
    <row r="56" customHeight="1" spans="1:14">
      <c r="A56" s="266"/>
      <c r="B56" s="264"/>
      <c r="C56" s="280"/>
      <c r="D56" s="279" t="s">
        <v>143</v>
      </c>
      <c r="E56" s="279" t="str">
        <f t="shared" si="7"/>
        <v>功能配置（二居）缺失（电视柜/操作台）</v>
      </c>
      <c r="F56" s="291">
        <v>0.98</v>
      </c>
      <c r="G56" s="254"/>
      <c r="H56" s="279"/>
    </row>
    <row r="57" customHeight="1" spans="1:14">
      <c r="A57" s="266"/>
      <c r="B57" s="264"/>
      <c r="C57" s="280"/>
      <c r="D57" s="279" t="s">
        <v>63</v>
      </c>
      <c r="E57" s="279" t="str">
        <f t="shared" si="7"/>
        <v>功能配置（二居）适中</v>
      </c>
      <c r="F57" s="291">
        <v>1</v>
      </c>
      <c r="G57" s="254"/>
      <c r="H57" s="279"/>
    </row>
    <row r="58" customHeight="1" spans="1:14">
      <c r="A58" s="266"/>
      <c r="B58" s="264"/>
      <c r="C58" s="280"/>
      <c r="D58" s="279" t="s">
        <v>144</v>
      </c>
      <c r="E58" s="279" t="str">
        <f t="shared" si="7"/>
        <v>功能配置（二居）充配（油烟机/冰箱）</v>
      </c>
      <c r="F58" s="291">
        <v>1.04</v>
      </c>
      <c r="G58" s="254"/>
      <c r="H58" s="279"/>
    </row>
    <row r="59" customHeight="1" spans="1:14">
      <c r="A59" s="266"/>
      <c r="B59" s="264"/>
      <c r="C59" s="290"/>
      <c r="D59" s="279" t="s">
        <v>140</v>
      </c>
      <c r="E59" s="279" t="str">
        <f t="shared" si="7"/>
        <v>功能配置（二居）非常充配</v>
      </c>
      <c r="F59" s="291">
        <v>1.06</v>
      </c>
      <c r="G59" s="254"/>
      <c r="H59" s="279"/>
    </row>
    <row r="60" customHeight="1" spans="1:14">
      <c r="A60" s="292"/>
      <c r="B60" s="57"/>
      <c r="C60" s="293" t="s">
        <v>145</v>
      </c>
      <c r="D60" s="294" t="s">
        <v>146</v>
      </c>
      <c r="E60" s="294"/>
      <c r="F60" s="295">
        <v>1</v>
      </c>
      <c r="G60" s="296"/>
      <c r="H60" s="296" t="s">
        <v>147</v>
      </c>
    </row>
    <row r="61" customHeight="1" spans="1:14">
      <c r="A61" s="292"/>
      <c r="B61" s="57"/>
      <c r="C61" s="293"/>
      <c r="D61" s="294" t="s">
        <v>148</v>
      </c>
      <c r="E61" s="294"/>
      <c r="F61" s="295">
        <v>0.975</v>
      </c>
      <c r="G61" s="296"/>
      <c r="H61" s="296" t="s">
        <v>147</v>
      </c>
      <c r="I61" s="123" t="e">
        <f>J61*#REF!-J61</f>
        <v>#REF!</v>
      </c>
      <c r="J61">
        <v>1350</v>
      </c>
    </row>
    <row r="62" customHeight="1" spans="1:14">
      <c r="A62" s="292"/>
      <c r="B62" s="57"/>
      <c r="C62" s="293"/>
      <c r="D62" s="294" t="s">
        <v>149</v>
      </c>
      <c r="E62" s="294"/>
      <c r="F62" s="295">
        <v>0.95</v>
      </c>
      <c r="G62" s="296"/>
      <c r="H62" s="296" t="s">
        <v>147</v>
      </c>
      <c r="I62" s="123">
        <f>J62*F42-J62</f>
        <v>81</v>
      </c>
      <c r="J62">
        <v>1350</v>
      </c>
    </row>
    <row r="63" customHeight="1" spans="1:14">
      <c r="A63" s="292"/>
      <c r="B63" s="57"/>
      <c r="C63" s="293"/>
      <c r="D63" s="294" t="s">
        <v>150</v>
      </c>
      <c r="E63" s="294"/>
      <c r="F63" s="295">
        <v>0.91</v>
      </c>
      <c r="G63" s="296"/>
      <c r="H63" s="296" t="s">
        <v>147</v>
      </c>
      <c r="I63" s="123">
        <f t="shared" ref="I63:I65" si="8">J63*F43-J63</f>
        <v>40.5</v>
      </c>
      <c r="J63">
        <v>1350</v>
      </c>
    </row>
    <row r="64" customHeight="1" spans="1:14">
      <c r="A64" s="292"/>
      <c r="B64" s="57"/>
      <c r="C64" s="293" t="s">
        <v>151</v>
      </c>
      <c r="D64" s="294" t="s">
        <v>152</v>
      </c>
      <c r="E64" s="294"/>
      <c r="F64" s="295">
        <v>1.045</v>
      </c>
      <c r="G64" s="296" t="s">
        <v>153</v>
      </c>
      <c r="H64" s="296" t="s">
        <v>147</v>
      </c>
      <c r="I64" s="123">
        <f t="shared" si="8"/>
        <v>0</v>
      </c>
      <c r="J64">
        <v>1350</v>
      </c>
    </row>
    <row r="65" customHeight="1" spans="1:14">
      <c r="A65" s="292"/>
      <c r="B65" s="57"/>
      <c r="C65" s="293"/>
      <c r="D65" s="294" t="s">
        <v>154</v>
      </c>
      <c r="E65" s="294"/>
      <c r="F65" s="295">
        <v>1.02</v>
      </c>
      <c r="G65" s="296" t="s">
        <v>155</v>
      </c>
      <c r="H65" s="296" t="s">
        <v>147</v>
      </c>
      <c r="I65" s="123">
        <f t="shared" si="8"/>
        <v>-54</v>
      </c>
      <c r="J65">
        <v>1350</v>
      </c>
      <c r="K65" s="297"/>
      <c r="L65" s="237"/>
      <c r="M65" s="237"/>
      <c r="N65" s="237"/>
    </row>
    <row r="66" customHeight="1" spans="1:14">
      <c r="A66" s="292"/>
      <c r="B66" s="57"/>
      <c r="C66" s="293"/>
      <c r="D66" s="294" t="s">
        <v>63</v>
      </c>
      <c r="E66" s="294"/>
      <c r="F66" s="295">
        <v>1</v>
      </c>
      <c r="G66" s="296" t="s">
        <v>156</v>
      </c>
      <c r="H66" s="296" t="s">
        <v>147</v>
      </c>
      <c r="K66" s="297"/>
      <c r="L66" s="237"/>
      <c r="M66" s="237"/>
      <c r="N66" s="237"/>
    </row>
    <row r="67" s="237" customFormat="1" customHeight="1" spans="1:14">
      <c r="A67" s="292"/>
      <c r="B67" s="57"/>
      <c r="C67" s="293"/>
      <c r="D67" s="294" t="s">
        <v>157</v>
      </c>
      <c r="E67" s="294"/>
      <c r="F67" s="295">
        <v>0.95</v>
      </c>
      <c r="G67" s="296" t="s">
        <v>158</v>
      </c>
      <c r="H67" s="296" t="s">
        <v>147</v>
      </c>
      <c r="I67" s="298">
        <f>J67*F48-J67</f>
        <v>-58</v>
      </c>
      <c r="J67" s="237">
        <v>1450</v>
      </c>
      <c r="K67" s="297"/>
    </row>
    <row r="68" s="237" customFormat="1" customHeight="1" spans="1:14">
      <c r="A68" s="292"/>
      <c r="B68" s="57"/>
      <c r="C68" s="293" t="s">
        <v>159</v>
      </c>
      <c r="D68" s="294" t="s">
        <v>54</v>
      </c>
      <c r="E68" s="294"/>
      <c r="F68" s="295">
        <v>1</v>
      </c>
      <c r="G68" s="299" t="s">
        <v>160</v>
      </c>
      <c r="H68" s="296" t="s">
        <v>147</v>
      </c>
      <c r="I68" s="298">
        <f>J68*F49-J68</f>
        <v>-29</v>
      </c>
      <c r="J68" s="237">
        <v>1450</v>
      </c>
      <c r="K68" s="297"/>
    </row>
    <row r="69" s="237" customFormat="1" customHeight="1" spans="1:14">
      <c r="A69" s="292"/>
      <c r="B69" s="57"/>
      <c r="C69" s="293"/>
      <c r="D69" s="294" t="s">
        <v>161</v>
      </c>
      <c r="E69" s="294"/>
      <c r="F69" s="295">
        <v>0.975</v>
      </c>
      <c r="G69" s="299"/>
      <c r="H69" s="296" t="s">
        <v>147</v>
      </c>
      <c r="I69" s="298">
        <f>J69*F50-J69</f>
        <v>0</v>
      </c>
      <c r="J69" s="237">
        <v>1450</v>
      </c>
      <c r="K69" s="297"/>
    </row>
    <row r="70" s="237" customFormat="1" customHeight="1" spans="1:14">
      <c r="A70" s="292"/>
      <c r="B70" s="57"/>
      <c r="C70" s="293"/>
      <c r="D70" s="294" t="s">
        <v>162</v>
      </c>
      <c r="E70" s="294"/>
      <c r="F70" s="295">
        <v>0.95</v>
      </c>
      <c r="G70" s="299"/>
      <c r="H70" s="296" t="s">
        <v>147</v>
      </c>
      <c r="I70" s="298"/>
      <c r="K70" s="297"/>
    </row>
    <row r="71" s="237" customFormat="1" customHeight="1" spans="1:14">
      <c r="A71" s="292"/>
      <c r="B71" s="57"/>
      <c r="C71" s="293"/>
      <c r="D71" s="294" t="s">
        <v>163</v>
      </c>
      <c r="E71" s="294"/>
      <c r="F71" s="295">
        <v>0.91</v>
      </c>
      <c r="G71" s="299"/>
      <c r="H71" s="296" t="s">
        <v>147</v>
      </c>
      <c r="I71" s="298"/>
      <c r="K71" s="2"/>
      <c r="L71"/>
      <c r="M71"/>
      <c r="N71"/>
    </row>
    <row r="72" s="237" customFormat="1" customHeight="1" spans="1:14">
      <c r="A72" s="292"/>
      <c r="B72" s="57"/>
      <c r="C72" s="293" t="s">
        <v>164</v>
      </c>
      <c r="D72" s="294" t="s">
        <v>54</v>
      </c>
      <c r="E72" s="294"/>
      <c r="F72" s="295">
        <v>1</v>
      </c>
      <c r="G72" s="299" t="s">
        <v>165</v>
      </c>
      <c r="H72" s="296" t="s">
        <v>147</v>
      </c>
      <c r="I72" s="298">
        <f>J72*F53-J72</f>
        <v>180</v>
      </c>
      <c r="J72" s="237">
        <v>3000</v>
      </c>
      <c r="K72" s="2"/>
      <c r="L72"/>
      <c r="M72"/>
      <c r="N72"/>
    </row>
    <row r="73" customHeight="1" spans="1:14">
      <c r="A73" s="292"/>
      <c r="B73" s="57"/>
      <c r="C73" s="293"/>
      <c r="D73" s="294" t="s">
        <v>161</v>
      </c>
      <c r="E73" s="294"/>
      <c r="F73" s="295">
        <v>0.975</v>
      </c>
      <c r="G73" s="299"/>
      <c r="H73" s="296" t="s">
        <v>147</v>
      </c>
    </row>
    <row r="74" customHeight="1" spans="1:14">
      <c r="A74" s="292"/>
      <c r="B74" s="57"/>
      <c r="C74" s="293"/>
      <c r="D74" s="294" t="s">
        <v>162</v>
      </c>
      <c r="E74" s="294"/>
      <c r="F74" s="295">
        <v>0.945</v>
      </c>
      <c r="G74" s="299"/>
      <c r="H74" s="296" t="s">
        <v>147</v>
      </c>
    </row>
    <row r="75" customHeight="1" spans="1:14">
      <c r="A75" s="292"/>
      <c r="B75" s="57"/>
      <c r="C75" s="293"/>
      <c r="D75" s="294" t="s">
        <v>163</v>
      </c>
      <c r="E75" s="294"/>
      <c r="F75" s="295">
        <v>0.9</v>
      </c>
      <c r="G75" s="299"/>
      <c r="H75" s="296" t="s">
        <v>147</v>
      </c>
    </row>
    <row r="81" customHeight="1" spans="9:9">
      <c r="I81" s="123">
        <f t="shared" ref="I81:I88" si="9">J81*F68-J81</f>
        <v>0</v>
      </c>
    </row>
    <row r="82" customHeight="1" spans="9:9">
      <c r="I82" s="123">
        <f t="shared" si="9"/>
        <v>0</v>
      </c>
    </row>
    <row r="83" customHeight="1" spans="9:9">
      <c r="I83" s="123">
        <f t="shared" si="9"/>
        <v>0</v>
      </c>
    </row>
    <row r="84" customHeight="1" spans="9:9">
      <c r="I84" s="123">
        <f t="shared" si="9"/>
        <v>0</v>
      </c>
    </row>
    <row r="85" customHeight="1" spans="9:9">
      <c r="I85" s="123">
        <f t="shared" si="9"/>
        <v>0</v>
      </c>
    </row>
    <row r="86" customHeight="1" spans="9:9">
      <c r="I86" s="123">
        <f t="shared" si="9"/>
        <v>0</v>
      </c>
    </row>
    <row r="87" customHeight="1" spans="9:9">
      <c r="I87" s="123">
        <f t="shared" si="9"/>
        <v>0</v>
      </c>
    </row>
    <row r="88" customHeight="1" spans="9:9">
      <c r="I88" s="123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"/>
  <sheetViews>
    <sheetView workbookViewId="0">
      <selection activeCell="A2" sqref="A2"/>
    </sheetView>
  </sheetViews>
  <sheetFormatPr defaultColWidth="11" defaultRowHeight="14" outlineLevelCol="5"/>
  <cols>
    <col min="1" max="1" width="16" customWidth="1"/>
    <col min="2" max="3" width="8.75" customWidth="1"/>
  </cols>
  <sheetData>
    <row r="1" ht="16.5" spans="1:6">
      <c r="A1" s="225" t="s">
        <v>166</v>
      </c>
      <c r="B1" s="226" t="s">
        <v>40</v>
      </c>
      <c r="C1" s="226" t="s">
        <v>43</v>
      </c>
    </row>
    <row r="2" ht="16.5" spans="1:6">
      <c r="A2" s="227" t="s">
        <v>167</v>
      </c>
      <c r="B2" s="228">
        <v>2075.1</v>
      </c>
      <c r="C2" s="228">
        <v>2847.2</v>
      </c>
      <c r="E2" s="229"/>
      <c r="F2" s="229"/>
    </row>
    <row r="3" ht="16.5" spans="1:6">
      <c r="A3" s="227" t="s">
        <v>168</v>
      </c>
      <c r="B3" s="228">
        <v>2080.7</v>
      </c>
      <c r="C3" s="228">
        <v>2851.9</v>
      </c>
      <c r="E3" s="229"/>
      <c r="F3" s="229"/>
    </row>
    <row r="4" ht="16.5" spans="1:6">
      <c r="A4" s="227" t="s">
        <v>169</v>
      </c>
      <c r="B4" s="228">
        <v>2075.2</v>
      </c>
      <c r="C4" s="228">
        <v>2847.3</v>
      </c>
      <c r="E4" s="229"/>
      <c r="F4" s="229"/>
    </row>
    <row r="5" ht="16.5" spans="1:6">
      <c r="A5" s="230" t="s">
        <v>170</v>
      </c>
      <c r="B5" s="228">
        <v>2200.7</v>
      </c>
      <c r="C5" s="228">
        <v>2945.6</v>
      </c>
      <c r="E5" s="229"/>
      <c r="F5" s="229"/>
    </row>
    <row r="6" ht="16.5" spans="1:6">
      <c r="A6" s="227" t="s">
        <v>171</v>
      </c>
      <c r="B6" s="228">
        <v>1889.9</v>
      </c>
      <c r="C6" s="228">
        <v>2669.3</v>
      </c>
      <c r="E6" s="229"/>
      <c r="F6" s="229"/>
    </row>
    <row r="7" ht="16.5" spans="1:6">
      <c r="A7" s="227" t="s">
        <v>172</v>
      </c>
      <c r="B7" s="228">
        <v>1585.3</v>
      </c>
      <c r="C7" s="228">
        <v>2353.9</v>
      </c>
      <c r="E7" s="229"/>
      <c r="F7" s="229"/>
    </row>
    <row r="8" ht="16.5" spans="1:6">
      <c r="A8" s="227" t="s">
        <v>173</v>
      </c>
      <c r="B8" s="228">
        <v>1707.9</v>
      </c>
      <c r="C8" s="228">
        <v>2486.2</v>
      </c>
      <c r="E8" s="229"/>
      <c r="F8" s="229"/>
    </row>
    <row r="9" ht="16.5" spans="1:6">
      <c r="A9" s="227" t="s">
        <v>174</v>
      </c>
      <c r="B9" s="228">
        <v>1943.3</v>
      </c>
      <c r="C9" s="228">
        <v>2720.1</v>
      </c>
      <c r="E9" s="229"/>
      <c r="F9" s="229"/>
    </row>
    <row r="10" ht="16.5" spans="1:6">
      <c r="A10" s="227" t="s">
        <v>175</v>
      </c>
      <c r="B10" s="228">
        <v>1530.2</v>
      </c>
      <c r="C10" s="228">
        <v>2292.2</v>
      </c>
      <c r="E10" s="229"/>
      <c r="F10" s="229"/>
    </row>
    <row r="11" ht="16.5" spans="1:6">
      <c r="A11" s="227" t="s">
        <v>176</v>
      </c>
      <c r="B11" s="228">
        <v>1530.7</v>
      </c>
      <c r="C11" s="228">
        <v>2292.8</v>
      </c>
      <c r="E11" s="229"/>
      <c r="F11" s="229"/>
    </row>
    <row r="12" ht="16.5" spans="1:6">
      <c r="A12" s="227" t="s">
        <v>177</v>
      </c>
      <c r="B12" s="228">
        <v>1624.6</v>
      </c>
      <c r="C12" s="228">
        <v>2397.1</v>
      </c>
      <c r="E12" s="229"/>
      <c r="F12" s="229"/>
    </row>
    <row r="13" ht="16.5" spans="1:6">
      <c r="A13" s="227" t="s">
        <v>178</v>
      </c>
      <c r="B13" s="228">
        <v>1748.1</v>
      </c>
      <c r="C13" s="228">
        <v>2528</v>
      </c>
      <c r="E13" s="229"/>
      <c r="F13" s="229"/>
    </row>
    <row r="14" ht="16.5" spans="1:6">
      <c r="A14" s="227" t="s">
        <v>179</v>
      </c>
      <c r="B14" s="228">
        <v>1771.8</v>
      </c>
      <c r="C14" s="228">
        <v>2552.2</v>
      </c>
      <c r="E14" s="229"/>
      <c r="F14" s="229"/>
    </row>
    <row r="15" ht="16.5" spans="1:6">
      <c r="A15" s="227" t="s">
        <v>180</v>
      </c>
      <c r="B15" s="228">
        <v>2149.8</v>
      </c>
      <c r="C15" s="228">
        <v>2903.4</v>
      </c>
      <c r="E15" s="229"/>
      <c r="F15" s="229"/>
    </row>
    <row r="16" ht="16.5" spans="1:6">
      <c r="A16" s="227" t="s">
        <v>181</v>
      </c>
      <c r="B16" s="228">
        <v>2133.4</v>
      </c>
      <c r="C16" s="228">
        <v>2889.6</v>
      </c>
      <c r="E16" s="229"/>
      <c r="F16" s="229"/>
    </row>
    <row r="17" ht="16.5" spans="1:6">
      <c r="A17" s="227" t="s">
        <v>182</v>
      </c>
      <c r="B17" s="228">
        <v>2287.2</v>
      </c>
      <c r="C17" s="228">
        <v>3014.3</v>
      </c>
      <c r="E17" s="229"/>
      <c r="F17" s="229"/>
    </row>
    <row r="18" ht="16.5" spans="1:6">
      <c r="A18" s="227" t="s">
        <v>183</v>
      </c>
      <c r="B18" s="228">
        <v>2223.2</v>
      </c>
      <c r="C18" s="228">
        <v>2963.8</v>
      </c>
      <c r="E18" s="229"/>
      <c r="F18" s="229"/>
    </row>
    <row r="19" ht="16.5" spans="1:6">
      <c r="A19" s="227" t="s">
        <v>184</v>
      </c>
      <c r="B19" s="228">
        <v>1612.1</v>
      </c>
      <c r="C19" s="228">
        <v>2402.5</v>
      </c>
      <c r="E19" s="229"/>
      <c r="F19" s="229"/>
    </row>
    <row r="20" ht="16.5" spans="1:6">
      <c r="A20" s="227" t="s">
        <v>185</v>
      </c>
      <c r="B20" s="228">
        <v>1594.1</v>
      </c>
      <c r="C20" s="228">
        <v>2402.5</v>
      </c>
      <c r="E20" s="229"/>
      <c r="F20" s="229"/>
    </row>
    <row r="21" ht="16.5" spans="1:6">
      <c r="A21" s="227" t="s">
        <v>186</v>
      </c>
      <c r="B21" s="228">
        <v>1594.1</v>
      </c>
      <c r="C21" s="228">
        <v>2402.5</v>
      </c>
      <c r="E21" s="229"/>
      <c r="F21" s="229"/>
    </row>
    <row r="22" ht="16.5" spans="1:6">
      <c r="A22" s="227" t="s">
        <v>187</v>
      </c>
      <c r="B22" s="228">
        <v>2755.7</v>
      </c>
      <c r="C22" s="228">
        <v>3302.1</v>
      </c>
      <c r="E22" s="229"/>
      <c r="F22" s="229"/>
    </row>
    <row r="23" ht="16.5" spans="1:6">
      <c r="A23" s="227" t="s">
        <v>188</v>
      </c>
      <c r="B23" s="228">
        <v>1221.3</v>
      </c>
      <c r="C23" s="228">
        <v>1941.9</v>
      </c>
      <c r="E23" s="229"/>
      <c r="F23" s="229"/>
    </row>
    <row r="24" ht="16.5" spans="1:6">
      <c r="A24" s="227" t="s">
        <v>189</v>
      </c>
      <c r="B24" s="228">
        <v>1634.8</v>
      </c>
      <c r="C24" s="228">
        <v>2426.1</v>
      </c>
      <c r="E24" s="229"/>
      <c r="F24" s="229"/>
    </row>
    <row r="25" ht="16.5" spans="1:6">
      <c r="A25" s="227" t="s">
        <v>190</v>
      </c>
      <c r="B25" s="228">
        <v>1376.8</v>
      </c>
      <c r="C25" s="228">
        <v>2133.5</v>
      </c>
      <c r="E25" s="229"/>
      <c r="F25" s="229"/>
    </row>
    <row r="26" ht="16.5" spans="1:6">
      <c r="A26" s="231" t="s">
        <v>191</v>
      </c>
      <c r="B26" s="232">
        <v>974.7</v>
      </c>
      <c r="C26" s="232">
        <v>1610.2</v>
      </c>
      <c r="E26" s="229"/>
      <c r="F26" s="229"/>
    </row>
    <row r="27" ht="16.5" spans="1:6">
      <c r="A27" s="227" t="s">
        <v>192</v>
      </c>
      <c r="B27" s="228">
        <v>2522.7</v>
      </c>
      <c r="C27" s="228">
        <v>3173.7</v>
      </c>
      <c r="E27" s="229"/>
      <c r="F27" s="229"/>
    </row>
    <row r="28" ht="16.5" spans="1:6">
      <c r="A28" s="227" t="s">
        <v>193</v>
      </c>
      <c r="B28" s="228">
        <v>1176.7</v>
      </c>
      <c r="C28" s="228">
        <v>1750.7</v>
      </c>
      <c r="E28" s="229"/>
      <c r="F28" s="229"/>
    </row>
    <row r="29" ht="16.5" spans="1:6">
      <c r="A29" s="227" t="s">
        <v>194</v>
      </c>
      <c r="B29" s="228">
        <v>1450.9</v>
      </c>
      <c r="C29" s="228">
        <v>2202.1</v>
      </c>
      <c r="E29" s="229"/>
      <c r="F29" s="229"/>
    </row>
    <row r="30" ht="16.5" spans="1:6">
      <c r="A30" s="231" t="s">
        <v>195</v>
      </c>
      <c r="B30" s="233">
        <v>1530.5</v>
      </c>
      <c r="C30" s="233">
        <v>2292.6</v>
      </c>
      <c r="E30" s="229"/>
      <c r="F30" s="229"/>
    </row>
    <row r="31" ht="16.5" spans="1:6">
      <c r="A31" s="227" t="s">
        <v>196</v>
      </c>
      <c r="B31" s="228">
        <v>1789.4</v>
      </c>
      <c r="C31" s="228">
        <v>2576.7</v>
      </c>
      <c r="E31" s="229"/>
      <c r="F31" s="229"/>
    </row>
    <row r="32" ht="16.5" spans="1:6">
      <c r="A32" s="227" t="s">
        <v>197</v>
      </c>
      <c r="B32" s="228">
        <v>1345.7</v>
      </c>
      <c r="C32" s="228">
        <v>2077</v>
      </c>
      <c r="E32" s="229"/>
      <c r="F32" s="229"/>
    </row>
    <row r="33" ht="16.5" spans="1:6">
      <c r="A33" s="227" t="s">
        <v>198</v>
      </c>
      <c r="B33" s="228">
        <v>917.9</v>
      </c>
      <c r="C33" s="228">
        <v>1510.1</v>
      </c>
      <c r="E33" s="229"/>
      <c r="F33" s="229"/>
    </row>
    <row r="34" ht="16.5" spans="1:6">
      <c r="A34" s="227" t="s">
        <v>199</v>
      </c>
      <c r="B34" s="228">
        <v>1383.9</v>
      </c>
      <c r="C34" s="228">
        <v>2123.3</v>
      </c>
      <c r="E34" s="229"/>
      <c r="F34" s="229"/>
    </row>
    <row r="35" ht="16.5" spans="1:6">
      <c r="A35" s="227" t="s">
        <v>200</v>
      </c>
      <c r="B35" s="228">
        <v>1383.9</v>
      </c>
      <c r="C35" s="228">
        <v>2123.3</v>
      </c>
      <c r="E35" s="229"/>
      <c r="F35" s="229"/>
    </row>
    <row r="36" ht="16.5" spans="1:6">
      <c r="A36" s="227" t="s">
        <v>201</v>
      </c>
      <c r="B36" s="228">
        <v>1362.3</v>
      </c>
      <c r="C36" s="228">
        <v>2097.1</v>
      </c>
      <c r="E36" s="229"/>
      <c r="F36" s="229"/>
    </row>
    <row r="37" ht="16.5" spans="1:6">
      <c r="A37" s="227" t="s">
        <v>202</v>
      </c>
      <c r="B37" s="228">
        <v>1454.9</v>
      </c>
      <c r="C37" s="228">
        <v>2207.7</v>
      </c>
      <c r="E37" s="229"/>
      <c r="F37" s="229"/>
    </row>
    <row r="38" ht="16.5" spans="1:6">
      <c r="A38" s="227" t="s">
        <v>203</v>
      </c>
      <c r="B38" s="228">
        <v>1345.5</v>
      </c>
      <c r="C38" s="228">
        <v>2076.6</v>
      </c>
      <c r="E38" s="229"/>
      <c r="F38" s="229"/>
    </row>
    <row r="39" ht="16.5" spans="1:6">
      <c r="A39" s="227" t="s">
        <v>204</v>
      </c>
      <c r="B39" s="228">
        <v>1450.1</v>
      </c>
      <c r="C39" s="228">
        <v>2202.1</v>
      </c>
      <c r="E39" s="229"/>
      <c r="F39" s="229"/>
    </row>
    <row r="40" ht="16.5" spans="1:6">
      <c r="A40" s="227" t="s">
        <v>205</v>
      </c>
      <c r="B40" s="228">
        <v>1421.1</v>
      </c>
      <c r="C40" s="228">
        <v>2167.8</v>
      </c>
      <c r="E40" s="229"/>
      <c r="F40" s="229"/>
    </row>
    <row r="41" ht="16.5" spans="1:6">
      <c r="A41" s="227" t="s">
        <v>206</v>
      </c>
      <c r="B41" s="228">
        <v>2919.3</v>
      </c>
      <c r="C41" s="228">
        <v>3649.1</v>
      </c>
      <c r="E41" s="229"/>
      <c r="F41" s="229"/>
    </row>
    <row r="42" ht="16.5" spans="1:6">
      <c r="A42" s="227" t="s">
        <v>207</v>
      </c>
      <c r="B42" s="228">
        <v>2999.5</v>
      </c>
      <c r="C42" s="228">
        <v>3749.4</v>
      </c>
      <c r="E42" s="229"/>
      <c r="F42" s="229"/>
    </row>
    <row r="43" ht="16.5" spans="1:6">
      <c r="A43" s="227" t="s">
        <v>208</v>
      </c>
      <c r="B43" s="228">
        <v>3072.6</v>
      </c>
      <c r="C43" s="228">
        <v>3840.8</v>
      </c>
      <c r="E43" s="229"/>
      <c r="F43" s="229"/>
    </row>
    <row r="44" ht="16.5" spans="1:6">
      <c r="A44" s="227" t="s">
        <v>209</v>
      </c>
      <c r="B44" s="228">
        <v>2880.1</v>
      </c>
      <c r="C44" s="228">
        <v>3600.1</v>
      </c>
      <c r="E44" s="229"/>
      <c r="F44" s="229"/>
    </row>
    <row r="45" ht="16.5" spans="1:6">
      <c r="A45" s="227" t="s">
        <v>210</v>
      </c>
      <c r="B45" s="228">
        <v>3075.3</v>
      </c>
      <c r="C45" s="228">
        <v>3844.1</v>
      </c>
      <c r="E45" s="229"/>
      <c r="F45" s="229"/>
    </row>
    <row r="46" ht="16.5" spans="1:6">
      <c r="A46" s="227" t="s">
        <v>211</v>
      </c>
      <c r="B46" s="228">
        <v>2186.6</v>
      </c>
      <c r="C46" s="228">
        <v>2937.4</v>
      </c>
      <c r="E46" s="229"/>
      <c r="F46" s="229"/>
    </row>
    <row r="47" ht="16.5" spans="1:6">
      <c r="A47" s="227" t="s">
        <v>212</v>
      </c>
      <c r="B47" s="228">
        <v>1549.9</v>
      </c>
      <c r="C47" s="228">
        <v>2316.8</v>
      </c>
      <c r="E47" s="229"/>
      <c r="F47" s="229"/>
    </row>
    <row r="48" ht="16.5" spans="1:6">
      <c r="A48" s="227" t="s">
        <v>213</v>
      </c>
      <c r="B48" s="228">
        <v>1480.2</v>
      </c>
      <c r="C48" s="228">
        <v>2237.2</v>
      </c>
      <c r="E48" s="229"/>
      <c r="F48" s="229"/>
    </row>
    <row r="49" ht="16.5" spans="1:6">
      <c r="A49" s="227" t="s">
        <v>214</v>
      </c>
      <c r="B49" s="228">
        <v>1480.2</v>
      </c>
      <c r="C49" s="228">
        <v>2237.2</v>
      </c>
      <c r="E49" s="229"/>
      <c r="F49" s="229"/>
    </row>
    <row r="50" ht="16.5" spans="1:6">
      <c r="A50" s="227" t="s">
        <v>215</v>
      </c>
      <c r="B50" s="228">
        <v>1480.2</v>
      </c>
      <c r="C50" s="228">
        <v>2237.2</v>
      </c>
      <c r="E50" s="229"/>
      <c r="F50" s="229"/>
    </row>
    <row r="51" ht="16.5" spans="1:6">
      <c r="A51" s="227" t="s">
        <v>216</v>
      </c>
      <c r="B51" s="228">
        <v>1155.7</v>
      </c>
      <c r="C51" s="228">
        <v>1835.8</v>
      </c>
      <c r="E51" s="229"/>
      <c r="F51" s="229"/>
    </row>
    <row r="52" ht="16.5" spans="1:6">
      <c r="A52" s="227" t="s">
        <v>217</v>
      </c>
      <c r="B52" s="228">
        <v>1155.7</v>
      </c>
      <c r="C52" s="228">
        <v>1835.8</v>
      </c>
      <c r="E52" s="229"/>
      <c r="F52" s="229"/>
    </row>
    <row r="53" ht="16.5" spans="1:6">
      <c r="A53" s="227" t="s">
        <v>218</v>
      </c>
      <c r="B53" s="228">
        <v>2244</v>
      </c>
      <c r="C53" s="228">
        <v>2983.9</v>
      </c>
      <c r="E53" s="229"/>
      <c r="F53" s="229"/>
    </row>
    <row r="54" ht="16.5" spans="1:6">
      <c r="A54" s="227" t="s">
        <v>219</v>
      </c>
      <c r="B54" s="228">
        <v>2939</v>
      </c>
      <c r="C54" s="228">
        <v>3673.8</v>
      </c>
      <c r="E54" s="229"/>
      <c r="F54" s="229"/>
    </row>
    <row r="55" ht="16.5" spans="1:6">
      <c r="A55" s="227" t="s">
        <v>220</v>
      </c>
      <c r="B55" s="228">
        <v>2907.6</v>
      </c>
      <c r="C55" s="228">
        <v>3634.5</v>
      </c>
      <c r="E55" s="229"/>
      <c r="F55" s="229"/>
    </row>
    <row r="56" ht="16.5" spans="1:6">
      <c r="A56" s="227" t="s">
        <v>221</v>
      </c>
      <c r="B56" s="228">
        <v>3014.8</v>
      </c>
      <c r="C56" s="228">
        <v>3768.5</v>
      </c>
      <c r="E56" s="229"/>
      <c r="F56" s="229"/>
    </row>
    <row r="57" ht="16.5" spans="1:6">
      <c r="A57" s="227" t="s">
        <v>222</v>
      </c>
      <c r="B57" s="228">
        <v>3010.6</v>
      </c>
      <c r="C57" s="228">
        <v>3763.3</v>
      </c>
      <c r="E57" s="229"/>
      <c r="F57" s="229"/>
    </row>
    <row r="58" ht="16.5" spans="1:6">
      <c r="A58" s="231" t="s">
        <v>223</v>
      </c>
      <c r="B58" s="232">
        <v>1408.4</v>
      </c>
      <c r="C58" s="228">
        <v>2152.7</v>
      </c>
      <c r="E58" s="229"/>
      <c r="F58" s="229"/>
    </row>
    <row r="59" ht="16.5" spans="1:6">
      <c r="A59" s="227" t="s">
        <v>224</v>
      </c>
      <c r="B59" s="228">
        <v>1514.9</v>
      </c>
      <c r="C59" s="228">
        <v>2277.1</v>
      </c>
      <c r="E59" s="229"/>
      <c r="F59" s="229"/>
    </row>
    <row r="60" ht="16.5" spans="1:6">
      <c r="A60" s="227" t="s">
        <v>225</v>
      </c>
      <c r="B60" s="234">
        <v>2573.3</v>
      </c>
      <c r="C60" s="228">
        <v>3220.2</v>
      </c>
      <c r="E60" s="229"/>
      <c r="F60" s="229"/>
    </row>
    <row r="61" ht="16.5" spans="1:6">
      <c r="A61" s="227" t="s">
        <v>226</v>
      </c>
      <c r="B61" s="228">
        <v>1391.9</v>
      </c>
      <c r="C61" s="228">
        <v>2132.9</v>
      </c>
      <c r="E61" s="229"/>
      <c r="F61" s="229"/>
    </row>
    <row r="62" ht="16.5" spans="1:6">
      <c r="A62" s="227" t="s">
        <v>227</v>
      </c>
      <c r="B62" s="228">
        <v>2829.1</v>
      </c>
      <c r="C62" s="228">
        <v>3536.3</v>
      </c>
      <c r="E62" s="229"/>
      <c r="F62" s="229"/>
    </row>
    <row r="63" ht="16.5" spans="1:6">
      <c r="A63" s="227" t="s">
        <v>228</v>
      </c>
      <c r="B63" s="228">
        <v>2783.5</v>
      </c>
      <c r="C63" s="228">
        <v>3479.3</v>
      </c>
      <c r="E63" s="229"/>
      <c r="F63" s="229"/>
    </row>
    <row r="64" ht="16.5" spans="1:6">
      <c r="A64" s="227" t="s">
        <v>229</v>
      </c>
      <c r="B64" s="228">
        <v>1318.6</v>
      </c>
      <c r="C64" s="228">
        <v>2043.6</v>
      </c>
      <c r="E64" s="229"/>
      <c r="F64" s="229"/>
    </row>
    <row r="65" ht="16.5" spans="1:6">
      <c r="A65" s="227" t="s">
        <v>230</v>
      </c>
      <c r="B65" s="228">
        <v>1701.1</v>
      </c>
      <c r="C65" s="228">
        <v>2479</v>
      </c>
      <c r="E65" s="229"/>
      <c r="F65" s="229"/>
    </row>
    <row r="66" ht="16.5" spans="1:6">
      <c r="A66" s="227" t="s">
        <v>231</v>
      </c>
      <c r="B66" s="228">
        <v>1521.6</v>
      </c>
      <c r="C66" s="228">
        <v>2282.4</v>
      </c>
      <c r="E66" s="229"/>
      <c r="F66" s="229"/>
    </row>
    <row r="67" ht="16.5" spans="1:6">
      <c r="A67" s="227" t="s">
        <v>232</v>
      </c>
      <c r="B67" s="228">
        <v>2109.5</v>
      </c>
      <c r="C67" s="228">
        <v>2869.3</v>
      </c>
      <c r="E67" s="229"/>
      <c r="F67" s="229"/>
    </row>
    <row r="68" ht="16.5" spans="1:6">
      <c r="A68" s="227" t="s">
        <v>233</v>
      </c>
      <c r="B68" s="228">
        <v>1866.4</v>
      </c>
      <c r="C68" s="228">
        <v>2646.5</v>
      </c>
      <c r="E68" s="229"/>
      <c r="F68" s="229"/>
    </row>
    <row r="69" ht="16.5" spans="1:6">
      <c r="A69" s="227" t="s">
        <v>234</v>
      </c>
      <c r="B69" s="228">
        <v>1485.7</v>
      </c>
      <c r="C69" s="228">
        <v>2243.5</v>
      </c>
      <c r="E69" s="229"/>
      <c r="F69" s="229"/>
    </row>
    <row r="70" ht="16.5" spans="1:6">
      <c r="A70" s="227" t="s">
        <v>235</v>
      </c>
      <c r="B70" s="228">
        <v>3181</v>
      </c>
      <c r="C70" s="228">
        <v>3976.3</v>
      </c>
      <c r="E70" s="229"/>
      <c r="F70" s="229"/>
    </row>
    <row r="71" ht="16.5" spans="1:6">
      <c r="A71" s="227" t="s">
        <v>236</v>
      </c>
      <c r="B71" s="228">
        <v>3181</v>
      </c>
      <c r="C71" s="228">
        <v>3976.3</v>
      </c>
      <c r="E71" s="229"/>
      <c r="F71" s="229"/>
    </row>
    <row r="72" ht="16.5" spans="1:6">
      <c r="A72" s="227" t="s">
        <v>237</v>
      </c>
      <c r="B72" s="228">
        <v>3181</v>
      </c>
      <c r="C72" s="228">
        <v>3976.3</v>
      </c>
      <c r="E72" s="229"/>
      <c r="F72" s="229"/>
    </row>
    <row r="73" ht="16.5" spans="1:6">
      <c r="A73" s="227" t="s">
        <v>238</v>
      </c>
      <c r="B73" s="228">
        <v>3181</v>
      </c>
      <c r="C73" s="228">
        <v>3976.3</v>
      </c>
      <c r="E73" s="229"/>
      <c r="F73" s="229"/>
    </row>
    <row r="74" ht="16.5" spans="1:6">
      <c r="A74" s="227" t="s">
        <v>239</v>
      </c>
      <c r="B74" s="228">
        <v>3181</v>
      </c>
      <c r="C74" s="228">
        <v>3976.3</v>
      </c>
      <c r="E74" s="229"/>
      <c r="F74" s="229"/>
    </row>
    <row r="75" ht="16.5" spans="1:6">
      <c r="A75" s="227" t="s">
        <v>240</v>
      </c>
      <c r="B75" s="228">
        <v>1340.5</v>
      </c>
      <c r="C75" s="228">
        <v>2070.6</v>
      </c>
      <c r="E75" s="229"/>
      <c r="F75" s="229"/>
    </row>
    <row r="76" ht="16.5" spans="1:6">
      <c r="A76" s="227" t="s">
        <v>241</v>
      </c>
      <c r="B76" s="228">
        <v>1469.6</v>
      </c>
      <c r="C76" s="228">
        <v>2224.8</v>
      </c>
      <c r="E76" s="229"/>
      <c r="F76" s="229"/>
    </row>
    <row r="77" ht="16.5" spans="1:6">
      <c r="A77" s="227" t="s">
        <v>242</v>
      </c>
      <c r="B77" s="228">
        <v>1398.1</v>
      </c>
      <c r="C77" s="228">
        <v>2140.3</v>
      </c>
      <c r="E77" s="229"/>
      <c r="F77" s="229"/>
    </row>
    <row r="78" ht="16.5" spans="1:6">
      <c r="A78" s="227" t="s">
        <v>243</v>
      </c>
      <c r="B78" s="228">
        <v>1398.1</v>
      </c>
      <c r="C78" s="228">
        <v>2140.3</v>
      </c>
      <c r="E78" s="229"/>
      <c r="F78" s="229"/>
    </row>
    <row r="79" ht="16.5" spans="1:6">
      <c r="A79" s="227" t="s">
        <v>244</v>
      </c>
      <c r="B79" s="228">
        <v>860.6</v>
      </c>
      <c r="C79" s="228">
        <v>1427.5</v>
      </c>
      <c r="E79" s="229"/>
      <c r="F79" s="229"/>
    </row>
    <row r="80" ht="16.5" spans="1:6">
      <c r="A80" s="227" t="s">
        <v>245</v>
      </c>
      <c r="B80" s="228">
        <v>2941.6</v>
      </c>
      <c r="C80" s="228">
        <v>3677.1</v>
      </c>
      <c r="E80" s="229"/>
      <c r="F80" s="229"/>
    </row>
    <row r="81" ht="16.5" spans="1:6">
      <c r="A81" s="227" t="s">
        <v>246</v>
      </c>
      <c r="B81" s="228">
        <v>2399.7</v>
      </c>
      <c r="C81" s="228">
        <v>3102</v>
      </c>
      <c r="E81" s="229"/>
      <c r="F81" s="229"/>
    </row>
    <row r="82" ht="16.5" spans="1:6">
      <c r="A82" s="4" t="s">
        <v>247</v>
      </c>
      <c r="B82" s="228">
        <v>2780.1</v>
      </c>
      <c r="C82" s="228">
        <v>3475.1</v>
      </c>
    </row>
    <row r="83" ht="16.5" spans="1:6">
      <c r="A83" s="4" t="s">
        <v>248</v>
      </c>
      <c r="B83" s="228">
        <v>3003.4</v>
      </c>
      <c r="C83" s="228">
        <v>3754.2</v>
      </c>
    </row>
    <row r="84" ht="16.5" spans="1:6">
      <c r="A84" s="4" t="s">
        <v>249</v>
      </c>
      <c r="B84" s="228">
        <v>2677.7</v>
      </c>
      <c r="C84" s="228">
        <v>3347.1</v>
      </c>
    </row>
    <row r="85" ht="16.5" spans="1:6">
      <c r="A85" s="4" t="s">
        <v>250</v>
      </c>
      <c r="B85" s="228">
        <v>2727.2</v>
      </c>
      <c r="C85" s="228">
        <v>3409</v>
      </c>
    </row>
    <row r="86" ht="16.5" spans="1:6">
      <c r="A86" s="4" t="s">
        <v>251</v>
      </c>
      <c r="B86" s="228">
        <v>2718.9</v>
      </c>
      <c r="C86" s="228">
        <v>3398.6</v>
      </c>
    </row>
    <row r="87" ht="16.5" spans="1:6">
      <c r="A87" s="4" t="s">
        <v>252</v>
      </c>
      <c r="B87" s="228">
        <v>2782.7</v>
      </c>
      <c r="C87" s="228">
        <v>3478.4</v>
      </c>
    </row>
    <row r="88" ht="16.5" spans="1:6">
      <c r="A88" s="4" t="s">
        <v>253</v>
      </c>
      <c r="B88" s="228">
        <v>2490.2</v>
      </c>
      <c r="C88" s="228">
        <v>3165.4</v>
      </c>
    </row>
    <row r="89" ht="16.5" spans="1:6">
      <c r="A89" s="4" t="s">
        <v>254</v>
      </c>
      <c r="B89" s="228">
        <v>2490.2</v>
      </c>
      <c r="C89" s="228">
        <v>3165.4</v>
      </c>
    </row>
    <row r="90" ht="16.5" spans="1:6">
      <c r="A90" s="4" t="s">
        <v>255</v>
      </c>
      <c r="B90" s="228">
        <v>2306.2</v>
      </c>
      <c r="C90" s="228">
        <v>3032.4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39"/>
  <sheetViews>
    <sheetView workbookViewId="0">
      <selection activeCell="C5" sqref="C5"/>
    </sheetView>
  </sheetViews>
  <sheetFormatPr defaultColWidth="9" defaultRowHeight="14" outlineLevelCol="7"/>
  <cols>
    <col min="2" max="2" width="18.5" customWidth="1"/>
    <col min="3" max="5" width="19.75" customWidth="1"/>
    <col min="6" max="6" width="13.5" customWidth="1"/>
    <col min="8" max="8" width="10.5"/>
    <col min="9" max="9" width="12.5833333333333"/>
  </cols>
  <sheetData>
    <row r="3" ht="16.5" spans="2:8">
      <c r="B3" s="216"/>
      <c r="C3" s="217" t="s">
        <v>256</v>
      </c>
      <c r="D3" s="217"/>
      <c r="E3" s="218" t="s">
        <v>257</v>
      </c>
      <c r="F3" s="218"/>
      <c r="G3" s="57"/>
      <c r="H3" s="57"/>
    </row>
    <row r="4" ht="16.5" spans="2:8">
      <c r="B4" s="219" t="s">
        <v>166</v>
      </c>
      <c r="C4" s="220" t="s">
        <v>258</v>
      </c>
      <c r="D4" s="221" t="s">
        <v>259</v>
      </c>
      <c r="E4" s="222" t="s">
        <v>260</v>
      </c>
      <c r="F4" s="222" t="s">
        <v>261</v>
      </c>
      <c r="G4" s="223" t="s">
        <v>262</v>
      </c>
      <c r="H4" s="57"/>
    </row>
    <row r="5" ht="16.5" spans="2:8">
      <c r="B5" s="13" t="s">
        <v>187</v>
      </c>
      <c r="C5" s="224">
        <v>76.4885649998321</v>
      </c>
      <c r="D5" s="42">
        <v>84.3937277113488</v>
      </c>
      <c r="E5" s="224">
        <v>114.570529827272</v>
      </c>
      <c r="F5" s="218"/>
      <c r="G5" s="224">
        <v>893.31</v>
      </c>
      <c r="H5" s="224">
        <f>C5*G5</f>
        <v>68328</v>
      </c>
    </row>
    <row r="6" ht="16.5" spans="2:8">
      <c r="B6" s="13" t="s">
        <v>218</v>
      </c>
      <c r="C6" s="224">
        <v>62.2623439988709</v>
      </c>
      <c r="D6" s="42">
        <v>104.988888888889</v>
      </c>
      <c r="E6" s="224">
        <v>95.1228855420472</v>
      </c>
      <c r="F6" s="218"/>
      <c r="G6" s="224">
        <v>4959.9</v>
      </c>
      <c r="H6" s="224">
        <f t="shared" ref="H6:H39" si="0">C6*G6</f>
        <v>308815</v>
      </c>
    </row>
    <row r="7" ht="16.5" spans="2:8">
      <c r="B7" s="13" t="s">
        <v>183</v>
      </c>
      <c r="C7" s="224">
        <v>59.7621050102127</v>
      </c>
      <c r="D7" s="42">
        <v>79.9555555555556</v>
      </c>
      <c r="E7" s="224">
        <v>102.006488045176</v>
      </c>
      <c r="F7" s="218"/>
      <c r="G7" s="224">
        <v>832.3</v>
      </c>
      <c r="H7" s="224">
        <f t="shared" si="0"/>
        <v>49740</v>
      </c>
    </row>
    <row r="8" ht="16.5" spans="2:8">
      <c r="B8" s="13" t="s">
        <v>170</v>
      </c>
      <c r="C8" s="224">
        <v>58.7240334322711</v>
      </c>
      <c r="D8" s="42">
        <v>79.2</v>
      </c>
      <c r="E8" s="224">
        <v>91.1367632149686</v>
      </c>
      <c r="F8" s="218"/>
      <c r="G8" s="224">
        <v>10909.22</v>
      </c>
      <c r="H8" s="224">
        <f t="shared" si="0"/>
        <v>640633.4</v>
      </c>
    </row>
    <row r="9" spans="2:8">
      <c r="B9" s="13" t="s">
        <v>182</v>
      </c>
      <c r="C9" s="224">
        <v>60.2008360596147</v>
      </c>
      <c r="D9" s="224"/>
      <c r="E9" s="224">
        <v>109.891857506361</v>
      </c>
      <c r="F9" s="224"/>
      <c r="G9" s="224">
        <v>1100.4</v>
      </c>
      <c r="H9" s="224">
        <f t="shared" si="0"/>
        <v>66245</v>
      </c>
    </row>
    <row r="10" spans="2:8">
      <c r="B10" s="13" t="s">
        <v>263</v>
      </c>
      <c r="C10" s="224">
        <v>86.9969008264463</v>
      </c>
      <c r="D10" s="224"/>
      <c r="E10" s="224">
        <v>118.246900826446</v>
      </c>
      <c r="F10" s="224"/>
      <c r="G10" s="224">
        <v>968</v>
      </c>
      <c r="H10" s="224">
        <f t="shared" si="0"/>
        <v>84213</v>
      </c>
    </row>
    <row r="11" spans="2:8">
      <c r="B11" s="13" t="s">
        <v>264</v>
      </c>
      <c r="C11" s="224">
        <v>47.8292794860028</v>
      </c>
      <c r="D11" s="224"/>
      <c r="E11" s="224">
        <v>82.2900413033502</v>
      </c>
      <c r="F11" s="224"/>
      <c r="G11" s="224">
        <v>1089.5</v>
      </c>
      <c r="H11" s="224">
        <f t="shared" si="0"/>
        <v>52110</v>
      </c>
    </row>
    <row r="12" spans="2:8">
      <c r="B12" s="13" t="s">
        <v>265</v>
      </c>
      <c r="C12" s="224">
        <v>31.947912602419</v>
      </c>
      <c r="D12" s="224"/>
      <c r="E12" s="224">
        <v>60.0936402653141</v>
      </c>
      <c r="F12" s="224"/>
      <c r="G12" s="224">
        <v>1025.2</v>
      </c>
      <c r="H12" s="224">
        <f t="shared" si="0"/>
        <v>32753</v>
      </c>
    </row>
    <row r="13" spans="2:8">
      <c r="B13" s="13" t="s">
        <v>171</v>
      </c>
      <c r="C13" s="224">
        <v>59.7116014856893</v>
      </c>
      <c r="D13" s="224"/>
      <c r="E13" s="224">
        <v>91.0203189862355</v>
      </c>
      <c r="F13" s="224"/>
      <c r="G13" s="224">
        <v>915.4</v>
      </c>
      <c r="H13" s="224">
        <f t="shared" si="0"/>
        <v>54660</v>
      </c>
    </row>
    <row r="14" spans="2:8">
      <c r="B14" s="13" t="s">
        <v>191</v>
      </c>
      <c r="C14" s="224">
        <v>28.0623482692648</v>
      </c>
      <c r="D14" s="224"/>
      <c r="E14" s="224">
        <v>52.0370102413222</v>
      </c>
      <c r="F14" s="224"/>
      <c r="G14" s="224">
        <v>2487.96</v>
      </c>
      <c r="H14" s="224">
        <f t="shared" si="0"/>
        <v>69818</v>
      </c>
    </row>
    <row r="15" spans="2:8">
      <c r="B15" s="13" t="s">
        <v>184</v>
      </c>
      <c r="C15" s="224">
        <v>51.9406451105032</v>
      </c>
      <c r="D15" s="224"/>
      <c r="E15" s="224">
        <v>77.358156377305</v>
      </c>
      <c r="F15" s="224"/>
      <c r="G15" s="224">
        <v>2540.65</v>
      </c>
      <c r="H15" s="224">
        <f t="shared" si="0"/>
        <v>131963</v>
      </c>
    </row>
    <row r="16" spans="2:8">
      <c r="B16" s="13" t="s">
        <v>194</v>
      </c>
      <c r="C16" s="224">
        <v>46.0776229690945</v>
      </c>
      <c r="D16" s="224"/>
      <c r="E16" s="224">
        <v>73.4126998170371</v>
      </c>
      <c r="F16" s="224"/>
      <c r="G16" s="224">
        <v>2825.71</v>
      </c>
      <c r="H16" s="224">
        <f t="shared" si="0"/>
        <v>130202</v>
      </c>
    </row>
    <row r="17" spans="2:8">
      <c r="B17" s="13" t="s">
        <v>179</v>
      </c>
      <c r="C17" s="224">
        <v>44.8384666889856</v>
      </c>
      <c r="D17" s="224"/>
      <c r="E17" s="224">
        <v>79.8766878696574</v>
      </c>
      <c r="F17" s="224"/>
      <c r="G17" s="224">
        <v>3584.4</v>
      </c>
      <c r="H17" s="224">
        <f t="shared" si="0"/>
        <v>160719</v>
      </c>
    </row>
    <row r="18" spans="2:8">
      <c r="B18" s="13" t="s">
        <v>217</v>
      </c>
      <c r="C18" s="224">
        <v>38.9745082815735</v>
      </c>
      <c r="D18" s="224"/>
      <c r="E18" s="224">
        <v>64.7612577639752</v>
      </c>
      <c r="F18" s="224"/>
      <c r="G18" s="224">
        <v>1545.6</v>
      </c>
      <c r="H18" s="224">
        <f t="shared" si="0"/>
        <v>60239</v>
      </c>
    </row>
    <row r="19" spans="2:8">
      <c r="B19" s="13" t="s">
        <v>196</v>
      </c>
      <c r="C19" s="224">
        <v>53.2721044238379</v>
      </c>
      <c r="D19" s="224"/>
      <c r="E19" s="224">
        <v>83.7133069517453</v>
      </c>
      <c r="F19" s="224"/>
      <c r="G19" s="224">
        <v>338.62</v>
      </c>
      <c r="H19" s="224">
        <f t="shared" si="0"/>
        <v>18039</v>
      </c>
    </row>
    <row r="20" spans="2:8">
      <c r="B20" s="13" t="s">
        <v>188</v>
      </c>
      <c r="C20" s="224">
        <v>32.113960867266</v>
      </c>
      <c r="D20" s="224"/>
      <c r="E20" s="224">
        <v>63.0691433104178</v>
      </c>
      <c r="F20" s="224"/>
      <c r="G20" s="224">
        <v>1512.8</v>
      </c>
      <c r="H20" s="224">
        <f t="shared" si="0"/>
        <v>48582</v>
      </c>
    </row>
    <row r="21" spans="2:8">
      <c r="B21" s="13" t="s">
        <v>211</v>
      </c>
      <c r="C21" s="224">
        <v>63.0059948615472</v>
      </c>
      <c r="D21" s="224"/>
      <c r="E21" s="224">
        <v>90.23598820059</v>
      </c>
      <c r="F21" s="224"/>
      <c r="G21" s="224">
        <v>1050.9</v>
      </c>
      <c r="H21" s="224">
        <f t="shared" si="0"/>
        <v>66213</v>
      </c>
    </row>
    <row r="22" spans="2:8">
      <c r="B22" s="13" t="s">
        <v>190</v>
      </c>
      <c r="C22" s="224">
        <v>41.7996678266371</v>
      </c>
      <c r="D22" s="224"/>
      <c r="E22" s="224">
        <v>66.8933881683012</v>
      </c>
      <c r="F22" s="224"/>
      <c r="G22" s="224">
        <v>1264.4</v>
      </c>
      <c r="H22" s="224">
        <f t="shared" si="0"/>
        <v>52851.4999999999</v>
      </c>
    </row>
    <row r="23" spans="2:8">
      <c r="B23" s="13" t="s">
        <v>167</v>
      </c>
      <c r="C23" s="224">
        <v>62.4010444301712</v>
      </c>
      <c r="D23" s="224"/>
      <c r="E23" s="224">
        <v>94.9437292300818</v>
      </c>
      <c r="F23" s="224"/>
      <c r="G23" s="224">
        <v>17904.5</v>
      </c>
      <c r="H23" s="224">
        <f t="shared" si="0"/>
        <v>1117259.5</v>
      </c>
    </row>
    <row r="24" spans="2:8">
      <c r="B24" s="13" t="s">
        <v>266</v>
      </c>
      <c r="C24" s="224">
        <v>43.5750932835821</v>
      </c>
      <c r="D24" s="224"/>
      <c r="E24" s="224">
        <v>71.1753731343284</v>
      </c>
      <c r="F24" s="224"/>
      <c r="G24" s="224">
        <v>428.8</v>
      </c>
      <c r="H24" s="224">
        <f t="shared" si="0"/>
        <v>18685</v>
      </c>
    </row>
    <row r="25" spans="2:8">
      <c r="B25" s="13" t="s">
        <v>215</v>
      </c>
      <c r="C25" s="224">
        <v>43.6043360433604</v>
      </c>
      <c r="D25" s="224"/>
      <c r="E25" s="224">
        <v>71.0414246999613</v>
      </c>
      <c r="F25" s="224"/>
      <c r="G25" s="224">
        <v>516.6</v>
      </c>
      <c r="H25" s="224">
        <f t="shared" si="0"/>
        <v>22526</v>
      </c>
    </row>
    <row r="26" spans="2:8">
      <c r="B26" s="13" t="s">
        <v>212</v>
      </c>
      <c r="C26" s="224">
        <v>42.2454439901055</v>
      </c>
      <c r="D26" s="224"/>
      <c r="E26" s="224">
        <v>70.3526174970973</v>
      </c>
      <c r="F26" s="224"/>
      <c r="G26" s="224">
        <v>3961.8</v>
      </c>
      <c r="H26" s="224">
        <f t="shared" si="0"/>
        <v>167368</v>
      </c>
    </row>
    <row r="27" spans="2:8">
      <c r="B27" s="13" t="s">
        <v>195</v>
      </c>
      <c r="C27" s="224">
        <v>41.6918429003021</v>
      </c>
      <c r="D27" s="224"/>
      <c r="E27" s="224">
        <v>76.348726801899</v>
      </c>
      <c r="F27" s="224"/>
      <c r="G27" s="224">
        <v>463.4</v>
      </c>
      <c r="H27" s="224">
        <f t="shared" si="0"/>
        <v>19320</v>
      </c>
    </row>
    <row r="28" spans="2:8">
      <c r="B28" s="13" t="s">
        <v>206</v>
      </c>
      <c r="C28" s="224">
        <v>88.7350095918095</v>
      </c>
      <c r="D28" s="224"/>
      <c r="E28" s="224">
        <v>118.620420808584</v>
      </c>
      <c r="F28" s="224"/>
      <c r="G28" s="224">
        <v>974.79</v>
      </c>
      <c r="H28" s="224">
        <f t="shared" si="0"/>
        <v>86498</v>
      </c>
    </row>
    <row r="29" spans="2:8">
      <c r="B29" s="13" t="s">
        <v>210</v>
      </c>
      <c r="C29" s="224">
        <v>88.9981617647059</v>
      </c>
      <c r="D29" s="224"/>
      <c r="E29" s="224">
        <v>124.852941176471</v>
      </c>
      <c r="F29" s="224"/>
      <c r="G29" s="224">
        <v>544</v>
      </c>
      <c r="H29" s="224">
        <f t="shared" si="0"/>
        <v>48415</v>
      </c>
    </row>
    <row r="30" spans="2:8">
      <c r="B30" s="13" t="s">
        <v>209</v>
      </c>
      <c r="C30" s="224">
        <v>90.5917089878351</v>
      </c>
      <c r="D30" s="224"/>
      <c r="E30" s="224">
        <v>122.097555214362</v>
      </c>
      <c r="F30" s="224"/>
      <c r="G30" s="224">
        <v>846.7</v>
      </c>
      <c r="H30" s="224">
        <f t="shared" si="0"/>
        <v>76704</v>
      </c>
    </row>
    <row r="31" spans="2:8">
      <c r="B31" s="13" t="s">
        <v>176</v>
      </c>
      <c r="C31" s="224">
        <v>43.0648104077423</v>
      </c>
      <c r="D31" s="224"/>
      <c r="E31" s="224">
        <v>78.5974932571791</v>
      </c>
      <c r="F31" s="224"/>
      <c r="G31" s="224">
        <v>1260.6</v>
      </c>
      <c r="H31" s="224">
        <f t="shared" si="0"/>
        <v>54287.4999999999</v>
      </c>
    </row>
    <row r="32" spans="2:8">
      <c r="B32" s="13" t="s">
        <v>172</v>
      </c>
      <c r="C32" s="224">
        <v>42.8466128466128</v>
      </c>
      <c r="D32" s="224"/>
      <c r="E32" s="224">
        <v>76.4244764244764</v>
      </c>
      <c r="F32" s="224"/>
      <c r="G32" s="224">
        <v>854.7</v>
      </c>
      <c r="H32" s="224">
        <f t="shared" si="0"/>
        <v>36621</v>
      </c>
    </row>
    <row r="33" spans="2:8">
      <c r="B33" s="13" t="s">
        <v>193</v>
      </c>
      <c r="C33" s="224">
        <v>37.345793224153</v>
      </c>
      <c r="D33" s="224"/>
      <c r="E33" s="224">
        <v>62.4328041005126</v>
      </c>
      <c r="F33" s="224"/>
      <c r="G33" s="224">
        <v>3199.6</v>
      </c>
      <c r="H33" s="224">
        <f t="shared" si="0"/>
        <v>119491.6</v>
      </c>
    </row>
    <row r="34" spans="2:8">
      <c r="B34" s="13" t="s">
        <v>177</v>
      </c>
      <c r="C34" s="224">
        <v>44.097985685826</v>
      </c>
      <c r="D34" s="224"/>
      <c r="E34" s="224">
        <v>74.5960303991736</v>
      </c>
      <c r="F34" s="224"/>
      <c r="G34" s="224">
        <v>1355.3</v>
      </c>
      <c r="H34" s="224">
        <f t="shared" si="0"/>
        <v>59766</v>
      </c>
    </row>
    <row r="35" spans="2:8">
      <c r="B35" s="13" t="s">
        <v>185</v>
      </c>
      <c r="C35" s="224">
        <v>50.453727463081</v>
      </c>
      <c r="D35" s="224"/>
      <c r="E35" s="224">
        <v>78.2425418548256</v>
      </c>
      <c r="F35" s="224"/>
      <c r="G35" s="224">
        <v>6523.74</v>
      </c>
      <c r="H35" s="224">
        <f t="shared" ref="H35" si="1">C35*G35</f>
        <v>329147</v>
      </c>
    </row>
    <row r="36" spans="2:8">
      <c r="B36" s="13" t="s">
        <v>186</v>
      </c>
      <c r="C36" s="224">
        <v>50.453727463081</v>
      </c>
      <c r="D36" s="224"/>
      <c r="E36" s="224">
        <v>78.2425418548256</v>
      </c>
      <c r="F36" s="224"/>
      <c r="G36" s="224">
        <v>6523.74</v>
      </c>
      <c r="H36" s="224">
        <f t="shared" si="0"/>
        <v>329147</v>
      </c>
    </row>
    <row r="37" spans="2:8">
      <c r="B37" s="13" t="s">
        <v>208</v>
      </c>
      <c r="C37" s="224">
        <v>92.3106490783611</v>
      </c>
      <c r="D37" s="224"/>
      <c r="E37" s="224">
        <v>146.527474447453</v>
      </c>
      <c r="F37" s="224"/>
      <c r="G37" s="224">
        <v>1144.7</v>
      </c>
      <c r="H37" s="224">
        <f t="shared" si="0"/>
        <v>105668</v>
      </c>
    </row>
    <row r="38" spans="2:8">
      <c r="B38" s="13" t="s">
        <v>189</v>
      </c>
      <c r="C38" s="224">
        <v>50.5743096363407</v>
      </c>
      <c r="D38" s="224"/>
      <c r="E38" s="224">
        <v>81.7244716211099</v>
      </c>
      <c r="F38" s="224"/>
      <c r="G38" s="224">
        <v>1426.06</v>
      </c>
      <c r="H38" s="224">
        <f t="shared" si="0"/>
        <v>72122</v>
      </c>
    </row>
    <row r="39" spans="2:8">
      <c r="B39" s="13" t="s">
        <v>173</v>
      </c>
      <c r="C39" s="224">
        <v>43.5669707153145</v>
      </c>
      <c r="D39" s="224"/>
      <c r="E39" s="224">
        <v>86.4298287726036</v>
      </c>
      <c r="F39" s="224"/>
      <c r="G39" s="224">
        <v>624.9</v>
      </c>
      <c r="H39" s="224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showGridLines="0" zoomScale="90" zoomScaleNormal="90" topLeftCell="B1" workbookViewId="0">
      <selection activeCell="P14" sqref="P14"/>
    </sheetView>
  </sheetViews>
  <sheetFormatPr defaultColWidth="9" defaultRowHeight="14"/>
  <cols>
    <col min="1" max="1" width="6" customWidth="1"/>
    <col min="2" max="2" width="14.25" customWidth="1"/>
    <col min="3" max="3" width="12.0833333333333" style="2" customWidth="1"/>
    <col min="4" max="5" width="16.5" style="2" customWidth="1"/>
    <col min="6" max="6" width="18.75" style="2" customWidth="1"/>
    <col min="7" max="7" width="14.25" style="2" customWidth="1"/>
    <col min="8" max="8" width="14.25" customWidth="1"/>
    <col min="9" max="11" width="9.83333333333333" customWidth="1"/>
    <col min="12" max="12" width="23.3333333333333" customWidth="1"/>
    <col min="13" max="13" width="14.25" customWidth="1"/>
    <col min="14" max="16" width="12.75" customWidth="1"/>
    <col min="17" max="17" width="12.75" hidden="1" customWidth="1"/>
  </cols>
  <sheetData>
    <row r="1" ht="17.25" spans="1:17">
      <c r="A1" s="28"/>
      <c r="B1" s="152"/>
      <c r="C1" s="153"/>
      <c r="D1" s="153"/>
      <c r="E1" s="153"/>
    </row>
    <row r="2" ht="24" customHeight="1" spans="1:17">
      <c r="A2" s="28"/>
      <c r="B2" s="154" t="s">
        <v>267</v>
      </c>
      <c r="C2" s="155" t="s">
        <v>189</v>
      </c>
      <c r="D2" s="156" t="s">
        <v>268</v>
      </c>
      <c r="E2" s="157" t="s">
        <v>269</v>
      </c>
      <c r="F2"/>
      <c r="G2"/>
    </row>
    <row r="3" ht="17.25" spans="1:17">
      <c r="A3" s="28"/>
      <c r="B3" s="158" t="s">
        <v>270</v>
      </c>
      <c r="C3" s="159" t="s">
        <v>271</v>
      </c>
      <c r="D3" s="160" t="s">
        <v>272</v>
      </c>
      <c r="E3" s="61" t="s">
        <v>273</v>
      </c>
      <c r="F3" s="155" t="s">
        <v>274</v>
      </c>
      <c r="G3" s="155" t="s">
        <v>275</v>
      </c>
      <c r="H3" s="157" t="s">
        <v>276</v>
      </c>
      <c r="I3" s="161" t="s">
        <v>277</v>
      </c>
      <c r="J3" s="155" t="s">
        <v>278</v>
      </c>
      <c r="K3" s="162" t="s">
        <v>279</v>
      </c>
      <c r="L3" s="163" t="s">
        <v>280</v>
      </c>
      <c r="M3" s="155" t="s">
        <v>281</v>
      </c>
      <c r="N3" s="157" t="s">
        <v>282</v>
      </c>
      <c r="O3" s="164" t="s">
        <v>283</v>
      </c>
      <c r="P3" s="164" t="s">
        <v>284</v>
      </c>
      <c r="Q3" s="164" t="s">
        <v>285</v>
      </c>
    </row>
    <row r="4" ht="17.25" spans="1:17">
      <c r="A4" s="28"/>
      <c r="B4" s="165"/>
      <c r="C4" s="166" t="s">
        <v>286</v>
      </c>
      <c r="D4" s="166" t="s">
        <v>286</v>
      </c>
      <c r="E4" s="167" t="str">
        <f t="array" ref="E4">_xlfn.TEXTJOIN("&amp;",TRUE,_xlfn._xlws.FILTER('【3-2】大区&amp;运营中心填-房间模型价'!K2:K10,'【3-2】大区&amp;运营中心填-房间模型价'!K2:K10&lt;&gt;""))</f>
        <v>开间&amp;一居室</v>
      </c>
      <c r="F4" s="167">
        <f t="array" ref="F4">INT(LOOKUP(2,1/(NOT(ISBLANK('【3-2】大区&amp;运营中心填-房间模型价'!H:H))),'【3-2】大区&amp;运营中心填-房间模型价'!H:H)/100)</f>
        <v>9</v>
      </c>
      <c r="G4" s="168">
        <f>SUMPRODUCT(('【3-2】大区&amp;运营中心填-房间模型价'!J:J="开间")*1+('【3-2】大区&amp;运营中心填-房间模型价'!J:J="二人宿舍")*1+('【3-2】大区&amp;运营中心填-房间模型价'!J:J="一居室")*1.5+('【3-2】大区&amp;运营中心填-房间模型价'!J:J="四人宿舍")*1.5+('【3-2】大区&amp;运营中心填-房间模型价'!J:J="二居室")*2+('【3-2】大区&amp;运营中心填-房间模型价'!J:J="六人宿舍")*2)</f>
        <v>83.5</v>
      </c>
      <c r="H4" s="169">
        <f>'【3-2】大区&amp;运营中心填-房间模型价'!G2</f>
        <v>8</v>
      </c>
      <c r="I4" s="170">
        <f>AVERAGEIF('【3-2】大区&amp;运营中心填-房间模型价'!J:J,"开间",'【3-2】大区&amp;运营中心填-房间模型价'!AM:AM)</f>
        <v>1493.26086956522</v>
      </c>
      <c r="J4" s="168">
        <f>AVERAGEIF('【3-2】大区&amp;运营中心填-房间模型价'!J:J,"一居室",'【3-2】大区&amp;运营中心填-房间模型价'!AM:AM)</f>
        <v>2062</v>
      </c>
      <c r="K4" s="171">
        <f>SUMIF('【3-2】大区&amp;运营中心填-房间模型价'!A:A,E2,'【3-2】大区&amp;运营中心填-房间模型价'!AM:AM)/G4</f>
        <v>1440</v>
      </c>
      <c r="L4" s="172">
        <f>AVERAGEIF('【3-2】大区&amp;运营中心填-房间模型价'!J:J,"开间",'【3-2】大区&amp;运营中心填-房间模型价'!N:N)</f>
        <v>14.3067391304348</v>
      </c>
      <c r="M4" s="168">
        <f>AVERAGEIF('【3-2】大区&amp;运营中心填-房间模型价'!J:J,"一居室",'【3-2】大区&amp;运营中心填-房间模型价'!N:N)</f>
        <v>16.808</v>
      </c>
      <c r="N4" s="169">
        <v>176.48</v>
      </c>
      <c r="O4" s="173">
        <v>1547.01</v>
      </c>
      <c r="P4" s="173">
        <v>86199</v>
      </c>
      <c r="Q4" s="173">
        <f>VLOOKUP(C2,piovt_各村均价!B:G,6,0)</f>
        <v>1426.06</v>
      </c>
    </row>
    <row r="5" ht="14.75" spans="1:17">
      <c r="A5" s="28"/>
    </row>
    <row r="6" ht="14.75" spans="1:17">
      <c r="A6" s="28"/>
    </row>
    <row r="7" ht="22.9" customHeight="1" spans="1:17">
      <c r="A7" s="28"/>
      <c r="B7" s="174" t="s">
        <v>287</v>
      </c>
      <c r="C7" s="175"/>
      <c r="D7" s="175"/>
      <c r="E7" s="176"/>
    </row>
    <row r="8" ht="17.25" spans="1:17">
      <c r="A8" s="28"/>
      <c r="B8" s="177" t="s">
        <v>288</v>
      </c>
      <c r="C8" s="163" t="s">
        <v>289</v>
      </c>
      <c r="D8" s="155" t="s">
        <v>290</v>
      </c>
      <c r="E8" s="155" t="s">
        <v>291</v>
      </c>
      <c r="F8" s="155" t="s">
        <v>292</v>
      </c>
      <c r="G8" s="155" t="s">
        <v>293</v>
      </c>
      <c r="H8" s="155" t="s">
        <v>294</v>
      </c>
      <c r="I8" s="178" t="s">
        <v>295</v>
      </c>
    </row>
    <row r="9" ht="18" customHeight="1" spans="1:17">
      <c r="A9" s="28"/>
      <c r="B9" s="179"/>
      <c r="C9" s="180"/>
      <c r="D9" s="23">
        <f>P4/O4</f>
        <v>55.71974324665</v>
      </c>
      <c r="E9" s="23">
        <f>(D9+18)/0.9</f>
        <v>81.9108258296111</v>
      </c>
      <c r="F9" s="23">
        <f>SUMIF('【3-2】大区&amp;运营中心填-房间模型价'!A:A,E2,'【3-2】大区&amp;运营中心填-房间模型价'!AM:AM)/O4</f>
        <v>77.7241258944674</v>
      </c>
      <c r="G9" s="144">
        <f>F9/D9</f>
        <v>1.39491177391849</v>
      </c>
      <c r="H9" s="181">
        <f>F9/E9</f>
        <v>0.948887098954993</v>
      </c>
      <c r="I9" s="182" t="str">
        <f>IF(H9&lt;1,"不通过","通过")</f>
        <v>不通过</v>
      </c>
    </row>
    <row r="10" ht="6" customHeight="1" spans="1:17">
      <c r="A10" s="28"/>
      <c r="B10" s="179"/>
      <c r="C10" s="180"/>
      <c r="D10" s="4"/>
      <c r="E10" s="4"/>
      <c r="F10" s="4"/>
      <c r="G10" s="4"/>
      <c r="H10" s="4"/>
      <c r="I10" s="183"/>
    </row>
    <row r="11" ht="16.5" spans="1:17">
      <c r="A11" s="28"/>
      <c r="B11" s="179"/>
      <c r="C11" s="180" t="s">
        <v>296</v>
      </c>
      <c r="D11" s="23" t="s">
        <v>297</v>
      </c>
      <c r="E11" s="23" t="s">
        <v>298</v>
      </c>
      <c r="F11" s="23" t="s">
        <v>299</v>
      </c>
      <c r="G11" s="4" t="s">
        <v>293</v>
      </c>
      <c r="H11" s="4" t="s">
        <v>294</v>
      </c>
      <c r="I11" s="182" t="s">
        <v>295</v>
      </c>
    </row>
    <row r="12" ht="21" customHeight="1" spans="1:17">
      <c r="A12" s="28"/>
      <c r="B12" s="184"/>
      <c r="C12" s="185"/>
      <c r="D12" s="168">
        <f>(VLOOKUP(C2,piovt_各村均价!B:H,7,0)+O4*D9)/(VLOOKUP(C2,piovt_各村均价!B:G,6,0)+O4)</f>
        <v>53.25168933123</v>
      </c>
      <c r="E12" s="168">
        <f>(D12+18)/0.9</f>
        <v>79.1685437013667</v>
      </c>
      <c r="F12" s="168">
        <f>(VLOOKUP(C2,piovt_各村均价!B:E,4,0)*Q4+F9*O4)/(O4+Q4)</f>
        <v>79.6429280171674</v>
      </c>
      <c r="G12" s="186">
        <f>F12/D12</f>
        <v>1.49559439366856</v>
      </c>
      <c r="H12" s="186">
        <f>F12/E12</f>
        <v>1.00599208086472</v>
      </c>
      <c r="I12" s="187" t="str">
        <f>IF(H12&lt;1.05,"不通过","通过")</f>
        <v>不通过</v>
      </c>
    </row>
    <row r="13" ht="13.15" customHeight="1" spans="1:17">
      <c r="A13" s="28"/>
      <c r="B13" s="188"/>
    </row>
    <row r="14" ht="12" customHeight="1" spans="1:17">
      <c r="A14" s="28"/>
      <c r="B14" s="189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</row>
    <row r="15" ht="14.75" spans="1:17">
      <c r="A15" s="28"/>
      <c r="B15" s="190" t="s">
        <v>300</v>
      </c>
      <c r="C15" s="191" t="s">
        <v>301</v>
      </c>
      <c r="D15" s="155" t="s">
        <v>302</v>
      </c>
      <c r="E15" s="155" t="s">
        <v>303</v>
      </c>
      <c r="F15" s="155"/>
      <c r="G15" s="155"/>
      <c r="H15" s="155"/>
      <c r="I15" s="155"/>
      <c r="J15" s="155" t="s">
        <v>304</v>
      </c>
      <c r="K15" s="155" t="s">
        <v>305</v>
      </c>
      <c r="L15" s="192" t="s">
        <v>306</v>
      </c>
      <c r="M15" s="178" t="s">
        <v>295</v>
      </c>
    </row>
    <row r="16" spans="1:17">
      <c r="A16" s="28"/>
      <c r="B16" s="193"/>
      <c r="C16" s="194"/>
      <c r="D16" s="4"/>
      <c r="E16" s="4"/>
      <c r="F16" s="4"/>
      <c r="G16" s="4"/>
      <c r="H16" s="4"/>
      <c r="I16" s="4"/>
      <c r="J16" s="4"/>
      <c r="K16" s="4"/>
      <c r="L16" s="195"/>
      <c r="M16" s="182"/>
    </row>
    <row r="17" ht="19.15" customHeight="1" spans="1:15">
      <c r="A17" s="28"/>
      <c r="B17" s="193"/>
      <c r="C17" s="194"/>
      <c r="D17" s="4"/>
      <c r="E17" s="4"/>
      <c r="F17" s="4"/>
      <c r="G17" s="4"/>
      <c r="H17" s="4"/>
      <c r="I17" s="4"/>
      <c r="J17" s="4"/>
      <c r="K17" s="4"/>
      <c r="L17" s="60"/>
      <c r="M17" s="196" t="e">
        <f>L17/J17</f>
        <v>#DIV/0!</v>
      </c>
    </row>
    <row r="18" ht="16.5" spans="1:15">
      <c r="A18" s="28"/>
      <c r="B18" s="193"/>
      <c r="C18" s="194"/>
      <c r="D18" s="4"/>
      <c r="E18" s="4"/>
      <c r="F18" s="4"/>
      <c r="G18" s="4"/>
      <c r="H18" s="4"/>
      <c r="I18" s="4"/>
      <c r="J18" s="4"/>
      <c r="K18" s="4"/>
      <c r="L18" s="60"/>
      <c r="M18" s="196" t="e">
        <f>L18/J18</f>
        <v>#DIV/0!</v>
      </c>
    </row>
    <row r="19" ht="17.25" spans="1:15">
      <c r="A19" s="28"/>
      <c r="B19" s="197"/>
      <c r="C19" s="198"/>
      <c r="D19" s="167"/>
      <c r="E19" s="167"/>
      <c r="F19" s="167"/>
      <c r="G19" s="167"/>
      <c r="H19" s="167"/>
      <c r="I19" s="167"/>
      <c r="J19" s="167"/>
      <c r="K19" s="167"/>
      <c r="L19" s="199"/>
      <c r="M19" s="200" t="e">
        <f>L19/J19</f>
        <v>#DIV/0!</v>
      </c>
    </row>
    <row r="20" ht="15.5" spans="1:15">
      <c r="B20" s="201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ht="17.25" spans="1:15">
      <c r="B21" s="177" t="s">
        <v>307</v>
      </c>
      <c r="C21" s="163" t="s">
        <v>308</v>
      </c>
      <c r="D21" s="202" t="s">
        <v>309</v>
      </c>
      <c r="E21" s="202" t="s">
        <v>310</v>
      </c>
      <c r="F21" s="203" t="s">
        <v>295</v>
      </c>
      <c r="G21" s="178"/>
    </row>
    <row r="22" spans="1:15">
      <c r="B22" s="179"/>
      <c r="C22" s="180"/>
      <c r="D22" s="43">
        <f>MIN('【3-2】大区&amp;运营中心填-房间模型价'!AN:AN)</f>
        <v>-0.0989915490631186</v>
      </c>
      <c r="E22" s="204">
        <f>MAX('【3-2】大区&amp;运营中心填-房间模型价'!AN:AN)</f>
        <v>0.0650365687575241</v>
      </c>
      <c r="F22" s="13" t="str">
        <f>IF(OR(D22&lt;-10%,E22&gt;10%),"不通过","通过")</f>
        <v>通过</v>
      </c>
      <c r="G22" s="205"/>
      <c r="I22" s="28"/>
    </row>
    <row r="23" ht="14.75" spans="1:15">
      <c r="B23" s="179"/>
      <c r="C23" s="185"/>
      <c r="D23" s="206"/>
      <c r="E23" s="207"/>
      <c r="F23" s="208"/>
      <c r="G23" s="209"/>
      <c r="I23" s="28"/>
    </row>
    <row r="24" ht="15.5" spans="1:15">
      <c r="B24" s="179"/>
      <c r="C24" s="210"/>
      <c r="D24" s="3"/>
      <c r="E24" s="3"/>
      <c r="F24" s="3"/>
      <c r="G24" s="211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179"/>
      <c r="C25" s="212" t="s">
        <v>311</v>
      </c>
      <c r="D25" s="202" t="s">
        <v>312</v>
      </c>
      <c r="E25" s="202" t="s">
        <v>313</v>
      </c>
      <c r="F25" s="203" t="s">
        <v>295</v>
      </c>
      <c r="G25" s="178"/>
      <c r="I25" s="28"/>
    </row>
    <row r="26" ht="34.15" customHeight="1" spans="1:15">
      <c r="B26" s="184"/>
      <c r="C26" s="213"/>
      <c r="D26" s="214">
        <f>AVERAGE('【3-2】大区&amp;运营中心填-房间模型价'!AL:AL)</f>
        <v>1775.83725790824</v>
      </c>
      <c r="E26" s="214">
        <f>AVERAGE('【3-2】大区&amp;运营中心填-房间模型价'!AM:AM)</f>
        <v>1693.52112676056</v>
      </c>
      <c r="F26" s="206">
        <f>E26/D26</f>
        <v>0.953646579504342</v>
      </c>
      <c r="G26" s="215"/>
      <c r="I26" s="28"/>
    </row>
    <row r="27" ht="14.7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workbookViewId="0">
      <selection activeCell="A70" sqref="A70"/>
    </sheetView>
  </sheetViews>
  <sheetFormatPr defaultColWidth="9" defaultRowHeight="14"/>
  <cols>
    <col min="1" max="1" width="1.33333333333333" customWidth="1"/>
    <col min="2" max="2" width="12.5" customWidth="1"/>
    <col min="3" max="3" width="20.3333333333333" customWidth="1"/>
    <col min="4" max="4" width="16.3333333333333" customWidth="1"/>
    <col min="5" max="5" width="16.5833333333333" customWidth="1"/>
    <col min="6" max="6" width="10.5833333333333" customWidth="1"/>
    <col min="7" max="7" width="11.5833333333333" customWidth="1"/>
    <col min="8" max="8" width="10.3333333333333" customWidth="1"/>
    <col min="9" max="9" width="11.5833333333333" customWidth="1"/>
    <col min="10" max="10" width="10.5" style="2" hidden="1" customWidth="1"/>
    <col min="11" max="11" width="12.0833333333333" customWidth="1"/>
  </cols>
  <sheetData>
    <row r="2" ht="16.5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33" t="s">
        <v>272</v>
      </c>
      <c r="D3" s="134" t="s">
        <v>317</v>
      </c>
      <c r="E3" s="135" t="s">
        <v>273</v>
      </c>
      <c r="F3" s="2"/>
      <c r="G3" s="2"/>
      <c r="H3" s="2"/>
      <c r="I3" s="2"/>
    </row>
    <row r="4" ht="25.15" customHeight="1" spans="2:10">
      <c r="B4" s="4"/>
      <c r="C4" s="13" t="s">
        <v>54</v>
      </c>
      <c r="D4" s="136" t="s">
        <v>54</v>
      </c>
      <c r="E4" s="13" t="s">
        <v>318</v>
      </c>
      <c r="F4" s="2"/>
      <c r="G4" s="2"/>
      <c r="H4" s="2"/>
      <c r="I4" s="2"/>
    </row>
    <row r="5" ht="22.9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274</v>
      </c>
      <c r="C6" s="6" t="s">
        <v>275</v>
      </c>
      <c r="D6" s="6" t="s">
        <v>276</v>
      </c>
      <c r="E6" s="6" t="s">
        <v>277</v>
      </c>
      <c r="F6" s="6" t="s">
        <v>278</v>
      </c>
      <c r="G6" s="6" t="s">
        <v>279</v>
      </c>
      <c r="H6" s="6" t="s">
        <v>282</v>
      </c>
      <c r="I6" s="6" t="s">
        <v>283</v>
      </c>
      <c r="J6" s="137" t="s">
        <v>312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AVERAGEIF('【3-2】大区&amp;运营中心填-房间模型价'!J:J,"开间",'【3-2】大区&amp;运营中心填-房间模型价'!AM:AM)</f>
        <v>1493.26086956522</v>
      </c>
      <c r="F7" s="23">
        <f>AVERAGEIF('【3-2】大区&amp;运营中心填-房间模型价'!J:J,"一居室",'【3-2】大区&amp;运营中心填-房间模型价'!AM:AM)</f>
        <v>2062</v>
      </c>
      <c r="G7" s="23">
        <v>1681.05882352941</v>
      </c>
      <c r="H7" s="138">
        <v>135.73</v>
      </c>
      <c r="I7" s="138">
        <v>662</v>
      </c>
      <c r="J7" s="23">
        <f>SUMIF('【3-2】大区&amp;运营中心填-房间模型价'!A:A,C2,'【3-2】大区&amp;运营中心填-房间模型价'!AL:AL)/C7</f>
        <v>0</v>
      </c>
    </row>
    <row r="8" ht="25.9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39" t="s">
        <v>319</v>
      </c>
      <c r="D9" s="139" t="s">
        <v>320</v>
      </c>
      <c r="E9" s="140" t="s">
        <v>321</v>
      </c>
      <c r="F9" s="141" t="s">
        <v>292</v>
      </c>
      <c r="G9" s="141" t="s">
        <v>293</v>
      </c>
      <c r="H9" s="141" t="s">
        <v>294</v>
      </c>
    </row>
    <row r="10" ht="28.9" customHeight="1" spans="2:10">
      <c r="B10" s="4" t="s">
        <v>322</v>
      </c>
      <c r="C10" s="142">
        <v>45</v>
      </c>
      <c r="D10" s="142">
        <v>55</v>
      </c>
      <c r="E10" s="143">
        <f>(C10+21)/0.96</f>
        <v>68.75</v>
      </c>
      <c r="F10" s="143">
        <f>SUMIF('【3-2】大区&amp;运营中心填-房间模型价'!A:A,C2,'【3-2】大区&amp;运营中心填-房间模型价'!AM:AM)/I7</f>
        <v>0</v>
      </c>
      <c r="G10" s="144">
        <f>F10/C10</f>
        <v>0</v>
      </c>
      <c r="H10" s="145">
        <f>F10/E10</f>
        <v>0</v>
      </c>
    </row>
    <row r="11" ht="18" customHeight="1" spans="2:10">
      <c r="B11" s="146" t="s">
        <v>30</v>
      </c>
      <c r="C11" s="146" t="s">
        <v>323</v>
      </c>
      <c r="D11" s="146"/>
    </row>
    <row r="12" ht="19.15" customHeight="1" spans="2:10">
      <c r="B12" s="147" t="s">
        <v>302</v>
      </c>
      <c r="C12" s="148" t="s">
        <v>324</v>
      </c>
      <c r="D12" s="149"/>
      <c r="E12" s="149"/>
      <c r="F12" s="150"/>
      <c r="G12" s="147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44">
        <f>E7/G13</f>
        <v>0.974077540486117</v>
      </c>
      <c r="I13" s="2"/>
      <c r="J13"/>
    </row>
    <row r="14" ht="16.5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44">
        <f>E7/G14</f>
        <v>0.922335311652389</v>
      </c>
      <c r="I14" s="2"/>
      <c r="J14"/>
    </row>
    <row r="15" ht="19.9" customHeight="1" spans="2:10">
      <c r="B15" s="151" t="s">
        <v>327</v>
      </c>
      <c r="C15" s="151" t="s">
        <v>333</v>
      </c>
      <c r="D15" s="151" t="s">
        <v>329</v>
      </c>
      <c r="E15" s="151" t="s">
        <v>330</v>
      </c>
      <c r="F15" s="151" t="s">
        <v>331</v>
      </c>
      <c r="G15" s="151">
        <v>2202</v>
      </c>
      <c r="H15" s="144">
        <f>F7/G15</f>
        <v>0.936421435059037</v>
      </c>
      <c r="I15" s="2"/>
      <c r="J15"/>
    </row>
    <row r="21" ht="16.5" spans="3:4">
      <c r="C21" s="58" t="s">
        <v>334</v>
      </c>
      <c r="D21" s="151" t="s">
        <v>335</v>
      </c>
    </row>
    <row r="22" ht="16.5" spans="3:4">
      <c r="C22" s="61"/>
      <c r="D22" s="151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workbookViewId="0">
      <selection activeCell="A70" sqref="A70"/>
    </sheetView>
  </sheetViews>
  <sheetFormatPr defaultColWidth="9" defaultRowHeight="14"/>
  <cols>
    <col min="1" max="1" width="21.0833333333333" customWidth="1"/>
    <col min="2" max="2" width="9.58333333333333" customWidth="1"/>
    <col min="3" max="3" width="9" style="123" customWidth="1"/>
    <col min="4" max="4" width="8.5" customWidth="1"/>
    <col min="5" max="5" width="9" customWidth="1"/>
    <col min="6" max="9" width="7.58333333333333" customWidth="1"/>
    <col min="10" max="11" width="4.5" customWidth="1"/>
    <col min="12" max="12" width="7.33333333333333" customWidth="1"/>
    <col min="13" max="13" width="6.08333333333333" customWidth="1"/>
    <col min="14" max="15" width="7.58333333333333" customWidth="1"/>
    <col min="16" max="17" width="4.5" customWidth="1"/>
    <col min="18" max="18" width="7.58333333333333" customWidth="1"/>
    <col min="19" max="21" width="4.5" customWidth="1"/>
  </cols>
  <sheetData>
    <row r="1" s="122" customFormat="1" spans="1:21">
      <c r="A1" s="122" t="s">
        <v>302</v>
      </c>
      <c r="B1" s="122" t="s">
        <v>337</v>
      </c>
      <c r="C1" s="124" t="s">
        <v>338</v>
      </c>
    </row>
    <row r="2" spans="1:21">
      <c r="A2" t="s">
        <v>339</v>
      </c>
      <c r="B2" t="s">
        <v>340</v>
      </c>
      <c r="C2" s="125">
        <v>46.3</v>
      </c>
    </row>
    <row r="3" spans="1:21">
      <c r="A3" t="s">
        <v>341</v>
      </c>
      <c r="B3" t="s">
        <v>342</v>
      </c>
      <c r="C3" s="125">
        <v>18.9</v>
      </c>
    </row>
    <row r="4" spans="1:21">
      <c r="A4" t="s">
        <v>343</v>
      </c>
      <c r="B4" t="s">
        <v>344</v>
      </c>
      <c r="C4" s="123">
        <v>2500</v>
      </c>
    </row>
    <row r="5" spans="1:21">
      <c r="A5" t="s">
        <v>345</v>
      </c>
      <c r="B5" t="s">
        <v>346</v>
      </c>
      <c r="C5" s="123">
        <v>10</v>
      </c>
    </row>
    <row r="6" spans="1:21">
      <c r="A6" t="s">
        <v>347</v>
      </c>
      <c r="B6" t="s">
        <v>348</v>
      </c>
      <c r="C6" s="126">
        <v>0.98</v>
      </c>
    </row>
    <row r="7" spans="1:21">
      <c r="A7" t="s">
        <v>349</v>
      </c>
      <c r="B7" t="s">
        <v>350</v>
      </c>
      <c r="C7" s="123">
        <f>(C2*C3+C4*C3/C5/12)/C6</f>
        <v>1294.71428571429</v>
      </c>
    </row>
    <row r="8" spans="1:21">
      <c r="A8" t="s">
        <v>351</v>
      </c>
      <c r="B8" t="s">
        <v>348</v>
      </c>
      <c r="C8" s="126">
        <v>1</v>
      </c>
    </row>
    <row r="9" spans="1:21">
      <c r="A9" t="s">
        <v>352</v>
      </c>
      <c r="B9" t="s">
        <v>350</v>
      </c>
      <c r="C9" s="127"/>
    </row>
    <row r="10" spans="1:21">
      <c r="A10" t="s">
        <v>353</v>
      </c>
      <c r="B10" t="s">
        <v>348</v>
      </c>
      <c r="C10" s="123">
        <f>1-C8</f>
        <v>0</v>
      </c>
    </row>
    <row r="11" s="122" customFormat="1" spans="1:21">
      <c r="A11" s="122" t="s">
        <v>31</v>
      </c>
      <c r="B11" t="s">
        <v>350</v>
      </c>
      <c r="C11" s="124">
        <f>C7*C8+C9*C10</f>
        <v>1294.71428571429</v>
      </c>
    </row>
    <row r="12" ht="29" spans="1:21">
      <c r="C12" s="123" t="s">
        <v>37</v>
      </c>
      <c r="D12" t="s">
        <v>279</v>
      </c>
      <c r="F12" s="128" t="s">
        <v>354</v>
      </c>
      <c r="G12" s="129" t="s">
        <v>355</v>
      </c>
      <c r="H12" s="129" t="s">
        <v>145</v>
      </c>
      <c r="I12" s="129" t="s">
        <v>356</v>
      </c>
      <c r="J12" s="129" t="s">
        <v>357</v>
      </c>
      <c r="K12" s="129" t="s">
        <v>164</v>
      </c>
      <c r="L12" s="129" t="s">
        <v>358</v>
      </c>
      <c r="M12" s="129" t="s">
        <v>359</v>
      </c>
      <c r="N12" s="129" t="s">
        <v>360</v>
      </c>
      <c r="O12" s="129" t="s">
        <v>57</v>
      </c>
      <c r="P12" s="129" t="s">
        <v>361</v>
      </c>
      <c r="Q12" s="129" t="s">
        <v>67</v>
      </c>
      <c r="R12" s="129" t="s">
        <v>68</v>
      </c>
      <c r="S12" s="129" t="s">
        <v>362</v>
      </c>
      <c r="T12" s="129" t="s">
        <v>118</v>
      </c>
      <c r="U12" s="129" t="s">
        <v>151</v>
      </c>
    </row>
    <row r="13" spans="1:21">
      <c r="A13" s="74" t="s">
        <v>363</v>
      </c>
      <c r="B13" t="s">
        <v>364</v>
      </c>
      <c r="C13" s="123">
        <v>1325</v>
      </c>
      <c r="D13" s="130">
        <f>C13/1</f>
        <v>1325</v>
      </c>
      <c r="E13" s="131"/>
      <c r="F13" s="91" t="s">
        <v>27</v>
      </c>
      <c r="G13" s="89" t="s">
        <v>149</v>
      </c>
      <c r="H13" s="89" t="s">
        <v>146</v>
      </c>
      <c r="I13" s="89" t="s">
        <v>365</v>
      </c>
      <c r="J13" s="89" t="s">
        <v>54</v>
      </c>
      <c r="K13" s="89" t="s">
        <v>54</v>
      </c>
      <c r="L13" s="89" t="s">
        <v>54</v>
      </c>
      <c r="M13" s="89" t="s">
        <v>366</v>
      </c>
      <c r="N13" s="89" t="s">
        <v>63</v>
      </c>
      <c r="O13" s="89" t="s">
        <v>63</v>
      </c>
      <c r="P13" s="90" t="s">
        <v>63</v>
      </c>
      <c r="Q13" s="89" t="s">
        <v>54</v>
      </c>
      <c r="R13" s="89" t="s">
        <v>367</v>
      </c>
      <c r="S13" s="89" t="s">
        <v>63</v>
      </c>
      <c r="T13" s="89" t="s">
        <v>63</v>
      </c>
      <c r="U13" s="89" t="s">
        <v>63</v>
      </c>
    </row>
    <row r="14" spans="1:21">
      <c r="A14" s="74" t="s">
        <v>368</v>
      </c>
      <c r="B14" t="s">
        <v>364</v>
      </c>
      <c r="C14" s="123">
        <v>1200</v>
      </c>
      <c r="D14" s="130">
        <f t="shared" ref="D14" si="0">C14/1</f>
        <v>1200</v>
      </c>
      <c r="F14" s="132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</row>
    <row r="15" spans="1:21">
      <c r="A15" s="74" t="s">
        <v>369</v>
      </c>
      <c r="B15" t="s">
        <v>364</v>
      </c>
      <c r="C15" s="127">
        <v>1850</v>
      </c>
      <c r="D15" s="130">
        <f>C15/1.5</f>
        <v>1233.33333333333</v>
      </c>
    </row>
    <row r="16" spans="1:21">
      <c r="A16" s="74" t="s">
        <v>370</v>
      </c>
      <c r="B16" t="s">
        <v>364</v>
      </c>
      <c r="C16" s="127">
        <v>1650</v>
      </c>
      <c r="D16" s="130">
        <f>C16/1.5</f>
        <v>1100</v>
      </c>
      <c r="E16" s="131"/>
    </row>
    <row r="17" spans="1:4">
      <c r="A17" s="74" t="s">
        <v>371</v>
      </c>
      <c r="B17" t="s">
        <v>364</v>
      </c>
      <c r="D17" s="130">
        <f t="shared" ref="D17" si="1">C17/1.5</f>
        <v>0</v>
      </c>
    </row>
    <row r="18" spans="1:4">
      <c r="A18" s="74" t="s">
        <v>372</v>
      </c>
      <c r="B18" t="s">
        <v>364</v>
      </c>
      <c r="D18" s="130">
        <f>C18/2</f>
        <v>0</v>
      </c>
    </row>
    <row r="19" spans="1:4">
      <c r="A19" s="74" t="s">
        <v>373</v>
      </c>
      <c r="B19" t="s">
        <v>364</v>
      </c>
      <c r="D19" s="130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5" defaultRowHeight="13"/>
  <cols>
    <col min="1" max="1" width="11.5833333333333" style="76" customWidth="1"/>
    <col min="2" max="2" width="19" style="76" customWidth="1"/>
    <col min="3" max="3" width="19" style="77" customWidth="1"/>
    <col min="4" max="4" width="7.5" style="76" customWidth="1"/>
    <col min="5" max="5" width="7.5" style="78" customWidth="1"/>
    <col min="6" max="6" width="9.5" style="76" customWidth="1"/>
    <col min="7" max="7" width="7.58333333333333" style="76" customWidth="1"/>
    <col min="8" max="8" width="9" style="76" customWidth="1"/>
    <col min="9" max="10" width="6.33333333333333" style="76" customWidth="1"/>
    <col min="11" max="11" width="7.33333333333333" style="76" customWidth="1"/>
    <col min="12" max="12" width="6.33333333333333" style="76" customWidth="1"/>
    <col min="13" max="14" width="7.58333333333333" style="76" customWidth="1"/>
    <col min="15" max="15" width="7" style="76" customWidth="1"/>
    <col min="16" max="16" width="6.33333333333333" style="76" customWidth="1"/>
    <col min="17" max="17" width="7.58333333333333" style="76" customWidth="1"/>
    <col min="18" max="18" width="8.5" style="76" customWidth="1"/>
    <col min="19" max="19" width="7" style="76" customWidth="1"/>
    <col min="20" max="20" width="6.5" style="76" customWidth="1"/>
    <col min="21" max="22" width="8.5" style="76"/>
    <col min="23" max="23" width="13.0833333333333" style="76" customWidth="1"/>
    <col min="24" max="24" width="19.0833333333333" style="76" customWidth="1"/>
    <col min="25" max="25" width="12.0833333333333" style="76" customWidth="1"/>
    <col min="26" max="26" width="15.5833333333333" style="76" customWidth="1"/>
    <col min="27" max="16384" width="8.5" style="76"/>
  </cols>
  <sheetData>
    <row r="1" ht="16.25" spans="2:21">
      <c r="F1" s="79" t="s">
        <v>374</v>
      </c>
      <c r="G1" s="79"/>
      <c r="H1" s="79"/>
      <c r="I1" s="79"/>
      <c r="J1" s="79"/>
      <c r="K1" s="79"/>
      <c r="L1" s="79"/>
      <c r="M1" s="79"/>
      <c r="N1" s="79" t="s">
        <v>375</v>
      </c>
      <c r="O1" s="79"/>
      <c r="P1" s="79"/>
      <c r="Q1" s="79"/>
      <c r="R1" s="79"/>
      <c r="S1" s="79"/>
      <c r="T1" s="79"/>
    </row>
    <row r="2" ht="26" spans="2:21">
      <c r="B2" s="80"/>
      <c r="C2" s="81"/>
      <c r="D2" s="82"/>
      <c r="E2" s="83" t="e">
        <f>MEDIAN(E8:E54)</f>
        <v>#REF!</v>
      </c>
      <c r="F2" s="84" t="s">
        <v>355</v>
      </c>
      <c r="G2" s="84" t="s">
        <v>145</v>
      </c>
      <c r="H2" s="84" t="s">
        <v>356</v>
      </c>
      <c r="I2" s="84" t="s">
        <v>357</v>
      </c>
      <c r="J2" s="84" t="s">
        <v>164</v>
      </c>
      <c r="K2" s="84" t="s">
        <v>376</v>
      </c>
      <c r="L2" s="84" t="s">
        <v>359</v>
      </c>
      <c r="M2" s="84" t="s">
        <v>360</v>
      </c>
      <c r="N2" s="85" t="s">
        <v>57</v>
      </c>
      <c r="O2" s="85" t="s">
        <v>361</v>
      </c>
      <c r="P2" s="85" t="s">
        <v>67</v>
      </c>
      <c r="Q2" s="85" t="s">
        <v>68</v>
      </c>
      <c r="R2" s="85" t="s">
        <v>362</v>
      </c>
      <c r="S2" s="85" t="s">
        <v>118</v>
      </c>
      <c r="T2" s="85" t="s">
        <v>151</v>
      </c>
    </row>
    <row r="3" spans="2:21">
      <c r="B3" s="86" t="s">
        <v>377</v>
      </c>
      <c r="C3" s="87"/>
      <c r="D3" s="86"/>
      <c r="E3" s="88"/>
      <c r="F3" s="89" t="s">
        <v>149</v>
      </c>
      <c r="G3" s="89" t="s">
        <v>146</v>
      </c>
      <c r="H3" s="89" t="s">
        <v>365</v>
      </c>
      <c r="I3" s="89" t="s">
        <v>54</v>
      </c>
      <c r="J3" s="89" t="s">
        <v>54</v>
      </c>
      <c r="K3" s="89" t="s">
        <v>54</v>
      </c>
      <c r="L3" s="89" t="s">
        <v>366</v>
      </c>
      <c r="M3" s="89" t="s">
        <v>63</v>
      </c>
      <c r="N3" s="89" t="s">
        <v>63</v>
      </c>
      <c r="O3" s="90" t="s">
        <v>63</v>
      </c>
      <c r="P3" s="89" t="s">
        <v>54</v>
      </c>
      <c r="Q3" s="89" t="s">
        <v>367</v>
      </c>
      <c r="R3" s="89" t="s">
        <v>63</v>
      </c>
      <c r="S3" s="89" t="s">
        <v>63</v>
      </c>
      <c r="T3" s="89" t="s">
        <v>63</v>
      </c>
    </row>
    <row r="4" spans="2:21">
      <c r="B4" s="91" t="s">
        <v>378</v>
      </c>
      <c r="C4" s="92"/>
      <c r="D4" s="91"/>
      <c r="E4" s="93"/>
      <c r="F4" s="89" t="s">
        <v>148</v>
      </c>
      <c r="G4" s="89" t="s">
        <v>146</v>
      </c>
      <c r="H4" s="89" t="s">
        <v>365</v>
      </c>
      <c r="I4" s="89" t="s">
        <v>54</v>
      </c>
      <c r="J4" s="89" t="s">
        <v>54</v>
      </c>
      <c r="K4" s="89" t="s">
        <v>54</v>
      </c>
      <c r="L4" s="89" t="s">
        <v>366</v>
      </c>
      <c r="M4" s="89" t="s">
        <v>379</v>
      </c>
      <c r="N4" s="89" t="s">
        <v>380</v>
      </c>
      <c r="O4" s="89" t="s">
        <v>63</v>
      </c>
      <c r="P4" s="89" t="s">
        <v>161</v>
      </c>
      <c r="Q4" s="89" t="s">
        <v>367</v>
      </c>
      <c r="R4" s="89" t="s">
        <v>132</v>
      </c>
      <c r="S4" s="90" t="s">
        <v>152</v>
      </c>
      <c r="T4" s="89" t="s">
        <v>379</v>
      </c>
    </row>
    <row r="5" s="74" customFormat="1" spans="2:21">
      <c r="B5" s="91" t="s">
        <v>381</v>
      </c>
      <c r="C5" s="92"/>
      <c r="D5" s="91"/>
      <c r="E5" s="93" t="s">
        <v>382</v>
      </c>
      <c r="F5" s="89" t="s">
        <v>149</v>
      </c>
      <c r="G5" s="89" t="s">
        <v>148</v>
      </c>
      <c r="H5" s="89" t="s">
        <v>383</v>
      </c>
      <c r="I5" s="89" t="s">
        <v>162</v>
      </c>
      <c r="J5" s="89" t="s">
        <v>162</v>
      </c>
      <c r="K5" s="89" t="s">
        <v>51</v>
      </c>
      <c r="L5" s="89" t="s">
        <v>384</v>
      </c>
      <c r="M5" s="89" t="s">
        <v>63</v>
      </c>
      <c r="N5" s="89" t="s">
        <v>63</v>
      </c>
      <c r="O5" s="90" t="s">
        <v>157</v>
      </c>
      <c r="P5" s="89" t="s">
        <v>54</v>
      </c>
      <c r="Q5" s="89" t="s">
        <v>385</v>
      </c>
      <c r="R5" s="89" t="s">
        <v>63</v>
      </c>
      <c r="S5" s="89" t="s">
        <v>63</v>
      </c>
      <c r="T5" s="89" t="s">
        <v>63</v>
      </c>
    </row>
    <row r="6" s="74" customFormat="1" spans="2:21">
      <c r="B6" s="94"/>
      <c r="C6" s="95"/>
      <c r="D6" s="94"/>
      <c r="E6" s="96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7"/>
    </row>
    <row r="7" s="74" customFormat="1" spans="2:21">
      <c r="B7" s="94" t="s">
        <v>386</v>
      </c>
      <c r="C7" s="95" t="s">
        <v>387</v>
      </c>
      <c r="D7" s="98">
        <v>1419</v>
      </c>
      <c r="E7" s="96"/>
      <c r="F7" s="89" t="s">
        <v>149</v>
      </c>
      <c r="G7" s="89" t="s">
        <v>146</v>
      </c>
      <c r="H7" s="89" t="s">
        <v>365</v>
      </c>
      <c r="I7" s="89" t="s">
        <v>54</v>
      </c>
      <c r="J7" s="89" t="s">
        <v>54</v>
      </c>
      <c r="K7" s="89" t="s">
        <v>54</v>
      </c>
      <c r="L7" s="89" t="s">
        <v>366</v>
      </c>
      <c r="M7" s="89" t="s">
        <v>63</v>
      </c>
      <c r="N7" s="89" t="s">
        <v>380</v>
      </c>
      <c r="O7" s="90" t="s">
        <v>63</v>
      </c>
      <c r="P7" s="89" t="s">
        <v>54</v>
      </c>
      <c r="Q7" s="89" t="s">
        <v>367</v>
      </c>
      <c r="R7" s="89" t="s">
        <v>63</v>
      </c>
      <c r="S7" s="90" t="s">
        <v>388</v>
      </c>
      <c r="T7" s="89" t="s">
        <v>63</v>
      </c>
    </row>
    <row r="8" s="75" customFormat="1" spans="2:21">
      <c r="B8" s="99"/>
      <c r="C8" s="95" t="s">
        <v>389</v>
      </c>
      <c r="D8" s="98" t="e">
        <f>项目基准价!C13*PRODUCT(赋权表!F8:T8)</f>
        <v>#REF!</v>
      </c>
      <c r="E8" s="96" t="e">
        <f>D7/D8-1</f>
        <v>#REF!</v>
      </c>
      <c r="F8" s="100" t="e">
        <f>【1】定价因子!#REF!</f>
        <v>#REF!</v>
      </c>
      <c r="G8" s="100">
        <f>【1】定价因子!F60</f>
        <v>1</v>
      </c>
      <c r="H8" s="100">
        <f>【1】定价因子!F6</f>
        <v>0.96</v>
      </c>
      <c r="I8" s="100">
        <f>【1】定价因子!F68</f>
        <v>1</v>
      </c>
      <c r="J8" s="100">
        <f>【1】定价因子!F72</f>
        <v>1</v>
      </c>
      <c r="K8" s="100">
        <f>【1】定价因子!F8</f>
        <v>1</v>
      </c>
      <c r="L8" s="100" t="e">
        <f>【1】定价因子!#REF!</f>
        <v>#REF!</v>
      </c>
      <c r="M8" s="100" t="e">
        <f>【1】定价因子!#REF!</f>
        <v>#REF!</v>
      </c>
      <c r="N8" s="100">
        <f>【1】定价因子!F10</f>
        <v>1.06</v>
      </c>
      <c r="O8" s="100" t="e">
        <f>【1】定价因子!#REF!</f>
        <v>#REF!</v>
      </c>
      <c r="P8" s="100" t="e">
        <f>【1】定价因子!#REF!</f>
        <v>#REF!</v>
      </c>
      <c r="Q8" s="100">
        <f>【1】定价因子!F20</f>
        <v>1</v>
      </c>
      <c r="R8" s="100">
        <f>【1】定价因子!F38</f>
        <v>1</v>
      </c>
      <c r="S8" s="100">
        <f>【1】定价因子!F44</f>
        <v>1</v>
      </c>
      <c r="T8" s="100">
        <f>【1】定价因子!F66</f>
        <v>1</v>
      </c>
    </row>
    <row r="9" s="74" customFormat="1" spans="2:21">
      <c r="B9" s="94" t="s">
        <v>390</v>
      </c>
      <c r="C9" s="95" t="s">
        <v>387</v>
      </c>
      <c r="D9" s="98">
        <v>1469</v>
      </c>
      <c r="E9" s="96"/>
      <c r="F9" s="97" t="s">
        <v>150</v>
      </c>
      <c r="G9" s="89" t="s">
        <v>146</v>
      </c>
      <c r="H9" s="89" t="s">
        <v>383</v>
      </c>
      <c r="I9" s="89" t="s">
        <v>54</v>
      </c>
      <c r="J9" s="89" t="s">
        <v>54</v>
      </c>
      <c r="K9" s="89" t="s">
        <v>54</v>
      </c>
      <c r="L9" s="89" t="s">
        <v>366</v>
      </c>
      <c r="M9" s="89" t="s">
        <v>63</v>
      </c>
      <c r="N9" s="89" t="s">
        <v>380</v>
      </c>
      <c r="O9" s="90" t="s">
        <v>63</v>
      </c>
      <c r="P9" s="89" t="s">
        <v>54</v>
      </c>
      <c r="Q9" s="89" t="s">
        <v>391</v>
      </c>
      <c r="R9" s="89" t="s">
        <v>132</v>
      </c>
      <c r="S9" s="90" t="s">
        <v>392</v>
      </c>
      <c r="T9" s="90" t="s">
        <v>379</v>
      </c>
    </row>
    <row r="10" s="75" customFormat="1" spans="2:21">
      <c r="B10" s="99"/>
      <c r="C10" s="95" t="s">
        <v>389</v>
      </c>
      <c r="D10" s="98" t="e">
        <f>项目基准价!C13*PRODUCT(赋权表!F10:T10)</f>
        <v>#REF!</v>
      </c>
      <c r="E10" s="96" t="e">
        <f>D9/D10-1</f>
        <v>#REF!</v>
      </c>
      <c r="F10" s="100" t="e">
        <f>【1】定价因子!#REF!</f>
        <v>#REF!</v>
      </c>
      <c r="G10" s="100">
        <f>【1】定价因子!F60</f>
        <v>1</v>
      </c>
      <c r="H10" s="100" t="e">
        <f>【1】定价因子!#REF!</f>
        <v>#REF!</v>
      </c>
      <c r="I10" s="100">
        <f>I8</f>
        <v>1</v>
      </c>
      <c r="J10" s="100">
        <f t="shared" ref="J10:P10" si="0">J8</f>
        <v>1</v>
      </c>
      <c r="K10" s="100">
        <f t="shared" si="0"/>
        <v>1</v>
      </c>
      <c r="L10" s="100" t="e">
        <f t="shared" si="0"/>
        <v>#REF!</v>
      </c>
      <c r="M10" s="100" t="e">
        <f t="shared" si="0"/>
        <v>#REF!</v>
      </c>
      <c r="N10" s="100">
        <f t="shared" si="0"/>
        <v>1.06</v>
      </c>
      <c r="O10" s="100" t="e">
        <f t="shared" si="0"/>
        <v>#REF!</v>
      </c>
      <c r="P10" s="100" t="e">
        <f t="shared" si="0"/>
        <v>#REF!</v>
      </c>
      <c r="Q10" s="100">
        <f>【1】定价因子!F19</f>
        <v>1.01</v>
      </c>
      <c r="R10" s="100">
        <f>【1】定价因子!F39</f>
        <v>1.04</v>
      </c>
      <c r="S10" s="100">
        <f>【1】定价因子!F42</f>
        <v>1.06</v>
      </c>
      <c r="T10" s="100">
        <f>【1】定价因子!F64</f>
        <v>1.045</v>
      </c>
    </row>
    <row r="11" s="75" customFormat="1" ht="14" spans="2:21">
      <c r="B11" s="99" t="s">
        <v>393</v>
      </c>
      <c r="C11" s="95" t="s">
        <v>387</v>
      </c>
      <c r="D11" s="98">
        <v>1470</v>
      </c>
      <c r="E11" s="96"/>
      <c r="F11" s="89" t="s">
        <v>149</v>
      </c>
      <c r="G11" s="89" t="s">
        <v>146</v>
      </c>
      <c r="H11" s="101" t="s">
        <v>394</v>
      </c>
      <c r="I11" s="89" t="s">
        <v>54</v>
      </c>
      <c r="J11" s="89" t="s">
        <v>54</v>
      </c>
      <c r="K11" s="101" t="s">
        <v>51</v>
      </c>
      <c r="L11" s="89" t="s">
        <v>384</v>
      </c>
      <c r="M11" s="89" t="s">
        <v>63</v>
      </c>
      <c r="N11" s="90" t="s">
        <v>63</v>
      </c>
      <c r="O11" s="90" t="s">
        <v>63</v>
      </c>
      <c r="P11" s="89" t="s">
        <v>161</v>
      </c>
      <c r="Q11" s="102" t="s">
        <v>395</v>
      </c>
      <c r="R11" s="89" t="s">
        <v>63</v>
      </c>
      <c r="S11" s="103" t="s">
        <v>392</v>
      </c>
      <c r="T11" s="104" t="s">
        <v>63</v>
      </c>
    </row>
    <row r="12" s="75" customFormat="1" ht="14" spans="2:21">
      <c r="B12" s="99"/>
      <c r="C12" s="95" t="s">
        <v>389</v>
      </c>
      <c r="D12" s="98" t="e">
        <f>项目基准价!$C$13*PRODUCT(赋权表!F12:T12)</f>
        <v>#REF!</v>
      </c>
      <c r="E12" s="96" t="e">
        <f>D11/D12-1</f>
        <v>#REF!</v>
      </c>
      <c r="F12" s="105" t="e">
        <f>F8</f>
        <v>#REF!</v>
      </c>
      <c r="G12" s="105">
        <f>G8</f>
        <v>1</v>
      </c>
      <c r="H12" s="106">
        <f>【1】定价因子!F2</f>
        <v>1.04</v>
      </c>
      <c r="I12" s="105">
        <f>I8</f>
        <v>1</v>
      </c>
      <c r="J12" s="105">
        <f>J8</f>
        <v>1</v>
      </c>
      <c r="K12" s="106">
        <f>【1】定价因子!F7</f>
        <v>1.05</v>
      </c>
      <c r="L12" s="97" t="e">
        <f>【1】定价因子!#REF!</f>
        <v>#REF!</v>
      </c>
      <c r="M12" s="105" t="e">
        <f>M8</f>
        <v>#REF!</v>
      </c>
      <c r="N12" s="105">
        <v>1</v>
      </c>
      <c r="O12" s="107" t="e">
        <f>O8</f>
        <v>#REF!</v>
      </c>
      <c r="P12" s="97" t="e">
        <f>【1】定价因子!#REF!</f>
        <v>#REF!</v>
      </c>
      <c r="Q12" s="100">
        <f>【1】定价因子!F32</f>
        <v>1.03</v>
      </c>
      <c r="R12" s="105">
        <f>R8</f>
        <v>1</v>
      </c>
      <c r="S12" s="106">
        <f>【1】定价因子!F42</f>
        <v>1.06</v>
      </c>
      <c r="T12" s="108">
        <f>T8</f>
        <v>1</v>
      </c>
    </row>
    <row r="13" s="74" customFormat="1" spans="2:21">
      <c r="B13" s="94" t="s">
        <v>396</v>
      </c>
      <c r="C13" s="95" t="s">
        <v>387</v>
      </c>
      <c r="D13" s="98">
        <v>1509</v>
      </c>
      <c r="E13" s="96"/>
      <c r="F13" s="89" t="s">
        <v>149</v>
      </c>
      <c r="G13" s="89" t="s">
        <v>146</v>
      </c>
      <c r="H13" s="89" t="s">
        <v>365</v>
      </c>
      <c r="I13" s="89" t="s">
        <v>54</v>
      </c>
      <c r="J13" s="89" t="s">
        <v>54</v>
      </c>
      <c r="K13" s="89" t="s">
        <v>54</v>
      </c>
      <c r="L13" s="89" t="s">
        <v>384</v>
      </c>
      <c r="M13" s="89" t="s">
        <v>63</v>
      </c>
      <c r="N13" s="97" t="s">
        <v>58</v>
      </c>
      <c r="O13" s="90" t="s">
        <v>63</v>
      </c>
      <c r="P13" s="89" t="s">
        <v>54</v>
      </c>
      <c r="Q13" s="89" t="s">
        <v>367</v>
      </c>
      <c r="R13" s="89" t="s">
        <v>132</v>
      </c>
      <c r="S13" s="90" t="s">
        <v>392</v>
      </c>
      <c r="T13" s="89" t="s">
        <v>63</v>
      </c>
      <c r="U13" s="74">
        <f>70/1300</f>
        <v>0.0538461538461538</v>
      </c>
    </row>
    <row r="14" s="74" customFormat="1" spans="2:21">
      <c r="B14" s="94"/>
      <c r="C14" s="95" t="s">
        <v>389</v>
      </c>
      <c r="D14" s="98" t="e">
        <f>项目基准价!$C$13*PRODUCT(赋权表!F14:T14)</f>
        <v>#REF!</v>
      </c>
      <c r="E14" s="96" t="e">
        <f>D13/D14-1</f>
        <v>#REF!</v>
      </c>
      <c r="F14" s="105" t="e">
        <f t="shared" ref="F14:K14" si="1">F8</f>
        <v>#REF!</v>
      </c>
      <c r="G14" s="105">
        <f t="shared" si="1"/>
        <v>1</v>
      </c>
      <c r="H14" s="105">
        <f t="shared" si="1"/>
        <v>0.96</v>
      </c>
      <c r="I14" s="105">
        <f t="shared" si="1"/>
        <v>1</v>
      </c>
      <c r="J14" s="105">
        <f t="shared" si="1"/>
        <v>1</v>
      </c>
      <c r="K14" s="105">
        <f t="shared" si="1"/>
        <v>1</v>
      </c>
      <c r="L14" s="97" t="e">
        <f>L12</f>
        <v>#REF!</v>
      </c>
      <c r="M14" s="105" t="e">
        <f>M8</f>
        <v>#REF!</v>
      </c>
      <c r="N14" s="97">
        <f>【1】定价因子!F9</f>
        <v>1.1</v>
      </c>
      <c r="O14" s="105" t="e">
        <f>O8</f>
        <v>#REF!</v>
      </c>
      <c r="P14" s="105" t="e">
        <f>P8</f>
        <v>#REF!</v>
      </c>
      <c r="Q14" s="105">
        <f>Q8</f>
        <v>1</v>
      </c>
      <c r="R14" s="105">
        <f>R10</f>
        <v>1.04</v>
      </c>
      <c r="S14" s="105">
        <f>S10</f>
        <v>1.06</v>
      </c>
      <c r="T14" s="105">
        <f>T8</f>
        <v>1</v>
      </c>
    </row>
    <row r="15" s="74" customFormat="1" spans="2:21">
      <c r="B15" s="94" t="s">
        <v>397</v>
      </c>
      <c r="C15" s="95" t="s">
        <v>387</v>
      </c>
      <c r="D15" s="109">
        <v>1519</v>
      </c>
      <c r="E15" s="96"/>
      <c r="F15" s="89" t="s">
        <v>149</v>
      </c>
      <c r="G15" s="89" t="s">
        <v>146</v>
      </c>
      <c r="H15" s="89" t="s">
        <v>383</v>
      </c>
      <c r="I15" s="89" t="s">
        <v>54</v>
      </c>
      <c r="J15" s="89" t="s">
        <v>54</v>
      </c>
      <c r="K15" s="89" t="s">
        <v>54</v>
      </c>
      <c r="L15" s="89" t="s">
        <v>366</v>
      </c>
      <c r="M15" s="89" t="s">
        <v>63</v>
      </c>
      <c r="N15" s="89" t="s">
        <v>380</v>
      </c>
      <c r="O15" s="89" t="s">
        <v>63</v>
      </c>
      <c r="P15" s="89" t="s">
        <v>54</v>
      </c>
      <c r="Q15" s="110" t="s">
        <v>398</v>
      </c>
      <c r="R15" s="89" t="s">
        <v>63</v>
      </c>
      <c r="S15" s="107" t="s">
        <v>399</v>
      </c>
      <c r="T15" s="89" t="s">
        <v>63</v>
      </c>
    </row>
    <row r="16" s="74" customFormat="1" spans="2:21">
      <c r="B16" s="94"/>
      <c r="C16" s="95" t="s">
        <v>389</v>
      </c>
      <c r="D16" s="98" t="e">
        <f>项目基准价!$C$15*PRODUCT(赋权表!F16:T16)</f>
        <v>#REF!</v>
      </c>
      <c r="E16" s="111" t="e">
        <f>D15/D16-1</f>
        <v>#REF!</v>
      </c>
      <c r="F16" s="105" t="e">
        <f>F14</f>
        <v>#REF!</v>
      </c>
      <c r="G16" s="105">
        <f>G14</f>
        <v>1</v>
      </c>
      <c r="H16" s="105" t="e">
        <f t="shared" ref="H16:P16" si="2">H10</f>
        <v>#REF!</v>
      </c>
      <c r="I16" s="105">
        <f t="shared" si="2"/>
        <v>1</v>
      </c>
      <c r="J16" s="105">
        <f t="shared" si="2"/>
        <v>1</v>
      </c>
      <c r="K16" s="105">
        <f t="shared" si="2"/>
        <v>1</v>
      </c>
      <c r="L16" s="105" t="e">
        <f t="shared" si="2"/>
        <v>#REF!</v>
      </c>
      <c r="M16" s="105" t="e">
        <f t="shared" si="2"/>
        <v>#REF!</v>
      </c>
      <c r="N16" s="105">
        <f t="shared" si="2"/>
        <v>1.06</v>
      </c>
      <c r="O16" s="105" t="e">
        <f t="shared" si="2"/>
        <v>#REF!</v>
      </c>
      <c r="P16" s="105" t="e">
        <f t="shared" si="2"/>
        <v>#REF!</v>
      </c>
      <c r="Q16" s="105">
        <f>【1】定价因子!F27</f>
        <v>0.87</v>
      </c>
      <c r="R16" s="105">
        <f>R8</f>
        <v>1</v>
      </c>
      <c r="S16" s="107">
        <f>【1】定价因子!F45</f>
        <v>0.96</v>
      </c>
      <c r="T16" s="105">
        <f>T8</f>
        <v>1</v>
      </c>
    </row>
    <row r="17" s="74" customFormat="1" spans="1:20">
      <c r="B17" s="94" t="s">
        <v>400</v>
      </c>
      <c r="C17" s="95" t="s">
        <v>387</v>
      </c>
      <c r="D17" s="98">
        <v>1099</v>
      </c>
      <c r="E17" s="96"/>
      <c r="F17" s="89" t="s">
        <v>149</v>
      </c>
      <c r="G17" s="89" t="s">
        <v>146</v>
      </c>
      <c r="H17" s="89" t="s">
        <v>383</v>
      </c>
      <c r="I17" s="89" t="s">
        <v>54</v>
      </c>
      <c r="J17" s="89" t="s">
        <v>54</v>
      </c>
      <c r="K17" s="89" t="s">
        <v>54</v>
      </c>
      <c r="L17" s="89" t="s">
        <v>366</v>
      </c>
      <c r="M17" s="89" t="s">
        <v>63</v>
      </c>
      <c r="N17" s="105" t="s">
        <v>65</v>
      </c>
      <c r="O17" s="89" t="s">
        <v>63</v>
      </c>
      <c r="P17" s="89" t="s">
        <v>54</v>
      </c>
      <c r="Q17" s="110" t="s">
        <v>398</v>
      </c>
      <c r="R17" s="89" t="s">
        <v>63</v>
      </c>
      <c r="S17" s="107" t="s">
        <v>399</v>
      </c>
      <c r="T17" s="89" t="s">
        <v>63</v>
      </c>
    </row>
    <row r="18" s="74" customFormat="1" spans="1:20">
      <c r="B18" s="94"/>
      <c r="C18" s="95" t="s">
        <v>389</v>
      </c>
      <c r="D18" s="98" t="e">
        <f>项目基准价!$C$13*PRODUCT(赋权表!F18:T18)</f>
        <v>#REF!</v>
      </c>
      <c r="E18" s="111" t="e">
        <f>D17/D18-1</f>
        <v>#REF!</v>
      </c>
      <c r="F18" s="105" t="e">
        <f>F16</f>
        <v>#REF!</v>
      </c>
      <c r="G18" s="105">
        <f t="shared" ref="G18:M18" si="3">G16</f>
        <v>1</v>
      </c>
      <c r="H18" s="105" t="e">
        <f t="shared" si="3"/>
        <v>#REF!</v>
      </c>
      <c r="I18" s="105">
        <f t="shared" si="3"/>
        <v>1</v>
      </c>
      <c r="J18" s="105">
        <f t="shared" si="3"/>
        <v>1</v>
      </c>
      <c r="K18" s="105">
        <f t="shared" si="3"/>
        <v>1</v>
      </c>
      <c r="L18" s="105" t="e">
        <f t="shared" si="3"/>
        <v>#REF!</v>
      </c>
      <c r="M18" s="105" t="e">
        <f t="shared" si="3"/>
        <v>#REF!</v>
      </c>
      <c r="N18" s="105">
        <f>【1】定价因子!F12</f>
        <v>0.95</v>
      </c>
      <c r="O18" s="105" t="e">
        <f>O16</f>
        <v>#REF!</v>
      </c>
      <c r="P18" s="105" t="e">
        <f t="shared" ref="P18:T18" si="4">P16</f>
        <v>#REF!</v>
      </c>
      <c r="Q18" s="105">
        <f t="shared" si="4"/>
        <v>0.87</v>
      </c>
      <c r="R18" s="105">
        <f t="shared" si="4"/>
        <v>1</v>
      </c>
      <c r="S18" s="105">
        <f t="shared" si="4"/>
        <v>0.96</v>
      </c>
      <c r="T18" s="105">
        <f t="shared" si="4"/>
        <v>1</v>
      </c>
    </row>
    <row r="19" s="74" customFormat="1" spans="1:20">
      <c r="B19" s="94" t="s">
        <v>401</v>
      </c>
      <c r="C19" s="95" t="s">
        <v>387</v>
      </c>
      <c r="D19" s="98">
        <v>2199</v>
      </c>
      <c r="E19" s="96"/>
      <c r="F19" s="89" t="s">
        <v>149</v>
      </c>
      <c r="G19" s="89" t="s">
        <v>146</v>
      </c>
      <c r="H19" s="105" t="s">
        <v>402</v>
      </c>
      <c r="I19" s="89" t="s">
        <v>54</v>
      </c>
      <c r="J19" s="89" t="s">
        <v>54</v>
      </c>
      <c r="K19" s="107" t="s">
        <v>51</v>
      </c>
      <c r="L19" s="89" t="s">
        <v>384</v>
      </c>
      <c r="M19" s="89" t="s">
        <v>63</v>
      </c>
      <c r="N19" s="97" t="s">
        <v>58</v>
      </c>
      <c r="O19" s="90" t="s">
        <v>63</v>
      </c>
      <c r="P19" s="89" t="s">
        <v>54</v>
      </c>
      <c r="Q19" s="110" t="s">
        <v>403</v>
      </c>
      <c r="R19" s="89" t="s">
        <v>63</v>
      </c>
      <c r="S19" s="112" t="s">
        <v>392</v>
      </c>
      <c r="T19" s="90" t="s">
        <v>154</v>
      </c>
    </row>
    <row r="20" s="74" customFormat="1" spans="1:20">
      <c r="B20" s="94"/>
      <c r="C20" s="95" t="s">
        <v>389</v>
      </c>
      <c r="D20" s="98" t="e">
        <f>项目基准价!$C$15*PRODUCT(赋权表!F20:T20)</f>
        <v>#REF!</v>
      </c>
      <c r="E20" s="96" t="e">
        <f>D19/D20-1</f>
        <v>#REF!</v>
      </c>
      <c r="F20" s="105" t="e">
        <f>F18</f>
        <v>#REF!</v>
      </c>
      <c r="G20" s="105">
        <f>G18</f>
        <v>1</v>
      </c>
      <c r="H20" s="105" t="e">
        <f>【1】定价因子!#REF!</f>
        <v>#REF!</v>
      </c>
      <c r="I20" s="105">
        <f>I12</f>
        <v>1</v>
      </c>
      <c r="J20" s="105">
        <f>J12</f>
        <v>1</v>
      </c>
      <c r="K20" s="105">
        <f>K12</f>
        <v>1.05</v>
      </c>
      <c r="L20" s="105" t="e">
        <f>L12</f>
        <v>#REF!</v>
      </c>
      <c r="M20" s="105" t="e">
        <f>M12</f>
        <v>#REF!</v>
      </c>
      <c r="N20" s="105">
        <f>N14</f>
        <v>1.1</v>
      </c>
      <c r="O20" s="105" t="e">
        <f t="shared" ref="O20:P20" si="5">O14</f>
        <v>#REF!</v>
      </c>
      <c r="P20" s="105" t="e">
        <f t="shared" si="5"/>
        <v>#REF!</v>
      </c>
      <c r="Q20" s="105">
        <f>Q12</f>
        <v>1.03</v>
      </c>
      <c r="R20" s="105">
        <f>R12</f>
        <v>1</v>
      </c>
      <c r="S20" s="105">
        <f>S14</f>
        <v>1.06</v>
      </c>
      <c r="T20" s="105">
        <f>【1】定价因子!F65</f>
        <v>1.02</v>
      </c>
    </row>
    <row r="21" s="74" customFormat="1" ht="14" spans="1:20">
      <c r="B21" s="113" t="s">
        <v>404</v>
      </c>
      <c r="C21" s="95" t="s">
        <v>387</v>
      </c>
      <c r="D21" s="98">
        <v>839</v>
      </c>
      <c r="E21" s="96"/>
      <c r="F21" s="89" t="s">
        <v>149</v>
      </c>
      <c r="G21" s="89" t="s">
        <v>146</v>
      </c>
      <c r="H21" s="105" t="s">
        <v>402</v>
      </c>
      <c r="I21" s="89" t="s">
        <v>54</v>
      </c>
      <c r="J21" s="89" t="s">
        <v>54</v>
      </c>
      <c r="K21" s="107" t="s">
        <v>51</v>
      </c>
      <c r="L21" s="89" t="s">
        <v>384</v>
      </c>
      <c r="M21" s="89" t="s">
        <v>63</v>
      </c>
      <c r="N21" s="114" t="s">
        <v>405</v>
      </c>
      <c r="O21" s="90" t="s">
        <v>63</v>
      </c>
      <c r="P21" s="89" t="s">
        <v>54</v>
      </c>
      <c r="Q21" s="110" t="s">
        <v>403</v>
      </c>
      <c r="R21" s="114" t="s">
        <v>406</v>
      </c>
      <c r="S21" s="112" t="s">
        <v>392</v>
      </c>
      <c r="T21" s="90" t="s">
        <v>154</v>
      </c>
    </row>
    <row r="22" s="74" customFormat="1" spans="1:20">
      <c r="B22" s="94"/>
      <c r="C22" s="95" t="s">
        <v>389</v>
      </c>
      <c r="D22" s="109" t="e">
        <f>项目基准价!$C$14*PRODUCT(赋权表!F22:T22)</f>
        <v>#REF!</v>
      </c>
      <c r="E22" s="111" t="e">
        <f>D21/D22-1</f>
        <v>#REF!</v>
      </c>
      <c r="F22" s="105" t="e">
        <f>F20</f>
        <v>#REF!</v>
      </c>
      <c r="G22" s="105">
        <f t="shared" ref="G22:M22" si="6">G20</f>
        <v>1</v>
      </c>
      <c r="H22" s="105" t="e">
        <f t="shared" si="6"/>
        <v>#REF!</v>
      </c>
      <c r="I22" s="105">
        <f t="shared" si="6"/>
        <v>1</v>
      </c>
      <c r="J22" s="105">
        <f t="shared" si="6"/>
        <v>1</v>
      </c>
      <c r="K22" s="105">
        <f t="shared" si="6"/>
        <v>1.05</v>
      </c>
      <c r="L22" s="105" t="e">
        <f t="shared" si="6"/>
        <v>#REF!</v>
      </c>
      <c r="M22" s="105" t="e">
        <f t="shared" si="6"/>
        <v>#REF!</v>
      </c>
      <c r="N22" s="115">
        <v>0.86</v>
      </c>
      <c r="O22" s="105" t="e">
        <f>O20</f>
        <v>#REF!</v>
      </c>
      <c r="P22" s="105" t="e">
        <f>P20</f>
        <v>#REF!</v>
      </c>
      <c r="Q22" s="105">
        <f>Q20</f>
        <v>1.03</v>
      </c>
      <c r="R22" s="115">
        <v>0.9</v>
      </c>
      <c r="S22" s="105">
        <f>S20</f>
        <v>1.06</v>
      </c>
      <c r="T22" s="105">
        <f>T20</f>
        <v>1.02</v>
      </c>
    </row>
    <row r="23" s="74" customFormat="1" spans="1:20">
      <c r="B23" s="94" t="s">
        <v>407</v>
      </c>
      <c r="C23" s="95" t="s">
        <v>387</v>
      </c>
      <c r="D23" s="98">
        <v>1379</v>
      </c>
      <c r="E23" s="96"/>
      <c r="F23" s="89" t="s">
        <v>149</v>
      </c>
      <c r="G23" s="89" t="s">
        <v>146</v>
      </c>
      <c r="H23" s="101" t="s">
        <v>394</v>
      </c>
      <c r="I23" s="89" t="s">
        <v>54</v>
      </c>
      <c r="J23" s="89" t="s">
        <v>54</v>
      </c>
      <c r="K23" s="101" t="s">
        <v>51</v>
      </c>
      <c r="L23" s="89" t="s">
        <v>384</v>
      </c>
      <c r="M23" s="89" t="s">
        <v>63</v>
      </c>
      <c r="N23" s="89" t="s">
        <v>63</v>
      </c>
      <c r="O23" s="90" t="s">
        <v>63</v>
      </c>
      <c r="P23" s="89" t="s">
        <v>161</v>
      </c>
      <c r="Q23" s="110" t="s">
        <v>408</v>
      </c>
      <c r="R23" s="89" t="s">
        <v>63</v>
      </c>
      <c r="S23" s="112" t="s">
        <v>392</v>
      </c>
      <c r="T23" s="89" t="s">
        <v>63</v>
      </c>
    </row>
    <row r="24" s="74" customFormat="1" spans="1:20">
      <c r="B24" s="94"/>
      <c r="C24" s="95" t="s">
        <v>389</v>
      </c>
      <c r="D24" s="98" t="e">
        <f>项目基准价!$C$14*PRODUCT(赋权表!F24:T24)</f>
        <v>#REF!</v>
      </c>
      <c r="E24" s="96" t="e">
        <f>D23/D24-1</f>
        <v>#REF!</v>
      </c>
      <c r="F24" s="105" t="e">
        <f>F12</f>
        <v>#REF!</v>
      </c>
      <c r="G24" s="105">
        <f>G12</f>
        <v>1</v>
      </c>
      <c r="H24" s="105">
        <f t="shared" ref="H24:N24" si="7">H12</f>
        <v>1.04</v>
      </c>
      <c r="I24" s="105">
        <f t="shared" si="7"/>
        <v>1</v>
      </c>
      <c r="J24" s="105">
        <f t="shared" si="7"/>
        <v>1</v>
      </c>
      <c r="K24" s="105">
        <f t="shared" si="7"/>
        <v>1.05</v>
      </c>
      <c r="L24" s="105" t="e">
        <f t="shared" si="7"/>
        <v>#REF!</v>
      </c>
      <c r="M24" s="105" t="e">
        <f t="shared" si="7"/>
        <v>#REF!</v>
      </c>
      <c r="N24" s="105">
        <f t="shared" si="7"/>
        <v>1</v>
      </c>
      <c r="O24" s="107" t="e">
        <f>O22</f>
        <v>#REF!</v>
      </c>
      <c r="P24" s="97" t="e">
        <f>P12</f>
        <v>#REF!</v>
      </c>
      <c r="Q24" s="105">
        <f>【1】定价因子!F31</f>
        <v>1.02</v>
      </c>
      <c r="R24" s="105">
        <f>R12</f>
        <v>1</v>
      </c>
      <c r="S24" s="105">
        <f t="shared" ref="S24:T24" si="8">S12</f>
        <v>1.06</v>
      </c>
      <c r="T24" s="105">
        <f t="shared" si="8"/>
        <v>1</v>
      </c>
    </row>
    <row r="25" s="74" customFormat="1" spans="1:20">
      <c r="A25" s="74" t="s">
        <v>409</v>
      </c>
      <c r="B25" s="94" t="s">
        <v>410</v>
      </c>
      <c r="C25" s="95" t="s">
        <v>387</v>
      </c>
      <c r="D25" s="98">
        <v>1439</v>
      </c>
      <c r="E25" s="96"/>
      <c r="F25" s="89" t="s">
        <v>149</v>
      </c>
      <c r="G25" s="89" t="s">
        <v>146</v>
      </c>
      <c r="H25" s="89" t="s">
        <v>365</v>
      </c>
      <c r="I25" s="89" t="s">
        <v>54</v>
      </c>
      <c r="J25" s="89" t="s">
        <v>54</v>
      </c>
      <c r="K25" s="89" t="s">
        <v>54</v>
      </c>
      <c r="L25" s="89" t="s">
        <v>366</v>
      </c>
      <c r="M25" s="89" t="s">
        <v>63</v>
      </c>
      <c r="N25" s="89" t="s">
        <v>380</v>
      </c>
      <c r="O25" s="89" t="s">
        <v>63</v>
      </c>
      <c r="P25" s="116" t="s">
        <v>411</v>
      </c>
      <c r="Q25" s="105" t="s">
        <v>391</v>
      </c>
      <c r="R25" s="89" t="s">
        <v>63</v>
      </c>
      <c r="S25" s="112" t="s">
        <v>392</v>
      </c>
      <c r="T25" s="89" t="s">
        <v>63</v>
      </c>
    </row>
    <row r="26" s="74" customFormat="1" spans="1:20">
      <c r="B26" s="94"/>
      <c r="C26" s="95" t="s">
        <v>389</v>
      </c>
      <c r="D26" s="98" t="e">
        <f>项目基准价!$C$14*PRODUCT(赋权表!F26:T26)</f>
        <v>#REF!</v>
      </c>
      <c r="E26" s="96" t="e">
        <f>D25/D26-1</f>
        <v>#REF!</v>
      </c>
      <c r="F26" s="105" t="e">
        <f>F14</f>
        <v>#REF!</v>
      </c>
      <c r="G26" s="105">
        <f t="shared" ref="G26:M26" si="9">G14</f>
        <v>1</v>
      </c>
      <c r="H26" s="105">
        <f t="shared" si="9"/>
        <v>0.96</v>
      </c>
      <c r="I26" s="105">
        <f t="shared" si="9"/>
        <v>1</v>
      </c>
      <c r="J26" s="105">
        <f t="shared" si="9"/>
        <v>1</v>
      </c>
      <c r="K26" s="105">
        <f t="shared" si="9"/>
        <v>1</v>
      </c>
      <c r="L26" s="105" t="e">
        <f>L18</f>
        <v>#REF!</v>
      </c>
      <c r="M26" s="105" t="e">
        <f t="shared" si="9"/>
        <v>#REF!</v>
      </c>
      <c r="N26" s="105">
        <f>N16</f>
        <v>1.06</v>
      </c>
      <c r="O26" s="105" t="e">
        <f>O16</f>
        <v>#REF!</v>
      </c>
      <c r="P26" s="97">
        <f>【1】定价因子!F14</f>
        <v>1.07</v>
      </c>
      <c r="Q26" s="105">
        <f>【1】定价因子!F19</f>
        <v>1.01</v>
      </c>
      <c r="R26" s="105">
        <f>R24</f>
        <v>1</v>
      </c>
      <c r="S26" s="105">
        <f>S24</f>
        <v>1.06</v>
      </c>
      <c r="T26" s="105">
        <f t="shared" ref="T26" si="10">T24</f>
        <v>1</v>
      </c>
    </row>
    <row r="27" s="74" customFormat="1" spans="1:20">
      <c r="B27" s="94" t="s">
        <v>412</v>
      </c>
      <c r="C27" s="95" t="s">
        <v>387</v>
      </c>
      <c r="D27" s="98">
        <v>1799</v>
      </c>
      <c r="E27" s="96"/>
      <c r="F27" s="89" t="s">
        <v>149</v>
      </c>
      <c r="G27" s="89" t="s">
        <v>146</v>
      </c>
      <c r="H27" s="89" t="s">
        <v>365</v>
      </c>
      <c r="I27" s="89" t="s">
        <v>54</v>
      </c>
      <c r="J27" s="89" t="s">
        <v>54</v>
      </c>
      <c r="K27" s="89" t="s">
        <v>54</v>
      </c>
      <c r="L27" s="89" t="s">
        <v>366</v>
      </c>
      <c r="M27" s="89" t="s">
        <v>379</v>
      </c>
      <c r="N27" s="89" t="s">
        <v>63</v>
      </c>
      <c r="O27" s="90" t="s">
        <v>63</v>
      </c>
      <c r="P27" s="89" t="s">
        <v>54</v>
      </c>
      <c r="Q27" s="89" t="s">
        <v>413</v>
      </c>
      <c r="R27" s="89" t="s">
        <v>63</v>
      </c>
      <c r="S27" s="89" t="s">
        <v>63</v>
      </c>
      <c r="T27" s="89" t="s">
        <v>63</v>
      </c>
    </row>
    <row r="28" s="74" customFormat="1" spans="1:20">
      <c r="B28" s="94"/>
      <c r="C28" s="95" t="s">
        <v>389</v>
      </c>
      <c r="D28" s="98" t="e">
        <f>项目基准价!$C$15*PRODUCT(赋权表!F28:T28)</f>
        <v>#REF!</v>
      </c>
      <c r="E28" s="96" t="e">
        <f>D27/D28-1</f>
        <v>#REF!</v>
      </c>
      <c r="F28" s="105" t="e">
        <f>F26</f>
        <v>#REF!</v>
      </c>
      <c r="G28" s="105">
        <f t="shared" ref="G28:L28" si="11">G26</f>
        <v>1</v>
      </c>
      <c r="H28" s="105">
        <f t="shared" si="11"/>
        <v>0.96</v>
      </c>
      <c r="I28" s="105">
        <f t="shared" si="11"/>
        <v>1</v>
      </c>
      <c r="J28" s="105">
        <f t="shared" si="11"/>
        <v>1</v>
      </c>
      <c r="K28" s="105">
        <f t="shared" si="11"/>
        <v>1</v>
      </c>
      <c r="L28" s="105" t="e">
        <f t="shared" si="11"/>
        <v>#REF!</v>
      </c>
      <c r="M28" s="105" t="e">
        <f>【1】定价因子!#REF!</f>
        <v>#REF!</v>
      </c>
      <c r="N28" s="105">
        <f>N24</f>
        <v>1</v>
      </c>
      <c r="O28" s="105" t="e">
        <f t="shared" ref="O28" si="12">O24</f>
        <v>#REF!</v>
      </c>
      <c r="P28" s="105" t="e">
        <f>P22</f>
        <v>#REF!</v>
      </c>
      <c r="Q28" s="105">
        <f>【1】定价因子!F18</f>
        <v>1.02</v>
      </c>
      <c r="R28" s="105">
        <f>R26</f>
        <v>1</v>
      </c>
      <c r="S28" s="105">
        <f>【1】定价因子!F43</f>
        <v>1.03</v>
      </c>
      <c r="T28" s="105">
        <f>T26</f>
        <v>1</v>
      </c>
    </row>
    <row r="29" s="74" customFormat="1" spans="1:20">
      <c r="B29" s="94" t="s">
        <v>414</v>
      </c>
      <c r="C29" s="95" t="s">
        <v>387</v>
      </c>
      <c r="D29" s="98">
        <v>1999</v>
      </c>
      <c r="E29" s="96"/>
      <c r="F29" s="89" t="s">
        <v>149</v>
      </c>
      <c r="G29" s="89" t="s">
        <v>146</v>
      </c>
      <c r="H29" s="89" t="s">
        <v>365</v>
      </c>
      <c r="I29" s="89" t="s">
        <v>54</v>
      </c>
      <c r="J29" s="89" t="s">
        <v>54</v>
      </c>
      <c r="K29" s="89" t="s">
        <v>54</v>
      </c>
      <c r="L29" s="89" t="s">
        <v>366</v>
      </c>
      <c r="M29" s="89" t="s">
        <v>379</v>
      </c>
      <c r="N29" s="89" t="s">
        <v>63</v>
      </c>
      <c r="O29" s="90" t="s">
        <v>63</v>
      </c>
      <c r="P29" s="90" t="s">
        <v>163</v>
      </c>
      <c r="Q29" s="89" t="s">
        <v>413</v>
      </c>
      <c r="R29" s="89" t="s">
        <v>63</v>
      </c>
      <c r="S29" s="89" t="s">
        <v>63</v>
      </c>
      <c r="T29" s="90" t="s">
        <v>152</v>
      </c>
    </row>
    <row r="30" s="74" customFormat="1" spans="1:20">
      <c r="B30" s="94"/>
      <c r="C30" s="95" t="s">
        <v>389</v>
      </c>
      <c r="D30" s="98" t="e">
        <f>项目基准价!$C$15*PRODUCT(赋权表!F30:T30)</f>
        <v>#REF!</v>
      </c>
      <c r="E30" s="96" t="e">
        <f>D29/D30-1</f>
        <v>#REF!</v>
      </c>
      <c r="F30" s="105" t="e">
        <f>F28</f>
        <v>#REF!</v>
      </c>
      <c r="G30" s="105">
        <f t="shared" ref="G30:O30" si="13">G28</f>
        <v>1</v>
      </c>
      <c r="H30" s="105">
        <f t="shared" si="13"/>
        <v>0.96</v>
      </c>
      <c r="I30" s="105">
        <f t="shared" si="13"/>
        <v>1</v>
      </c>
      <c r="J30" s="105">
        <f t="shared" si="13"/>
        <v>1</v>
      </c>
      <c r="K30" s="105">
        <f t="shared" si="13"/>
        <v>1</v>
      </c>
      <c r="L30" s="105" t="e">
        <f t="shared" si="13"/>
        <v>#REF!</v>
      </c>
      <c r="M30" s="105" t="e">
        <f t="shared" si="13"/>
        <v>#REF!</v>
      </c>
      <c r="N30" s="105">
        <f t="shared" si="13"/>
        <v>1</v>
      </c>
      <c r="O30" s="105" t="e">
        <f t="shared" si="13"/>
        <v>#REF!</v>
      </c>
      <c r="P30" s="105">
        <f>【1】定价因子!F15</f>
        <v>1</v>
      </c>
      <c r="Q30" s="105">
        <f>Q28</f>
        <v>1.02</v>
      </c>
      <c r="R30" s="105">
        <f t="shared" ref="R30:S30" si="14">R28</f>
        <v>1</v>
      </c>
      <c r="S30" s="105">
        <f t="shared" si="14"/>
        <v>1.03</v>
      </c>
      <c r="T30" s="105">
        <f>【1】定价因子!F64</f>
        <v>1.045</v>
      </c>
    </row>
    <row r="31" s="74" customFormat="1" spans="1:20">
      <c r="B31" s="94" t="s">
        <v>415</v>
      </c>
      <c r="C31" s="95" t="s">
        <v>387</v>
      </c>
      <c r="D31" s="109">
        <v>1569</v>
      </c>
      <c r="E31" s="96"/>
      <c r="F31" s="89" t="s">
        <v>149</v>
      </c>
      <c r="G31" s="89" t="s">
        <v>146</v>
      </c>
      <c r="H31" s="89" t="s">
        <v>383</v>
      </c>
      <c r="I31" s="89" t="s">
        <v>54</v>
      </c>
      <c r="J31" s="89" t="s">
        <v>54</v>
      </c>
      <c r="K31" s="89" t="s">
        <v>54</v>
      </c>
      <c r="L31" s="89" t="s">
        <v>366</v>
      </c>
      <c r="M31" s="89" t="s">
        <v>63</v>
      </c>
      <c r="N31" s="89" t="s">
        <v>63</v>
      </c>
      <c r="O31" s="90" t="s">
        <v>63</v>
      </c>
      <c r="P31" s="90" t="s">
        <v>163</v>
      </c>
      <c r="Q31" s="105" t="s">
        <v>391</v>
      </c>
      <c r="R31" s="112" t="s">
        <v>112</v>
      </c>
      <c r="S31" s="90" t="s">
        <v>388</v>
      </c>
      <c r="T31" s="89" t="s">
        <v>63</v>
      </c>
    </row>
    <row r="32" s="74" customFormat="1" spans="1:20">
      <c r="A32" s="74" t="s">
        <v>416</v>
      </c>
      <c r="B32" s="94"/>
      <c r="C32" s="95" t="s">
        <v>389</v>
      </c>
      <c r="D32" s="98" t="e">
        <f>项目基准价!$C$16*PRODUCT(赋权表!F32:T32)</f>
        <v>#REF!</v>
      </c>
      <c r="E32" s="111" t="e">
        <f>D31/D32-1</f>
        <v>#REF!</v>
      </c>
      <c r="F32" s="105" t="e">
        <f>F18</f>
        <v>#REF!</v>
      </c>
      <c r="G32" s="105">
        <f t="shared" ref="G32:M32" si="15">G18</f>
        <v>1</v>
      </c>
      <c r="H32" s="105" t="e">
        <f t="shared" si="15"/>
        <v>#REF!</v>
      </c>
      <c r="I32" s="105">
        <f t="shared" si="15"/>
        <v>1</v>
      </c>
      <c r="J32" s="105">
        <f t="shared" si="15"/>
        <v>1</v>
      </c>
      <c r="K32" s="105">
        <f t="shared" si="15"/>
        <v>1</v>
      </c>
      <c r="L32" s="105" t="e">
        <f t="shared" si="15"/>
        <v>#REF!</v>
      </c>
      <c r="M32" s="105" t="e">
        <f t="shared" si="15"/>
        <v>#REF!</v>
      </c>
      <c r="N32" s="105">
        <f>N30</f>
        <v>1</v>
      </c>
      <c r="O32" s="105" t="e">
        <f>O30</f>
        <v>#REF!</v>
      </c>
      <c r="P32" s="105">
        <f>P30</f>
        <v>1</v>
      </c>
      <c r="Q32" s="105">
        <f>Q30</f>
        <v>1.02</v>
      </c>
      <c r="R32" s="105"/>
      <c r="S32" s="105">
        <f>S8</f>
        <v>1</v>
      </c>
      <c r="T32" s="105">
        <f>T28</f>
        <v>1</v>
      </c>
    </row>
    <row r="33" s="74" customFormat="1" spans="1:20">
      <c r="B33" s="113" t="s">
        <v>417</v>
      </c>
      <c r="C33" s="95" t="s">
        <v>387</v>
      </c>
      <c r="D33" s="98">
        <v>2299</v>
      </c>
      <c r="E33" s="117"/>
      <c r="F33" s="89" t="s">
        <v>149</v>
      </c>
      <c r="G33" s="89" t="s">
        <v>146</v>
      </c>
      <c r="H33" s="101" t="s">
        <v>394</v>
      </c>
      <c r="I33" s="89" t="s">
        <v>54</v>
      </c>
      <c r="J33" s="89" t="s">
        <v>54</v>
      </c>
      <c r="K33" s="101" t="s">
        <v>51</v>
      </c>
      <c r="L33" s="89" t="s">
        <v>384</v>
      </c>
      <c r="M33" s="89" t="s">
        <v>63</v>
      </c>
      <c r="N33" s="89" t="s">
        <v>380</v>
      </c>
      <c r="O33" s="90" t="s">
        <v>63</v>
      </c>
      <c r="P33" s="89" t="s">
        <v>161</v>
      </c>
      <c r="Q33" s="105" t="s">
        <v>395</v>
      </c>
      <c r="R33" s="89" t="s">
        <v>63</v>
      </c>
      <c r="S33" s="112" t="s">
        <v>392</v>
      </c>
      <c r="T33" s="90" t="s">
        <v>154</v>
      </c>
    </row>
    <row r="34" s="74" customFormat="1" spans="1:20">
      <c r="B34" s="94"/>
      <c r="C34" s="95" t="s">
        <v>389</v>
      </c>
      <c r="D34" s="98" t="e">
        <f>项目基准价!$C$15*PRODUCT(赋权表!F34:T34)</f>
        <v>#REF!</v>
      </c>
      <c r="E34" s="96" t="e">
        <f>D33/D34-1</f>
        <v>#REF!</v>
      </c>
      <c r="F34" s="105" t="e">
        <f>F24</f>
        <v>#REF!</v>
      </c>
      <c r="G34" s="105">
        <f t="shared" ref="G34:M34" si="16">G24</f>
        <v>1</v>
      </c>
      <c r="H34" s="105">
        <f t="shared" si="16"/>
        <v>1.04</v>
      </c>
      <c r="I34" s="105">
        <f t="shared" si="16"/>
        <v>1</v>
      </c>
      <c r="J34" s="105">
        <f t="shared" si="16"/>
        <v>1</v>
      </c>
      <c r="K34" s="105">
        <f t="shared" si="16"/>
        <v>1.05</v>
      </c>
      <c r="L34" s="105" t="e">
        <f t="shared" si="16"/>
        <v>#REF!</v>
      </c>
      <c r="M34" s="105" t="e">
        <f t="shared" si="16"/>
        <v>#REF!</v>
      </c>
      <c r="N34" s="105">
        <f>N26</f>
        <v>1.06</v>
      </c>
      <c r="O34" s="105" t="e">
        <f>O26</f>
        <v>#REF!</v>
      </c>
      <c r="P34" s="105" t="e">
        <f>P24</f>
        <v>#REF!</v>
      </c>
      <c r="Q34" s="105">
        <f>【1】定价因子!F32</f>
        <v>1.03</v>
      </c>
      <c r="R34" s="105">
        <f>R30</f>
        <v>1</v>
      </c>
      <c r="S34" s="105">
        <f>S10</f>
        <v>1.06</v>
      </c>
      <c r="T34" s="105">
        <f>T20</f>
        <v>1.02</v>
      </c>
    </row>
    <row r="35" s="74" customFormat="1" spans="1:20">
      <c r="A35" s="74" t="s">
        <v>409</v>
      </c>
      <c r="B35" s="94" t="s">
        <v>418</v>
      </c>
      <c r="C35" s="95" t="s">
        <v>387</v>
      </c>
      <c r="D35" s="98">
        <v>1249</v>
      </c>
      <c r="E35" s="96"/>
      <c r="F35" s="89" t="s">
        <v>149</v>
      </c>
      <c r="G35" s="89" t="s">
        <v>146</v>
      </c>
      <c r="H35" s="89" t="s">
        <v>365</v>
      </c>
      <c r="I35" s="89" t="s">
        <v>54</v>
      </c>
      <c r="J35" s="89" t="s">
        <v>54</v>
      </c>
      <c r="K35" s="89" t="s">
        <v>54</v>
      </c>
      <c r="L35" s="89" t="s">
        <v>366</v>
      </c>
      <c r="M35" s="89" t="s">
        <v>379</v>
      </c>
      <c r="N35" s="89" t="s">
        <v>63</v>
      </c>
      <c r="O35" s="90" t="s">
        <v>63</v>
      </c>
      <c r="P35" s="89" t="s">
        <v>54</v>
      </c>
      <c r="Q35" s="105" t="s">
        <v>419</v>
      </c>
      <c r="R35" s="89" t="s">
        <v>63</v>
      </c>
      <c r="S35" s="112" t="s">
        <v>392</v>
      </c>
      <c r="T35" s="89" t="s">
        <v>63</v>
      </c>
    </row>
    <row r="36" s="74" customFormat="1" spans="1:20">
      <c r="B36" s="94"/>
      <c r="C36" s="95" t="s">
        <v>389</v>
      </c>
      <c r="D36" s="98" t="e">
        <f>项目基准价!$C$14*PRODUCT(赋权表!F36:T36)</f>
        <v>#REF!</v>
      </c>
      <c r="E36" s="96" t="e">
        <f>D35/D36-1</f>
        <v>#REF!</v>
      </c>
      <c r="F36" s="105" t="e">
        <f>F30</f>
        <v>#REF!</v>
      </c>
      <c r="G36" s="105">
        <f t="shared" ref="G36:N36" si="17">G30</f>
        <v>1</v>
      </c>
      <c r="H36" s="105">
        <f t="shared" si="17"/>
        <v>0.96</v>
      </c>
      <c r="I36" s="105">
        <f>I34</f>
        <v>1</v>
      </c>
      <c r="J36" s="105">
        <f t="shared" si="17"/>
        <v>1</v>
      </c>
      <c r="K36" s="105">
        <f t="shared" si="17"/>
        <v>1</v>
      </c>
      <c r="L36" s="105" t="e">
        <f>L32</f>
        <v>#REF!</v>
      </c>
      <c r="M36" s="105" t="e">
        <f t="shared" si="17"/>
        <v>#REF!</v>
      </c>
      <c r="N36" s="105">
        <f t="shared" si="17"/>
        <v>1</v>
      </c>
      <c r="O36" s="105" t="e">
        <f>O34</f>
        <v>#REF!</v>
      </c>
      <c r="P36" s="105" t="e">
        <f>P28</f>
        <v>#REF!</v>
      </c>
      <c r="Q36" s="105">
        <f>【1】定价因子!F22</f>
        <v>0.98</v>
      </c>
      <c r="R36" s="105">
        <f>R34</f>
        <v>1</v>
      </c>
      <c r="S36" s="105">
        <f>S34</f>
        <v>1.06</v>
      </c>
      <c r="T36" s="105">
        <f>T32</f>
        <v>1</v>
      </c>
    </row>
    <row r="37" s="74" customFormat="1" spans="1:20">
      <c r="A37" s="74" t="s">
        <v>409</v>
      </c>
      <c r="B37" s="94" t="s">
        <v>420</v>
      </c>
      <c r="C37" s="95" t="s">
        <v>387</v>
      </c>
      <c r="D37" s="98">
        <v>1299</v>
      </c>
      <c r="E37" s="96"/>
      <c r="F37" s="89" t="s">
        <v>149</v>
      </c>
      <c r="G37" s="89" t="s">
        <v>146</v>
      </c>
      <c r="H37" s="89" t="s">
        <v>365</v>
      </c>
      <c r="I37" s="89" t="s">
        <v>54</v>
      </c>
      <c r="J37" s="89" t="s">
        <v>54</v>
      </c>
      <c r="K37" s="89" t="s">
        <v>54</v>
      </c>
      <c r="L37" s="89" t="s">
        <v>366</v>
      </c>
      <c r="M37" s="89" t="s">
        <v>63</v>
      </c>
      <c r="N37" s="89" t="s">
        <v>63</v>
      </c>
      <c r="O37" s="90" t="s">
        <v>63</v>
      </c>
      <c r="P37" s="89" t="s">
        <v>54</v>
      </c>
      <c r="Q37" s="105" t="s">
        <v>385</v>
      </c>
      <c r="R37" s="89" t="s">
        <v>63</v>
      </c>
      <c r="S37" s="89" t="s">
        <v>63</v>
      </c>
      <c r="T37" s="89" t="s">
        <v>63</v>
      </c>
    </row>
    <row r="38" s="74" customFormat="1" spans="1:20">
      <c r="B38" s="94"/>
      <c r="C38" s="95" t="s">
        <v>389</v>
      </c>
      <c r="D38" s="98" t="e">
        <f>项目基准价!$C$14*PRODUCT(赋权表!F38:T38)</f>
        <v>#REF!</v>
      </c>
      <c r="E38" s="111" t="e">
        <f>D37/D38-1</f>
        <v>#REF!</v>
      </c>
      <c r="F38" s="105" t="e">
        <f>F8</f>
        <v>#REF!</v>
      </c>
      <c r="G38" s="105">
        <f t="shared" ref="G38:M38" si="18">G8</f>
        <v>1</v>
      </c>
      <c r="H38" s="105">
        <f t="shared" si="18"/>
        <v>0.96</v>
      </c>
      <c r="I38" s="105">
        <f>I36</f>
        <v>1</v>
      </c>
      <c r="J38" s="105">
        <f t="shared" si="18"/>
        <v>1</v>
      </c>
      <c r="K38" s="105">
        <f t="shared" si="18"/>
        <v>1</v>
      </c>
      <c r="L38" s="105" t="e">
        <f t="shared" si="18"/>
        <v>#REF!</v>
      </c>
      <c r="M38" s="105" t="e">
        <f t="shared" si="18"/>
        <v>#REF!</v>
      </c>
      <c r="N38" s="118">
        <f>N36</f>
        <v>1</v>
      </c>
      <c r="O38" s="118" t="e">
        <f t="shared" ref="O38:P38" si="19">O36</f>
        <v>#REF!</v>
      </c>
      <c r="P38" s="118" t="e">
        <f t="shared" si="19"/>
        <v>#REF!</v>
      </c>
      <c r="Q38" s="74">
        <f>【1】定价因子!F21</f>
        <v>0.99</v>
      </c>
      <c r="R38" s="118">
        <f>R36</f>
        <v>1</v>
      </c>
      <c r="S38" s="118">
        <f>S28</f>
        <v>1.03</v>
      </c>
      <c r="T38" s="118">
        <f>T28</f>
        <v>1</v>
      </c>
    </row>
    <row r="39" s="74" customFormat="1" spans="1:20">
      <c r="B39" s="94" t="s">
        <v>421</v>
      </c>
      <c r="C39" s="95" t="s">
        <v>387</v>
      </c>
      <c r="D39" s="98">
        <v>1239</v>
      </c>
      <c r="E39" s="96"/>
      <c r="F39" s="89" t="s">
        <v>149</v>
      </c>
      <c r="G39" s="89" t="s">
        <v>146</v>
      </c>
      <c r="H39" s="89" t="s">
        <v>383</v>
      </c>
      <c r="I39" s="89" t="s">
        <v>54</v>
      </c>
      <c r="J39" s="89" t="s">
        <v>54</v>
      </c>
      <c r="K39" s="89" t="s">
        <v>54</v>
      </c>
      <c r="L39" s="89" t="s">
        <v>366</v>
      </c>
      <c r="M39" s="89" t="s">
        <v>63</v>
      </c>
      <c r="N39" s="89" t="s">
        <v>63</v>
      </c>
      <c r="O39" s="90" t="s">
        <v>63</v>
      </c>
      <c r="P39" s="89" t="s">
        <v>54</v>
      </c>
      <c r="Q39" s="105" t="s">
        <v>385</v>
      </c>
      <c r="R39" s="89" t="s">
        <v>132</v>
      </c>
      <c r="S39" s="90" t="s">
        <v>388</v>
      </c>
      <c r="T39" s="89" t="s">
        <v>63</v>
      </c>
    </row>
    <row r="40" s="74" customFormat="1" spans="1:20">
      <c r="B40" s="94"/>
      <c r="C40" s="95" t="s">
        <v>389</v>
      </c>
      <c r="D40" s="98" t="e">
        <f>项目基准价!$C$13*PRODUCT(赋权表!F40:T40)</f>
        <v>#REF!</v>
      </c>
      <c r="E40" s="96" t="e">
        <f>D39/D40-1</f>
        <v>#REF!</v>
      </c>
      <c r="F40" s="105" t="e">
        <f>F32</f>
        <v>#REF!</v>
      </c>
      <c r="G40" s="105">
        <f t="shared" ref="G40:M40" si="20">G32</f>
        <v>1</v>
      </c>
      <c r="H40" s="105" t="e">
        <f t="shared" si="20"/>
        <v>#REF!</v>
      </c>
      <c r="I40" s="105">
        <f>I38</f>
        <v>1</v>
      </c>
      <c r="J40" s="105">
        <f t="shared" si="20"/>
        <v>1</v>
      </c>
      <c r="K40" s="105">
        <f t="shared" si="20"/>
        <v>1</v>
      </c>
      <c r="L40" s="105" t="e">
        <f t="shared" si="20"/>
        <v>#REF!</v>
      </c>
      <c r="M40" s="105" t="e">
        <f t="shared" si="20"/>
        <v>#REF!</v>
      </c>
      <c r="N40" s="105">
        <f>N38</f>
        <v>1</v>
      </c>
      <c r="O40" s="105" t="e">
        <f>O38</f>
        <v>#REF!</v>
      </c>
      <c r="P40" s="105" t="e">
        <f>P38</f>
        <v>#REF!</v>
      </c>
      <c r="Q40" s="105">
        <f>Q38</f>
        <v>0.99</v>
      </c>
      <c r="R40" s="105">
        <f>R14</f>
        <v>1.04</v>
      </c>
      <c r="S40" s="105">
        <f>S32</f>
        <v>1</v>
      </c>
      <c r="T40" s="105">
        <f>T38</f>
        <v>1</v>
      </c>
    </row>
    <row r="41" s="74" customFormat="1" spans="1:20">
      <c r="A41" s="74" t="s">
        <v>416</v>
      </c>
      <c r="B41" s="94" t="s">
        <v>422</v>
      </c>
      <c r="C41" s="95" t="s">
        <v>387</v>
      </c>
      <c r="D41" s="98">
        <v>1699</v>
      </c>
      <c r="E41" s="96"/>
      <c r="F41" s="89" t="s">
        <v>149</v>
      </c>
      <c r="G41" s="89" t="s">
        <v>146</v>
      </c>
      <c r="H41" s="89" t="s">
        <v>365</v>
      </c>
      <c r="I41" s="89" t="s">
        <v>54</v>
      </c>
      <c r="J41" s="89" t="s">
        <v>54</v>
      </c>
      <c r="K41" s="89" t="s">
        <v>54</v>
      </c>
      <c r="L41" s="89" t="s">
        <v>366</v>
      </c>
      <c r="M41" s="89" t="s">
        <v>63</v>
      </c>
      <c r="N41" s="89" t="s">
        <v>63</v>
      </c>
      <c r="O41" s="90" t="s">
        <v>63</v>
      </c>
      <c r="P41" s="89" t="s">
        <v>54</v>
      </c>
      <c r="Q41" s="105" t="s">
        <v>391</v>
      </c>
      <c r="R41" s="112" t="s">
        <v>112</v>
      </c>
      <c r="S41" s="90" t="s">
        <v>63</v>
      </c>
      <c r="T41" s="89" t="s">
        <v>63</v>
      </c>
    </row>
    <row r="42" s="74" customFormat="1" spans="1:20">
      <c r="B42" s="94"/>
      <c r="C42" s="95" t="s">
        <v>389</v>
      </c>
      <c r="D42" s="98" t="e">
        <f>项目基准价!$C$16*PRODUCT(赋权表!F42:T42)</f>
        <v>#REF!</v>
      </c>
      <c r="E42" s="96" t="e">
        <f>D41/D42-1</f>
        <v>#REF!</v>
      </c>
      <c r="F42" s="105" t="e">
        <f>F38</f>
        <v>#REF!</v>
      </c>
      <c r="G42" s="105">
        <f t="shared" ref="G42:N42" si="21">G38</f>
        <v>1</v>
      </c>
      <c r="H42" s="105">
        <f t="shared" si="21"/>
        <v>0.96</v>
      </c>
      <c r="I42" s="105">
        <f t="shared" si="21"/>
        <v>1</v>
      </c>
      <c r="J42" s="105">
        <f t="shared" si="21"/>
        <v>1</v>
      </c>
      <c r="K42" s="105">
        <f t="shared" si="21"/>
        <v>1</v>
      </c>
      <c r="L42" s="105" t="e">
        <f t="shared" si="21"/>
        <v>#REF!</v>
      </c>
      <c r="M42" s="105" t="e">
        <f t="shared" si="21"/>
        <v>#REF!</v>
      </c>
      <c r="N42" s="118">
        <f t="shared" si="21"/>
        <v>1</v>
      </c>
      <c r="O42" s="105" t="e">
        <f>O40</f>
        <v>#REF!</v>
      </c>
      <c r="P42" s="105" t="e">
        <f>P40</f>
        <v>#REF!</v>
      </c>
      <c r="Q42" s="105">
        <f>Q32</f>
        <v>1.02</v>
      </c>
      <c r="R42" s="105"/>
      <c r="S42" s="105">
        <f>S38</f>
        <v>1.03</v>
      </c>
      <c r="T42" s="105">
        <f>T40</f>
        <v>1</v>
      </c>
    </row>
    <row r="43" s="74" customFormat="1" spans="1:20">
      <c r="B43" s="94" t="s">
        <v>423</v>
      </c>
      <c r="C43" s="95" t="s">
        <v>387</v>
      </c>
      <c r="D43" s="109">
        <v>1239</v>
      </c>
      <c r="E43" s="96"/>
      <c r="F43" s="89" t="s">
        <v>149</v>
      </c>
      <c r="G43" s="89" t="s">
        <v>146</v>
      </c>
      <c r="H43" s="89" t="s">
        <v>383</v>
      </c>
      <c r="I43" s="90" t="s">
        <v>161</v>
      </c>
      <c r="J43" s="89" t="s">
        <v>54</v>
      </c>
      <c r="K43" s="89" t="s">
        <v>54</v>
      </c>
      <c r="L43" s="89" t="s">
        <v>366</v>
      </c>
      <c r="M43" s="89" t="s">
        <v>63</v>
      </c>
      <c r="N43" s="89" t="s">
        <v>380</v>
      </c>
      <c r="O43" s="90" t="s">
        <v>63</v>
      </c>
      <c r="P43" s="89" t="s">
        <v>54</v>
      </c>
      <c r="Q43" s="105" t="s">
        <v>385</v>
      </c>
      <c r="R43" s="89" t="s">
        <v>132</v>
      </c>
      <c r="S43" s="90" t="s">
        <v>388</v>
      </c>
      <c r="T43" s="89" t="s">
        <v>63</v>
      </c>
    </row>
    <row r="44" s="74" customFormat="1" spans="1:20">
      <c r="B44" s="94"/>
      <c r="C44" s="95" t="s">
        <v>389</v>
      </c>
      <c r="D44" s="98" t="e">
        <f>项目基准价!$C$13*PRODUCT(赋权表!F44:T44)</f>
        <v>#REF!</v>
      </c>
      <c r="E44" s="111" t="e">
        <f>D43/D44-1</f>
        <v>#REF!</v>
      </c>
      <c r="F44" s="105" t="e">
        <f>F42</f>
        <v>#REF!</v>
      </c>
      <c r="G44" s="105">
        <f>G42</f>
        <v>1</v>
      </c>
      <c r="H44" s="105" t="e">
        <f>H40</f>
        <v>#REF!</v>
      </c>
      <c r="I44" s="105">
        <f>【1】定价因子!F69</f>
        <v>0.975</v>
      </c>
      <c r="J44" s="105">
        <f t="shared" ref="J44:N44" si="22">J34</f>
        <v>1</v>
      </c>
      <c r="K44" s="105">
        <f>K38</f>
        <v>1</v>
      </c>
      <c r="L44" s="105" t="e">
        <f>L36</f>
        <v>#REF!</v>
      </c>
      <c r="M44" s="105" t="e">
        <f t="shared" si="22"/>
        <v>#REF!</v>
      </c>
      <c r="N44" s="105">
        <f t="shared" si="22"/>
        <v>1.06</v>
      </c>
      <c r="O44" s="105" t="e">
        <f>O40</f>
        <v>#REF!</v>
      </c>
      <c r="P44" s="105" t="e">
        <f t="shared" ref="P44:T44" si="23">P40</f>
        <v>#REF!</v>
      </c>
      <c r="Q44" s="105">
        <f t="shared" si="23"/>
        <v>0.99</v>
      </c>
      <c r="R44" s="105">
        <f t="shared" si="23"/>
        <v>1.04</v>
      </c>
      <c r="S44" s="105">
        <f>S32</f>
        <v>1</v>
      </c>
      <c r="T44" s="105">
        <f t="shared" si="23"/>
        <v>1</v>
      </c>
    </row>
    <row r="45" s="74" customFormat="1" spans="1:20">
      <c r="B45" s="94" t="s">
        <v>424</v>
      </c>
      <c r="C45" s="95" t="s">
        <v>387</v>
      </c>
      <c r="D45" s="109">
        <v>1239</v>
      </c>
      <c r="E45" s="96"/>
      <c r="F45" s="97" t="s">
        <v>150</v>
      </c>
      <c r="G45" s="89" t="s">
        <v>146</v>
      </c>
      <c r="H45" s="89" t="s">
        <v>383</v>
      </c>
      <c r="I45" s="89" t="s">
        <v>54</v>
      </c>
      <c r="J45" s="89" t="s">
        <v>54</v>
      </c>
      <c r="K45" s="89" t="s">
        <v>54</v>
      </c>
      <c r="L45" s="89" t="s">
        <v>366</v>
      </c>
      <c r="M45" s="89" t="s">
        <v>63</v>
      </c>
      <c r="N45" s="89" t="s">
        <v>380</v>
      </c>
      <c r="O45" s="90" t="s">
        <v>63</v>
      </c>
      <c r="P45" s="89" t="s">
        <v>54</v>
      </c>
      <c r="Q45" s="105" t="s">
        <v>391</v>
      </c>
      <c r="R45" s="89" t="s">
        <v>132</v>
      </c>
      <c r="S45" s="89" t="s">
        <v>63</v>
      </c>
      <c r="T45" s="89" t="s">
        <v>63</v>
      </c>
    </row>
    <row r="46" s="74" customFormat="1" spans="1:20">
      <c r="B46" s="94"/>
      <c r="C46" s="95" t="s">
        <v>389</v>
      </c>
      <c r="D46" s="98" t="e">
        <f>项目基准价!$C$13*PRODUCT(赋权表!F46:T46)</f>
        <v>#REF!</v>
      </c>
      <c r="E46" s="111" t="e">
        <f>D45/D46-1</f>
        <v>#REF!</v>
      </c>
      <c r="F46" s="105" t="e">
        <f>F10</f>
        <v>#REF!</v>
      </c>
      <c r="G46" s="105">
        <f t="shared" ref="G46:M46" si="24">G10</f>
        <v>1</v>
      </c>
      <c r="H46" s="105" t="e">
        <f t="shared" si="24"/>
        <v>#REF!</v>
      </c>
      <c r="I46" s="105">
        <f t="shared" si="24"/>
        <v>1</v>
      </c>
      <c r="J46" s="105">
        <f t="shared" si="24"/>
        <v>1</v>
      </c>
      <c r="K46" s="105">
        <f t="shared" si="24"/>
        <v>1</v>
      </c>
      <c r="L46" s="105" t="e">
        <f t="shared" si="24"/>
        <v>#REF!</v>
      </c>
      <c r="M46" s="105" t="e">
        <f t="shared" si="24"/>
        <v>#REF!</v>
      </c>
      <c r="N46" s="105">
        <f>N34</f>
        <v>1.06</v>
      </c>
      <c r="O46" s="105" t="e">
        <f>O44</f>
        <v>#REF!</v>
      </c>
      <c r="P46" s="105" t="e">
        <f>P44</f>
        <v>#REF!</v>
      </c>
      <c r="Q46" s="105">
        <f>Q42</f>
        <v>1.02</v>
      </c>
      <c r="R46" s="105">
        <f>R44</f>
        <v>1.04</v>
      </c>
      <c r="S46" s="105">
        <f>S42</f>
        <v>1.03</v>
      </c>
      <c r="T46" s="105">
        <f>T44</f>
        <v>1</v>
      </c>
    </row>
    <row r="47" s="74" customFormat="1" spans="1:20">
      <c r="B47" s="94" t="s">
        <v>425</v>
      </c>
      <c r="C47" s="95" t="s">
        <v>387</v>
      </c>
      <c r="D47" s="109">
        <v>1629</v>
      </c>
      <c r="E47" s="96"/>
      <c r="F47" s="89" t="s">
        <v>149</v>
      </c>
      <c r="G47" s="89" t="s">
        <v>146</v>
      </c>
      <c r="H47" s="89" t="s">
        <v>365</v>
      </c>
      <c r="I47" s="89" t="s">
        <v>54</v>
      </c>
      <c r="J47" s="89" t="s">
        <v>54</v>
      </c>
      <c r="K47" s="101" t="s">
        <v>51</v>
      </c>
      <c r="L47" s="89" t="s">
        <v>366</v>
      </c>
      <c r="M47" s="89" t="s">
        <v>63</v>
      </c>
      <c r="N47" s="89" t="s">
        <v>63</v>
      </c>
      <c r="O47" s="90" t="s">
        <v>63</v>
      </c>
      <c r="P47" s="89" t="s">
        <v>54</v>
      </c>
      <c r="Q47" s="105" t="s">
        <v>426</v>
      </c>
      <c r="R47" s="89" t="s">
        <v>63</v>
      </c>
      <c r="S47" s="89" t="s">
        <v>63</v>
      </c>
      <c r="T47" s="90" t="s">
        <v>154</v>
      </c>
    </row>
    <row r="48" s="74" customFormat="1" spans="1:20">
      <c r="B48" s="94"/>
      <c r="C48" s="95" t="s">
        <v>389</v>
      </c>
      <c r="D48" s="98" t="e">
        <f>项目基准价!$C$13*PRODUCT(赋权表!F48:T48)</f>
        <v>#REF!</v>
      </c>
      <c r="E48" s="111" t="e">
        <f>D47/D48-1</f>
        <v>#REF!</v>
      </c>
      <c r="F48" s="105" t="e">
        <f>F34</f>
        <v>#REF!</v>
      </c>
      <c r="G48" s="105">
        <f>G34</f>
        <v>1</v>
      </c>
      <c r="H48" s="105">
        <f>H42</f>
        <v>0.96</v>
      </c>
      <c r="I48" s="105">
        <f>I34</f>
        <v>1</v>
      </c>
      <c r="J48" s="105">
        <f t="shared" ref="J48:M48" si="25">J34</f>
        <v>1</v>
      </c>
      <c r="K48" s="105">
        <f t="shared" si="25"/>
        <v>1.05</v>
      </c>
      <c r="L48" s="105" t="e">
        <f>L46</f>
        <v>#REF!</v>
      </c>
      <c r="M48" s="105" t="e">
        <f t="shared" si="25"/>
        <v>#REF!</v>
      </c>
      <c r="N48" s="105">
        <f>N40</f>
        <v>1</v>
      </c>
      <c r="O48" s="105" t="e">
        <f t="shared" ref="O48:P48" si="26">O40</f>
        <v>#REF!</v>
      </c>
      <c r="P48" s="105" t="e">
        <f t="shared" si="26"/>
        <v>#REF!</v>
      </c>
      <c r="Q48" s="105">
        <f>【1】定价因子!F32</f>
        <v>1.03</v>
      </c>
      <c r="R48" s="105">
        <f>R38</f>
        <v>1</v>
      </c>
      <c r="S48" s="105">
        <f t="shared" ref="S48" si="27">S38</f>
        <v>1.03</v>
      </c>
      <c r="T48" s="105">
        <f>T20</f>
        <v>1.02</v>
      </c>
    </row>
    <row r="49" s="74" customFormat="1" spans="1:20">
      <c r="A49" s="74" t="s">
        <v>427</v>
      </c>
      <c r="B49" s="94" t="s">
        <v>428</v>
      </c>
      <c r="C49" s="95" t="s">
        <v>387</v>
      </c>
      <c r="D49" s="98">
        <v>1449</v>
      </c>
      <c r="E49" s="96"/>
      <c r="F49" s="89" t="s">
        <v>149</v>
      </c>
      <c r="G49" s="89" t="s">
        <v>146</v>
      </c>
      <c r="H49" s="89" t="s">
        <v>365</v>
      </c>
      <c r="I49" s="89" t="s">
        <v>54</v>
      </c>
      <c r="J49" s="89" t="s">
        <v>54</v>
      </c>
      <c r="K49" s="101" t="s">
        <v>51</v>
      </c>
      <c r="L49" s="89" t="s">
        <v>366</v>
      </c>
      <c r="M49" s="89" t="s">
        <v>63</v>
      </c>
      <c r="N49" s="89" t="s">
        <v>63</v>
      </c>
      <c r="O49" s="90" t="s">
        <v>63</v>
      </c>
      <c r="P49" s="89" t="s">
        <v>54</v>
      </c>
      <c r="Q49" s="105" t="s">
        <v>391</v>
      </c>
      <c r="R49" s="89" t="s">
        <v>132</v>
      </c>
      <c r="S49" s="90" t="s">
        <v>388</v>
      </c>
      <c r="T49" s="89" t="s">
        <v>63</v>
      </c>
    </row>
    <row r="50" s="74" customFormat="1" spans="1:20">
      <c r="B50" s="94"/>
      <c r="C50" s="95" t="s">
        <v>389</v>
      </c>
      <c r="D50" s="98" t="e">
        <f>项目基准价!$C$13*PRODUCT(赋权表!F50:T50)</f>
        <v>#REF!</v>
      </c>
      <c r="E50" s="111" t="e">
        <f>D49/D50-1</f>
        <v>#REF!</v>
      </c>
      <c r="F50" s="105" t="e">
        <f>F26</f>
        <v>#REF!</v>
      </c>
      <c r="G50" s="105">
        <f t="shared" ref="G50:M50" si="28">G26</f>
        <v>1</v>
      </c>
      <c r="H50" s="105">
        <f t="shared" si="28"/>
        <v>0.96</v>
      </c>
      <c r="I50" s="105">
        <f t="shared" si="28"/>
        <v>1</v>
      </c>
      <c r="J50" s="105">
        <f t="shared" si="28"/>
        <v>1</v>
      </c>
      <c r="K50" s="105">
        <f t="shared" si="28"/>
        <v>1</v>
      </c>
      <c r="L50" s="105" t="e">
        <f t="shared" si="28"/>
        <v>#REF!</v>
      </c>
      <c r="M50" s="105" t="e">
        <f t="shared" si="28"/>
        <v>#REF!</v>
      </c>
      <c r="N50" s="105">
        <f>N48</f>
        <v>1</v>
      </c>
      <c r="O50" s="105" t="e">
        <f>O48</f>
        <v>#REF!</v>
      </c>
      <c r="P50" s="105" t="e">
        <f>P48</f>
        <v>#REF!</v>
      </c>
      <c r="Q50" s="105">
        <f>Q46</f>
        <v>1.02</v>
      </c>
      <c r="R50" s="105">
        <f>R46</f>
        <v>1.04</v>
      </c>
      <c r="S50" s="105">
        <f>S44</f>
        <v>1</v>
      </c>
      <c r="T50" s="105">
        <f>T46</f>
        <v>1</v>
      </c>
    </row>
    <row r="51" s="74" customFormat="1" spans="1:20">
      <c r="B51" s="94" t="s">
        <v>429</v>
      </c>
      <c r="C51" s="95" t="s">
        <v>387</v>
      </c>
      <c r="D51" s="98">
        <v>1449</v>
      </c>
      <c r="E51" s="96"/>
      <c r="F51" s="89" t="s">
        <v>149</v>
      </c>
      <c r="G51" s="89" t="s">
        <v>146</v>
      </c>
      <c r="H51" s="89" t="s">
        <v>365</v>
      </c>
      <c r="I51" s="89" t="s">
        <v>54</v>
      </c>
      <c r="J51" s="89" t="s">
        <v>54</v>
      </c>
      <c r="K51" s="89" t="s">
        <v>54</v>
      </c>
      <c r="L51" s="89" t="s">
        <v>384</v>
      </c>
      <c r="M51" s="89" t="s">
        <v>63</v>
      </c>
      <c r="N51" s="89" t="s">
        <v>63</v>
      </c>
      <c r="O51" s="90" t="s">
        <v>63</v>
      </c>
      <c r="P51" s="89" t="s">
        <v>54</v>
      </c>
      <c r="Q51" s="105" t="s">
        <v>367</v>
      </c>
      <c r="R51" s="89" t="s">
        <v>63</v>
      </c>
      <c r="S51" s="89" t="s">
        <v>63</v>
      </c>
      <c r="T51" s="89" t="s">
        <v>63</v>
      </c>
    </row>
    <row r="52" s="74" customFormat="1" spans="1:20">
      <c r="B52" s="94"/>
      <c r="C52" s="95" t="s">
        <v>389</v>
      </c>
      <c r="D52" s="98" t="e">
        <f>项目基准价!$C$13*PRODUCT(赋权表!F52:T52)</f>
        <v>#REF!</v>
      </c>
      <c r="E52" s="111" t="e">
        <f>D51/D52-1</f>
        <v>#REF!</v>
      </c>
      <c r="F52" s="105" t="e">
        <f>F14</f>
        <v>#REF!</v>
      </c>
      <c r="G52" s="105">
        <f t="shared" ref="G52:M52" si="29">G14</f>
        <v>1</v>
      </c>
      <c r="H52" s="105">
        <f t="shared" si="29"/>
        <v>0.96</v>
      </c>
      <c r="I52" s="105">
        <f t="shared" si="29"/>
        <v>1</v>
      </c>
      <c r="J52" s="105">
        <f t="shared" si="29"/>
        <v>1</v>
      </c>
      <c r="K52" s="105">
        <f t="shared" si="29"/>
        <v>1</v>
      </c>
      <c r="L52" s="105" t="e">
        <f t="shared" si="29"/>
        <v>#REF!</v>
      </c>
      <c r="M52" s="105" t="e">
        <f t="shared" si="29"/>
        <v>#REF!</v>
      </c>
      <c r="N52" s="105">
        <f>N50</f>
        <v>1</v>
      </c>
      <c r="O52" s="105" t="e">
        <f t="shared" ref="O52:P52" si="30">O50</f>
        <v>#REF!</v>
      </c>
      <c r="P52" s="105" t="e">
        <f t="shared" si="30"/>
        <v>#REF!</v>
      </c>
      <c r="Q52" s="105">
        <f>Q8</f>
        <v>1</v>
      </c>
      <c r="R52" s="105">
        <f>R48</f>
        <v>1</v>
      </c>
      <c r="S52" s="105">
        <f t="shared" ref="S52" si="31">S48</f>
        <v>1.03</v>
      </c>
      <c r="T52" s="105">
        <f>T46</f>
        <v>1</v>
      </c>
    </row>
    <row r="53" s="74" customFormat="1" spans="1:20">
      <c r="B53" s="94" t="s">
        <v>430</v>
      </c>
      <c r="C53" s="95"/>
      <c r="D53" s="94"/>
      <c r="E53" s="96"/>
      <c r="F53" s="97">
        <f>SUM(F55:F71)</f>
        <v>152</v>
      </c>
      <c r="G53" s="97">
        <f t="shared" ref="G53:T53" si="32">SUM(G55:G71)</f>
        <v>65</v>
      </c>
      <c r="H53" s="97">
        <f t="shared" si="32"/>
        <v>32</v>
      </c>
      <c r="I53" s="97">
        <f t="shared" si="32"/>
        <v>125</v>
      </c>
      <c r="J53" s="97">
        <f t="shared" si="32"/>
        <v>139</v>
      </c>
      <c r="K53" s="97">
        <f t="shared" si="32"/>
        <v>51</v>
      </c>
      <c r="L53" s="97">
        <f t="shared" si="32"/>
        <v>38</v>
      </c>
      <c r="M53" s="97">
        <f t="shared" si="32"/>
        <v>26</v>
      </c>
      <c r="N53" s="97">
        <f t="shared" si="32"/>
        <v>154</v>
      </c>
      <c r="O53" s="97">
        <f t="shared" si="32"/>
        <v>123</v>
      </c>
      <c r="P53" s="97">
        <f t="shared" si="32"/>
        <v>144</v>
      </c>
      <c r="Q53" s="97">
        <f t="shared" si="32"/>
        <v>74</v>
      </c>
      <c r="R53" s="97">
        <f t="shared" si="32"/>
        <v>86</v>
      </c>
      <c r="S53" s="97">
        <f t="shared" si="32"/>
        <v>161</v>
      </c>
      <c r="T53" s="97">
        <f t="shared" si="32"/>
        <v>100</v>
      </c>
    </row>
    <row r="54" s="74" customFormat="1" spans="1:20">
      <c r="A54" s="119">
        <f>6%/150</f>
        <v>0.0004</v>
      </c>
      <c r="B54" s="94" t="s">
        <v>431</v>
      </c>
      <c r="C54" s="95"/>
      <c r="D54" s="94"/>
      <c r="E54" s="96"/>
      <c r="F54" s="120">
        <v>0.06</v>
      </c>
      <c r="G54" s="120">
        <v>0.025</v>
      </c>
      <c r="H54" s="120">
        <v>0.015</v>
      </c>
      <c r="I54" s="120">
        <v>0.05</v>
      </c>
      <c r="J54" s="120">
        <v>0.055</v>
      </c>
      <c r="K54" s="120">
        <v>0.02</v>
      </c>
      <c r="L54" s="120">
        <v>0.015</v>
      </c>
      <c r="M54" s="120">
        <v>0.01</v>
      </c>
      <c r="N54" s="120">
        <v>0.06</v>
      </c>
      <c r="O54" s="120">
        <v>0.05</v>
      </c>
      <c r="P54" s="120">
        <v>0.06</v>
      </c>
      <c r="Q54" s="120">
        <v>0.015</v>
      </c>
      <c r="R54" s="120">
        <v>0.035</v>
      </c>
      <c r="S54" s="120">
        <v>0.065</v>
      </c>
      <c r="T54" s="120">
        <v>0.04</v>
      </c>
    </row>
    <row r="55" spans="1:20">
      <c r="A55" s="76" t="s">
        <v>432</v>
      </c>
      <c r="F55" s="121">
        <v>20</v>
      </c>
      <c r="G55" s="76">
        <v>2</v>
      </c>
      <c r="H55" s="76">
        <v>12</v>
      </c>
      <c r="I55" s="76">
        <v>20</v>
      </c>
      <c r="J55" s="76">
        <v>10</v>
      </c>
      <c r="K55" s="76">
        <v>8</v>
      </c>
      <c r="L55" s="76">
        <v>12</v>
      </c>
      <c r="M55" s="76">
        <v>0</v>
      </c>
      <c r="N55" s="76">
        <v>26</v>
      </c>
      <c r="O55" s="76">
        <v>18</v>
      </c>
      <c r="P55" s="76">
        <v>26</v>
      </c>
      <c r="Q55" s="76">
        <v>10</v>
      </c>
      <c r="R55" s="76">
        <v>4</v>
      </c>
      <c r="S55" s="76">
        <v>26</v>
      </c>
      <c r="T55" s="76">
        <v>16</v>
      </c>
    </row>
    <row r="56" spans="1:20">
      <c r="A56" s="76" t="s">
        <v>433</v>
      </c>
      <c r="F56" s="121">
        <v>13</v>
      </c>
      <c r="G56" s="76">
        <v>7</v>
      </c>
      <c r="H56" s="76">
        <v>1</v>
      </c>
      <c r="I56" s="76">
        <v>10</v>
      </c>
      <c r="J56" s="76">
        <v>14</v>
      </c>
      <c r="K56" s="76">
        <v>2</v>
      </c>
      <c r="L56" s="76">
        <v>3</v>
      </c>
      <c r="M56" s="76">
        <v>0</v>
      </c>
      <c r="N56" s="76">
        <v>9</v>
      </c>
      <c r="O56" s="76">
        <v>8</v>
      </c>
      <c r="P56" s="76">
        <v>11</v>
      </c>
      <c r="Q56" s="76">
        <v>4</v>
      </c>
      <c r="R56" s="76">
        <v>6</v>
      </c>
      <c r="S56" s="76">
        <v>11</v>
      </c>
      <c r="T56" s="76">
        <v>6</v>
      </c>
    </row>
    <row r="57" spans="1:20">
      <c r="A57" s="76" t="s">
        <v>434</v>
      </c>
      <c r="F57" s="121">
        <v>20</v>
      </c>
      <c r="G57" s="76">
        <v>4</v>
      </c>
      <c r="H57" s="76">
        <v>8</v>
      </c>
      <c r="I57" s="76">
        <v>12</v>
      </c>
      <c r="J57" s="76">
        <v>18</v>
      </c>
      <c r="K57" s="76">
        <v>6</v>
      </c>
      <c r="L57" s="76">
        <v>0</v>
      </c>
      <c r="M57" s="76">
        <v>2</v>
      </c>
      <c r="N57" s="76">
        <v>26</v>
      </c>
      <c r="O57" s="76">
        <v>12</v>
      </c>
      <c r="P57" s="76">
        <v>24</v>
      </c>
      <c r="Q57" s="76">
        <v>20</v>
      </c>
      <c r="R57" s="76">
        <v>16</v>
      </c>
      <c r="S57" s="76">
        <v>28</v>
      </c>
      <c r="T57" s="76">
        <v>14</v>
      </c>
    </row>
    <row r="58" spans="1:20">
      <c r="A58" s="76" t="s">
        <v>435</v>
      </c>
      <c r="F58" s="121">
        <v>14</v>
      </c>
      <c r="G58" s="76">
        <v>13</v>
      </c>
      <c r="H58" s="76">
        <v>4</v>
      </c>
      <c r="I58" s="76">
        <v>5</v>
      </c>
      <c r="J58" s="76">
        <v>5</v>
      </c>
      <c r="K58" s="76">
        <v>8</v>
      </c>
      <c r="L58" s="76">
        <v>1</v>
      </c>
      <c r="M58" s="76">
        <v>2</v>
      </c>
      <c r="N58" s="76">
        <v>4</v>
      </c>
      <c r="O58" s="76">
        <v>10</v>
      </c>
      <c r="P58" s="76">
        <v>12</v>
      </c>
      <c r="Q58" s="76">
        <v>0</v>
      </c>
      <c r="R58" s="76">
        <v>7</v>
      </c>
      <c r="S58" s="76">
        <v>11</v>
      </c>
      <c r="T58" s="76">
        <v>9</v>
      </c>
    </row>
    <row r="59" spans="1:20">
      <c r="A59" s="76" t="s">
        <v>436</v>
      </c>
      <c r="F59" s="121">
        <v>13</v>
      </c>
      <c r="G59" s="76">
        <v>5</v>
      </c>
      <c r="H59" s="76">
        <v>3</v>
      </c>
      <c r="I59" s="76">
        <v>12</v>
      </c>
      <c r="J59" s="76">
        <v>14</v>
      </c>
      <c r="K59" s="76">
        <v>2</v>
      </c>
      <c r="L59" s="76">
        <v>0</v>
      </c>
      <c r="M59" s="76">
        <v>1</v>
      </c>
      <c r="N59" s="76">
        <v>7</v>
      </c>
      <c r="O59" s="76">
        <v>6</v>
      </c>
      <c r="P59" s="76">
        <v>9</v>
      </c>
      <c r="Q59" s="76">
        <v>4</v>
      </c>
      <c r="R59" s="76">
        <v>10</v>
      </c>
      <c r="S59" s="76">
        <v>10</v>
      </c>
      <c r="T59" s="76">
        <v>9</v>
      </c>
    </row>
    <row r="60" spans="1:20">
      <c r="A60" s="76" t="s">
        <v>437</v>
      </c>
      <c r="F60" s="121">
        <v>24</v>
      </c>
      <c r="G60" s="76">
        <v>8</v>
      </c>
      <c r="H60" s="76">
        <v>0</v>
      </c>
      <c r="I60" s="76">
        <v>20</v>
      </c>
      <c r="J60" s="76">
        <v>26</v>
      </c>
      <c r="K60" s="76">
        <v>4</v>
      </c>
      <c r="L60" s="76">
        <v>8</v>
      </c>
      <c r="M60" s="76">
        <v>10</v>
      </c>
      <c r="N60" s="76">
        <v>18</v>
      </c>
      <c r="O60" s="76">
        <v>20</v>
      </c>
      <c r="P60" s="76">
        <v>16</v>
      </c>
      <c r="Q60" s="76">
        <v>8</v>
      </c>
      <c r="R60" s="76">
        <v>8</v>
      </c>
      <c r="S60" s="76">
        <v>24</v>
      </c>
      <c r="T60" s="76">
        <v>16</v>
      </c>
    </row>
    <row r="61" spans="1:20">
      <c r="A61" s="76" t="s">
        <v>438</v>
      </c>
      <c r="F61" s="121">
        <v>22</v>
      </c>
      <c r="G61" s="76">
        <v>10</v>
      </c>
      <c r="H61" s="76">
        <v>2</v>
      </c>
      <c r="I61" s="76">
        <v>10</v>
      </c>
      <c r="J61" s="76">
        <v>10</v>
      </c>
      <c r="K61" s="76">
        <v>6</v>
      </c>
      <c r="L61" s="76">
        <v>4</v>
      </c>
      <c r="M61" s="76">
        <v>0</v>
      </c>
      <c r="N61" s="76">
        <v>26</v>
      </c>
      <c r="O61" s="76">
        <v>28</v>
      </c>
      <c r="P61" s="76">
        <v>22</v>
      </c>
      <c r="Q61" s="76">
        <v>14</v>
      </c>
      <c r="R61" s="76">
        <v>18</v>
      </c>
      <c r="S61" s="76">
        <v>22</v>
      </c>
      <c r="T61" s="76">
        <v>16</v>
      </c>
    </row>
    <row r="62" spans="1:20">
      <c r="A62" s="76" t="s">
        <v>439</v>
      </c>
      <c r="F62" s="121">
        <v>8</v>
      </c>
      <c r="G62" s="76">
        <v>2</v>
      </c>
      <c r="H62" s="76">
        <v>0</v>
      </c>
      <c r="I62" s="76">
        <v>10</v>
      </c>
      <c r="J62" s="76">
        <v>14</v>
      </c>
      <c r="K62" s="76">
        <v>1</v>
      </c>
      <c r="L62" s="76">
        <v>4</v>
      </c>
      <c r="M62" s="76">
        <v>9</v>
      </c>
      <c r="N62" s="76">
        <v>6</v>
      </c>
      <c r="O62" s="76">
        <v>11</v>
      </c>
      <c r="P62" s="76">
        <v>6</v>
      </c>
      <c r="Q62" s="76">
        <v>4</v>
      </c>
      <c r="R62" s="76">
        <v>5</v>
      </c>
      <c r="S62" s="76">
        <v>13</v>
      </c>
      <c r="T62" s="76">
        <v>12</v>
      </c>
    </row>
    <row r="63" spans="1:20">
      <c r="A63" s="76" t="s">
        <v>440</v>
      </c>
      <c r="F63" s="121">
        <v>18</v>
      </c>
      <c r="G63" s="76">
        <v>14</v>
      </c>
      <c r="H63" s="76">
        <v>2</v>
      </c>
      <c r="I63" s="76">
        <v>26</v>
      </c>
      <c r="J63" s="76">
        <v>28</v>
      </c>
      <c r="K63" s="76">
        <v>14</v>
      </c>
      <c r="L63" s="76">
        <v>6</v>
      </c>
      <c r="M63" s="76">
        <v>2</v>
      </c>
      <c r="N63" s="76">
        <v>32</v>
      </c>
      <c r="O63" s="76">
        <v>10</v>
      </c>
      <c r="P63" s="76">
        <v>18</v>
      </c>
      <c r="Q63" s="76">
        <v>10</v>
      </c>
      <c r="R63" s="76">
        <v>12</v>
      </c>
      <c r="S63" s="76">
        <v>16</v>
      </c>
      <c r="T63" s="76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70" sqref="A70"/>
    </sheetView>
  </sheetViews>
  <sheetFormatPr defaultColWidth="9" defaultRowHeight="14"/>
  <cols>
    <col min="1" max="1" width="14.3333333333333" style="3" customWidth="1"/>
  </cols>
  <sheetData>
    <row r="1" spans="1:1">
      <c r="A1" s="70" t="s">
        <v>355</v>
      </c>
    </row>
    <row r="2" spans="1:1">
      <c r="A2" s="70" t="s">
        <v>145</v>
      </c>
    </row>
    <row r="3" spans="1:1">
      <c r="A3" s="70" t="s">
        <v>356</v>
      </c>
    </row>
    <row r="4" spans="1:1">
      <c r="A4" s="70" t="s">
        <v>159</v>
      </c>
    </row>
    <row r="5" spans="1:1">
      <c r="A5" s="70" t="s">
        <v>164</v>
      </c>
    </row>
    <row r="6" spans="1:1">
      <c r="A6" s="70" t="s">
        <v>441</v>
      </c>
    </row>
    <row r="7" spans="1:1">
      <c r="A7" s="70" t="s">
        <v>359</v>
      </c>
    </row>
    <row r="8" spans="1:1">
      <c r="A8" s="71" t="s">
        <v>360</v>
      </c>
    </row>
    <row r="9" spans="1:1">
      <c r="A9" s="72" t="s">
        <v>57</v>
      </c>
    </row>
    <row r="10" spans="1:1">
      <c r="A10" s="72" t="s">
        <v>361</v>
      </c>
    </row>
    <row r="11" spans="1:1">
      <c r="A11" s="72" t="s">
        <v>67</v>
      </c>
    </row>
    <row r="12" spans="1:1">
      <c r="A12" s="73" t="s">
        <v>68</v>
      </c>
    </row>
    <row r="13" spans="1:1">
      <c r="A13" s="73" t="s">
        <v>104</v>
      </c>
    </row>
    <row r="14" spans="1:1">
      <c r="A14" s="72" t="s">
        <v>362</v>
      </c>
    </row>
    <row r="15" spans="1:1">
      <c r="A15" s="72" t="s">
        <v>118</v>
      </c>
    </row>
    <row r="16" spans="1:1">
      <c r="A16" s="73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F12" sqref="F12"/>
    </sheetView>
  </sheetViews>
  <sheetFormatPr defaultColWidth="9" defaultRowHeight="14" outlineLevelCol="7"/>
  <cols>
    <col min="1" max="1" width="5.5" customWidth="1"/>
    <col min="2" max="2" width="9.5" customWidth="1"/>
    <col min="3" max="3" width="16.0833333333333" customWidth="1"/>
    <col min="4" max="4" width="11.5833333333333" style="28" customWidth="1" outlineLevel="1"/>
    <col min="5" max="5" width="10.5" hidden="1" customWidth="1" outlineLevel="1"/>
    <col min="6" max="6" width="9.5" customWidth="1" outlineLevel="1"/>
    <col min="7" max="7" width="10.5" hidden="1" customWidth="1" outlineLevel="1"/>
    <col min="8" max="8" width="13.8333333333333" style="65" customWidth="1"/>
  </cols>
  <sheetData>
    <row r="1" ht="16.15" customHeight="1" spans="1:8">
      <c r="A1" s="66" t="s">
        <v>442</v>
      </c>
      <c r="B1" s="66" t="s">
        <v>36</v>
      </c>
      <c r="C1" s="67" t="s">
        <v>443</v>
      </c>
      <c r="D1" s="66" t="s">
        <v>33</v>
      </c>
      <c r="E1" s="68" t="s">
        <v>444</v>
      </c>
      <c r="F1" s="66" t="s">
        <v>50</v>
      </c>
      <c r="G1" s="68" t="s">
        <v>445</v>
      </c>
      <c r="H1" s="69" t="s">
        <v>446</v>
      </c>
    </row>
    <row r="2" s="2" customFormat="1" ht="16.9" customHeight="1" spans="1:8">
      <c r="A2" s="2" t="str">
        <f>'【2】运营中心填-基本信息&amp;审核标准'!$E$2</f>
        <v>兴围西4-11栋</v>
      </c>
      <c r="B2" s="2" t="str">
        <f>'【3-2】大区&amp;运营中心填-房间模型价'!K2</f>
        <v>开间</v>
      </c>
      <c r="C2" s="2">
        <f>VLOOKUP(B2,【1】定价因子!L:M,2,0)</f>
        <v>1634.8</v>
      </c>
      <c r="D2" s="28" t="s">
        <v>47</v>
      </c>
      <c r="E2" s="2">
        <f>VLOOKUP(D2,【1】定价因子!$D:$F,3,0)</f>
        <v>0.96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30">
        <f>C2*PRODUCT(G2,,E2)</f>
        <v>1647.8784</v>
      </c>
    </row>
    <row r="3" s="28" customFormat="1" spans="1:8">
      <c r="A3" s="2" t="str">
        <f>'【2】运营中心填-基本信息&amp;审核标准'!$E$2</f>
        <v>兴围西4-11栋</v>
      </c>
      <c r="B3" s="2" t="str">
        <f>'【3-2】大区&amp;运营中心填-房间模型价'!K3</f>
        <v>一居室</v>
      </c>
      <c r="C3" s="2">
        <f>VLOOKUP(B3,【1】定价因子!L:M,2,0)</f>
        <v>2426.1</v>
      </c>
      <c r="D3" s="28" t="s">
        <v>47</v>
      </c>
      <c r="E3" s="2">
        <f>VLOOKUP(D3,【1】定价因子!$D:$F,3,0)</f>
        <v>0.96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30">
        <f t="shared" ref="H3:H10" si="0">C3*PRODUCT(G3,,E3)</f>
        <v>2445.5088</v>
      </c>
    </row>
    <row r="4" spans="1:8">
      <c r="A4" s="2" t="str">
        <f>'【2】运营中心填-基本信息&amp;审核标准'!$E$2</f>
        <v>兴围西4-11栋</v>
      </c>
      <c r="B4" s="2" t="str">
        <f>'【3-2】大区&amp;运营中心填-房间模型价'!K4</f>
        <v/>
      </c>
      <c r="C4" s="2" t="e">
        <f>VLOOKUP(B4,【1】定价因子!L:M,2,0)</f>
        <v>#N/A</v>
      </c>
      <c r="D4" s="28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30" t="e">
        <f t="shared" si="0"/>
        <v>#N/A</v>
      </c>
    </row>
    <row r="5" spans="1:8">
      <c r="A5" s="2" t="str">
        <f>'【2】运营中心填-基本信息&amp;审核标准'!$E$2</f>
        <v>兴围西4-11栋</v>
      </c>
      <c r="B5" s="2" t="str">
        <f>'【3-2】大区&amp;运营中心填-房间模型价'!K5</f>
        <v/>
      </c>
      <c r="C5" s="2" t="e">
        <f>VLOOKUP(B5,【1】定价因子!L:M,2,0)</f>
        <v>#N/A</v>
      </c>
      <c r="D5" s="28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30" t="e">
        <f t="shared" si="0"/>
        <v>#N/A</v>
      </c>
    </row>
    <row r="6" spans="1:8">
      <c r="A6" s="2" t="str">
        <f>'【2】运营中心填-基本信息&amp;审核标准'!$E$2</f>
        <v>兴围西4-11栋</v>
      </c>
      <c r="B6" s="2" t="str">
        <f>'【3-2】大区&amp;运营中心填-房间模型价'!K6</f>
        <v/>
      </c>
      <c r="C6" s="2" t="e">
        <f>VLOOKUP(B6,【1】定价因子!L:M,2,0)</f>
        <v>#N/A</v>
      </c>
      <c r="D6" s="28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30" t="e">
        <f t="shared" si="0"/>
        <v>#N/A</v>
      </c>
    </row>
    <row r="7" spans="1:8">
      <c r="A7" s="2" t="str">
        <f>'【2】运营中心填-基本信息&amp;审核标准'!$E$2</f>
        <v>兴围西4-11栋</v>
      </c>
      <c r="B7" s="2" t="str">
        <f>'【3-2】大区&amp;运营中心填-房间模型价'!K7</f>
        <v/>
      </c>
      <c r="C7" s="2" t="e">
        <f>VLOOKUP(B7,【1】定价因子!L:M,2,0)</f>
        <v>#N/A</v>
      </c>
      <c r="D7" s="28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30" t="e">
        <f t="shared" si="0"/>
        <v>#N/A</v>
      </c>
    </row>
    <row r="8" spans="1:8">
      <c r="A8" s="2" t="str">
        <f>'【2】运营中心填-基本信息&amp;审核标准'!$E$2</f>
        <v>兴围西4-11栋</v>
      </c>
      <c r="B8" s="2" t="str">
        <f>'【3-2】大区&amp;运营中心填-房间模型价'!K8</f>
        <v/>
      </c>
      <c r="C8" s="2" t="e">
        <f>VLOOKUP(B8,【1】定价因子!L:M,2,0)</f>
        <v>#N/A</v>
      </c>
      <c r="D8" s="28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30" t="e">
        <f t="shared" si="0"/>
        <v>#N/A</v>
      </c>
    </row>
    <row r="9" spans="1:8">
      <c r="A9" s="2" t="str">
        <f>'【2】运营中心填-基本信息&amp;审核标准'!$E$2</f>
        <v>兴围西4-11栋</v>
      </c>
      <c r="B9" s="2" t="str">
        <f>'【3-2】大区&amp;运营中心填-房间模型价'!K9</f>
        <v/>
      </c>
      <c r="C9" s="2" t="e">
        <f>VLOOKUP(B9,【1】定价因子!L:M,2,0)</f>
        <v>#N/A</v>
      </c>
      <c r="D9" s="28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30" t="e">
        <f t="shared" si="0"/>
        <v>#N/A</v>
      </c>
    </row>
    <row r="10" spans="1:8">
      <c r="A10" s="2" t="str">
        <f>'【2】运营中心填-基本信息&amp;审核标准'!$E$2</f>
        <v>兴围西4-11栋</v>
      </c>
      <c r="B10" s="2" t="str">
        <f>'【3-2】大区&amp;运营中心填-房间模型价'!K10</f>
        <v/>
      </c>
      <c r="C10" s="2" t="e">
        <f>VLOOKUP(B10,【1】定价因子!L:M,2,0)</f>
        <v>#N/A</v>
      </c>
      <c r="D10" s="28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30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00"/>
  <sheetViews>
    <sheetView zoomScale="67" zoomScaleNormal="67" workbookViewId="0">
      <selection activeCell="A10" sqref="$A10:$XFD10"/>
    </sheetView>
  </sheetViews>
  <sheetFormatPr defaultColWidth="9" defaultRowHeight="14"/>
  <cols>
    <col min="1" max="1" width="7.5" style="2" customWidth="1"/>
    <col min="2" max="2" width="5.5" style="2" customWidth="1"/>
    <col min="3" max="3" width="6.25" style="2" customWidth="1"/>
    <col min="4" max="4" width="33.5833333333333" style="2" customWidth="1"/>
    <col min="5" max="5" width="9.5" style="2" customWidth="1"/>
    <col min="6" max="6" width="24.8333333333333" style="2" customWidth="1"/>
    <col min="7" max="7" width="13.8333333333333" style="2" customWidth="1"/>
    <col min="8" max="8" width="9.5" style="2" customWidth="1"/>
    <col min="9" max="9" width="9.5" customWidth="1"/>
    <col min="10" max="11" width="7.33333333333333" customWidth="1"/>
    <col min="12" max="12" width="13.8333333333333" customWidth="1"/>
    <col min="13" max="13" width="12.0833333333333" customWidth="1"/>
    <col min="14" max="14" width="17.0833333333333" customWidth="1"/>
    <col min="15" max="15" width="16.25" customWidth="1"/>
  </cols>
  <sheetData>
    <row r="1" ht="16.5" spans="1:35">
      <c r="D1" s="49" t="s">
        <v>447</v>
      </c>
      <c r="E1" s="49"/>
      <c r="F1" s="49"/>
      <c r="G1" s="49"/>
      <c r="H1" s="3"/>
    </row>
    <row r="2" ht="16.5" spans="1:35">
      <c r="A2" s="50" t="s">
        <v>448</v>
      </c>
      <c r="B2" s="50" t="s">
        <v>361</v>
      </c>
      <c r="C2" s="50" t="s">
        <v>273</v>
      </c>
      <c r="D2" s="51" t="s">
        <v>449</v>
      </c>
      <c r="E2" s="51" t="s">
        <v>450</v>
      </c>
      <c r="F2" s="52" t="s">
        <v>451</v>
      </c>
      <c r="G2" s="51" t="s">
        <v>452</v>
      </c>
      <c r="H2" s="50" t="s">
        <v>453</v>
      </c>
      <c r="I2" s="51" t="s">
        <v>454</v>
      </c>
      <c r="J2" s="53"/>
      <c r="K2" s="53"/>
      <c r="L2" s="54" t="s">
        <v>455</v>
      </c>
      <c r="M2" s="54"/>
      <c r="N2" s="54"/>
      <c r="O2" s="54"/>
    </row>
    <row r="3" ht="16.5" spans="1:35">
      <c r="A3" s="33">
        <f>'【3-2】大区&amp;运营中心填-房间模型价'!H2</f>
        <v>101</v>
      </c>
      <c r="B3" s="33" t="str">
        <f>'【3-2】大区&amp;运营中心填-房间模型价'!I2</f>
        <v>A</v>
      </c>
      <c r="C3" s="33" t="str">
        <f>VLOOKUP(A3,'【3-2】大区&amp;运营中心填-房间模型价'!H:J,3,0)</f>
        <v>开间</v>
      </c>
      <c r="D3" s="13">
        <v>1</v>
      </c>
      <c r="E3" s="13">
        <v>0</v>
      </c>
      <c r="F3" s="13"/>
      <c r="G3" s="13">
        <v>1</v>
      </c>
      <c r="H3" s="13" t="str">
        <f t="shared" ref="H3:H66" si="0">IF(C3="开间",IF(D3+E3*2-G3&lt;=0,"1",IF(D3+E3*2-G3&lt;=1,"2",IF(D3+E3*2-G3&lt;=2,"3",IF(D3+E3*2-G3&lt;=3,"4","5")))),IF(D3+E3*2-G3&lt;1.1,"1",IF(D3+E3*2-G3&lt;=2,"2",IF(D3+E3*2-G3&lt;=3,"3",IF(D3+E3*2-G3&lt;=4,"4","5")))))</f>
        <v>1</v>
      </c>
      <c r="I3" s="55"/>
      <c r="J3" s="56"/>
      <c r="K3" s="56"/>
      <c r="L3" s="54" t="s">
        <v>456</v>
      </c>
      <c r="M3" s="54"/>
      <c r="N3" s="54"/>
      <c r="O3" s="54" t="s">
        <v>457</v>
      </c>
    </row>
    <row r="4" ht="16.5" spans="1:35">
      <c r="A4" s="33">
        <f>'【3-2】大区&amp;运营中心填-房间模型价'!H3</f>
        <v>102</v>
      </c>
      <c r="B4" s="33" t="str">
        <f>'【3-2】大区&amp;运营中心填-房间模型价'!I3</f>
        <v>B</v>
      </c>
      <c r="C4" s="33" t="str">
        <f>VLOOKUP(A4,'【3-2】大区&amp;运营中心填-房间模型价'!H:J,3,0)</f>
        <v>开间</v>
      </c>
      <c r="D4" s="13">
        <v>1</v>
      </c>
      <c r="E4" s="13">
        <v>0</v>
      </c>
      <c r="F4" s="13"/>
      <c r="G4" s="13">
        <v>1</v>
      </c>
      <c r="H4" s="13" t="str">
        <f t="shared" si="0"/>
        <v>1</v>
      </c>
      <c r="I4" s="55"/>
      <c r="J4" s="56"/>
      <c r="K4" s="56"/>
      <c r="L4" s="4" t="s">
        <v>458</v>
      </c>
      <c r="M4" s="4"/>
      <c r="N4" s="4"/>
      <c r="O4" s="4">
        <v>-1</v>
      </c>
    </row>
    <row r="5" ht="16.5" spans="1:35">
      <c r="A5" s="33">
        <f>'【3-2】大区&amp;运营中心填-房间模型价'!H4</f>
        <v>103</v>
      </c>
      <c r="B5" s="33" t="str">
        <f>'【3-2】大区&amp;运营中心填-房间模型价'!I4</f>
        <v>B</v>
      </c>
      <c r="C5" s="33" t="str">
        <f>VLOOKUP(A5,'【3-2】大区&amp;运营中心填-房间模型价'!H:J,3,0)</f>
        <v>开间</v>
      </c>
      <c r="D5" s="13">
        <v>1</v>
      </c>
      <c r="E5" s="13">
        <v>0</v>
      </c>
      <c r="F5" s="13"/>
      <c r="G5" s="13">
        <v>1</v>
      </c>
      <c r="H5" s="13" t="str">
        <f t="shared" si="0"/>
        <v>1</v>
      </c>
      <c r="I5" s="57"/>
      <c r="L5" s="58" t="s">
        <v>459</v>
      </c>
      <c r="M5" s="4" t="s">
        <v>460</v>
      </c>
      <c r="N5" s="4"/>
      <c r="O5" s="4">
        <v>0</v>
      </c>
    </row>
    <row r="6" ht="16.5" spans="1:35">
      <c r="A6" s="33">
        <f>'【3-2】大区&amp;运营中心填-房间模型价'!H5</f>
        <v>104</v>
      </c>
      <c r="B6" s="33" t="str">
        <f>'【3-2】大区&amp;运营中心填-房间模型价'!I5</f>
        <v>C</v>
      </c>
      <c r="C6" s="33" t="str">
        <f>VLOOKUP(A6,'【3-2】大区&amp;运营中心填-房间模型价'!H:J,3,0)</f>
        <v>一居室</v>
      </c>
      <c r="D6" s="13">
        <v>2.5</v>
      </c>
      <c r="E6" s="13">
        <v>0</v>
      </c>
      <c r="F6" s="13"/>
      <c r="G6" s="13">
        <v>2.5</v>
      </c>
      <c r="H6" s="13" t="str">
        <f t="shared" si="0"/>
        <v>1</v>
      </c>
      <c r="I6" s="57"/>
      <c r="L6" s="59"/>
      <c r="M6" s="60" t="s">
        <v>461</v>
      </c>
      <c r="N6" s="10"/>
      <c r="O6" s="4">
        <v>0</v>
      </c>
    </row>
    <row r="7" ht="16.5" spans="1:35">
      <c r="A7" s="33">
        <f>'【3-2】大区&amp;运营中心填-房间模型价'!H6</f>
        <v>105</v>
      </c>
      <c r="B7" s="33" t="str">
        <f>'【3-2】大区&amp;运营中心填-房间模型价'!I6</f>
        <v>D</v>
      </c>
      <c r="C7" s="33" t="str">
        <f>VLOOKUP(A7,'【3-2】大区&amp;运营中心填-房间模型价'!H:J,3,0)</f>
        <v>开间</v>
      </c>
      <c r="D7" s="13">
        <v>2</v>
      </c>
      <c r="E7" s="13">
        <v>0</v>
      </c>
      <c r="F7" s="13"/>
      <c r="G7" s="13">
        <v>2</v>
      </c>
      <c r="H7" s="13" t="str">
        <f t="shared" si="0"/>
        <v>1</v>
      </c>
      <c r="I7" s="57"/>
      <c r="L7" s="59"/>
      <c r="M7" s="60" t="s">
        <v>462</v>
      </c>
      <c r="N7" s="10"/>
      <c r="O7" s="4" t="s">
        <v>463</v>
      </c>
    </row>
    <row r="8" ht="16.5" spans="1:35">
      <c r="A8" s="33">
        <f>'【3-2】大区&amp;运营中心填-房间模型价'!H7</f>
        <v>106</v>
      </c>
      <c r="B8" s="33" t="str">
        <f>'【3-2】大区&amp;运营中心填-房间模型价'!I7</f>
        <v>E</v>
      </c>
      <c r="C8" s="33" t="str">
        <f>VLOOKUP(A8,'【3-2】大区&amp;运营中心填-房间模型价'!H:J,3,0)</f>
        <v>开间</v>
      </c>
      <c r="D8" s="13">
        <v>1</v>
      </c>
      <c r="E8" s="13">
        <v>0</v>
      </c>
      <c r="F8" s="13"/>
      <c r="G8" s="13">
        <v>0</v>
      </c>
      <c r="H8" s="13" t="str">
        <f t="shared" si="0"/>
        <v>2</v>
      </c>
      <c r="I8" s="57"/>
      <c r="L8" s="61"/>
      <c r="M8" s="60" t="s">
        <v>464</v>
      </c>
      <c r="N8" s="10"/>
      <c r="O8" s="4" t="s">
        <v>463</v>
      </c>
    </row>
    <row r="9" ht="16.5" spans="1:35">
      <c r="A9" s="33">
        <f>'【3-2】大区&amp;运营中心填-房间模型价'!H8</f>
        <v>107</v>
      </c>
      <c r="B9" s="33" t="str">
        <f>'【3-2】大区&amp;运营中心填-房间模型价'!I8</f>
        <v>F</v>
      </c>
      <c r="C9" s="33" t="str">
        <f>VLOOKUP(A9,'【3-2】大区&amp;运营中心填-房间模型价'!H:J,3,0)</f>
        <v>开间</v>
      </c>
      <c r="D9" s="13">
        <v>2</v>
      </c>
      <c r="E9" s="13">
        <v>0</v>
      </c>
      <c r="F9" s="13"/>
      <c r="G9" s="13">
        <v>2</v>
      </c>
      <c r="H9" s="13" t="str">
        <f t="shared" si="0"/>
        <v>1</v>
      </c>
      <c r="I9" s="57"/>
      <c r="L9" s="4"/>
      <c r="M9" s="4"/>
      <c r="N9" s="4"/>
      <c r="O9" s="4"/>
    </row>
    <row r="10" spans="1:35">
      <c r="A10" s="33">
        <f>'【3-2】大区&amp;运营中心填-房间模型价'!H9</f>
        <v>201</v>
      </c>
      <c r="B10" s="33" t="str">
        <f>'【3-2】大区&amp;运营中心填-房间模型价'!I9</f>
        <v>G</v>
      </c>
      <c r="C10" s="33" t="str">
        <f>VLOOKUP(A10,'【3-2】大区&amp;运营中心填-房间模型价'!H:J,3,0)</f>
        <v>开间</v>
      </c>
      <c r="D10" s="13">
        <v>2</v>
      </c>
      <c r="E10" s="13">
        <v>0</v>
      </c>
      <c r="F10" s="13"/>
      <c r="G10" s="13">
        <v>-2</v>
      </c>
      <c r="H10" s="13" t="str">
        <f t="shared" si="0"/>
        <v>5</v>
      </c>
      <c r="I10" s="57"/>
    </row>
    <row r="11" spans="1:35">
      <c r="A11" s="33">
        <f>'【3-2】大区&amp;运营中心填-房间模型价'!H10</f>
        <v>202</v>
      </c>
      <c r="B11" s="33" t="str">
        <f>'【3-2】大区&amp;运营中心填-房间模型价'!I10</f>
        <v>H</v>
      </c>
      <c r="C11" s="33" t="str">
        <f>VLOOKUP(A11,'【3-2】大区&amp;运营中心填-房间模型价'!H:J,3,0)</f>
        <v>一居室</v>
      </c>
      <c r="D11" s="13">
        <v>0.5</v>
      </c>
      <c r="E11" s="13">
        <v>0</v>
      </c>
      <c r="F11" s="13"/>
      <c r="G11" s="13">
        <v>0</v>
      </c>
      <c r="H11" s="13" t="str">
        <f t="shared" si="0"/>
        <v>1</v>
      </c>
      <c r="I11" s="57"/>
    </row>
    <row r="12" spans="1:35">
      <c r="A12" s="33">
        <f>'【3-2】大区&amp;运营中心填-房间模型价'!H11</f>
        <v>203</v>
      </c>
      <c r="B12" s="33" t="str">
        <f>'【3-2】大区&amp;运营中心填-房间模型价'!I11</f>
        <v>I</v>
      </c>
      <c r="C12" s="33" t="str">
        <f>VLOOKUP(A12,'【3-2】大区&amp;运营中心填-房间模型价'!H:J,3,0)</f>
        <v>开间</v>
      </c>
      <c r="D12" s="13">
        <v>1</v>
      </c>
      <c r="E12" s="13">
        <v>0</v>
      </c>
      <c r="F12" s="13"/>
      <c r="G12" s="13">
        <v>1</v>
      </c>
      <c r="H12" s="13" t="str">
        <f t="shared" si="0"/>
        <v>1</v>
      </c>
      <c r="I12" s="57"/>
    </row>
    <row r="13" spans="1:35">
      <c r="A13" s="33">
        <f>'【3-2】大区&amp;运营中心填-房间模型价'!H12</f>
        <v>204</v>
      </c>
      <c r="B13" s="33" t="str">
        <f>'【3-2】大区&amp;运营中心填-房间模型价'!I12</f>
        <v>J</v>
      </c>
      <c r="C13" s="33" t="str">
        <f>VLOOKUP(A13,'【3-2】大区&amp;运营中心填-房间模型价'!H:J,3,0)</f>
        <v>开间</v>
      </c>
      <c r="D13" s="13">
        <v>0.5</v>
      </c>
      <c r="E13" s="13">
        <v>0</v>
      </c>
      <c r="F13" s="13"/>
      <c r="G13" s="13">
        <v>0.5</v>
      </c>
      <c r="H13" s="13" t="str">
        <f t="shared" si="0"/>
        <v>1</v>
      </c>
      <c r="I13" s="57"/>
    </row>
    <row r="14" spans="1:35">
      <c r="A14" s="33">
        <f>'【3-2】大区&amp;运营中心填-房间模型价'!H13</f>
        <v>205</v>
      </c>
      <c r="B14" s="33" t="str">
        <f>'【3-2】大区&amp;运营中心填-房间模型价'!I13</f>
        <v>K</v>
      </c>
      <c r="C14" s="33" t="str">
        <f>VLOOKUP(A14,'【3-2】大区&amp;运营中心填-房间模型价'!H:J,3,0)</f>
        <v>开间</v>
      </c>
      <c r="D14" s="13">
        <v>2</v>
      </c>
      <c r="E14" s="13">
        <v>0</v>
      </c>
      <c r="F14" s="13"/>
      <c r="G14" s="13">
        <v>1</v>
      </c>
      <c r="H14" s="13" t="str">
        <f t="shared" si="0"/>
        <v>2</v>
      </c>
      <c r="I14" s="57"/>
    </row>
    <row r="15" spans="1:35">
      <c r="A15" s="33">
        <f>'【3-2】大区&amp;运营中心填-房间模型价'!H14</f>
        <v>206</v>
      </c>
      <c r="B15" s="33" t="str">
        <f>'【3-2】大区&amp;运营中心填-房间模型价'!I14</f>
        <v>L</v>
      </c>
      <c r="C15" s="33" t="str">
        <f>VLOOKUP(A15,'【3-2】大区&amp;运营中心填-房间模型价'!H:J,3,0)</f>
        <v>一居室</v>
      </c>
      <c r="D15" s="13">
        <v>2</v>
      </c>
      <c r="E15" s="13">
        <v>0</v>
      </c>
      <c r="F15" s="13"/>
      <c r="G15" s="13">
        <v>1</v>
      </c>
      <c r="H15" s="13" t="str">
        <f t="shared" si="0"/>
        <v>1</v>
      </c>
      <c r="I15" s="57"/>
    </row>
    <row r="16" ht="22.5" spans="1:35">
      <c r="A16" s="33">
        <f>'【3-2】大区&amp;运营中心填-房间模型价'!H15</f>
        <v>207</v>
      </c>
      <c r="B16" s="33" t="str">
        <f>'【3-2】大区&amp;运营中心填-房间模型价'!I15</f>
        <v>J</v>
      </c>
      <c r="C16" s="33" t="str">
        <f>VLOOKUP(A16,'【3-2】大区&amp;运营中心填-房间模型价'!H:J,3,0)</f>
        <v>开间</v>
      </c>
      <c r="D16" s="13">
        <v>1</v>
      </c>
      <c r="E16" s="13">
        <v>0</v>
      </c>
      <c r="F16" s="13"/>
      <c r="G16" s="13">
        <v>1</v>
      </c>
      <c r="H16" s="13" t="str">
        <f t="shared" si="0"/>
        <v>1</v>
      </c>
      <c r="I16" s="57"/>
      <c r="L16" s="62" t="s">
        <v>465</v>
      </c>
      <c r="M16" s="62"/>
      <c r="N16" s="62"/>
      <c r="O16" s="62"/>
      <c r="P16" s="62"/>
      <c r="R16" s="62" t="s">
        <v>466</v>
      </c>
      <c r="S16" s="62"/>
      <c r="T16" s="62"/>
      <c r="U16" s="62"/>
      <c r="V16" s="62"/>
      <c r="W16" s="62"/>
      <c r="X16" s="62"/>
      <c r="Y16" s="62"/>
      <c r="Z16" s="62"/>
      <c r="AB16" s="62" t="s">
        <v>467</v>
      </c>
      <c r="AC16" s="62"/>
      <c r="AD16" s="62"/>
      <c r="AE16" s="62"/>
      <c r="AF16" s="62"/>
      <c r="AG16" s="62"/>
      <c r="AH16" s="62"/>
      <c r="AI16" s="62"/>
    </row>
    <row r="17" spans="1:9">
      <c r="A17" s="33">
        <f>'【3-2】大区&amp;运营中心填-房间模型价'!H16</f>
        <v>208</v>
      </c>
      <c r="B17" s="33" t="str">
        <f>'【3-2】大区&amp;运营中心填-房间模型价'!I16</f>
        <v>M</v>
      </c>
      <c r="C17" s="33" t="str">
        <f>VLOOKUP(A17,'【3-2】大区&amp;运营中心填-房间模型价'!H:J,3,0)</f>
        <v>一居室</v>
      </c>
      <c r="D17" s="13">
        <v>2</v>
      </c>
      <c r="E17" s="13">
        <v>0</v>
      </c>
      <c r="F17" s="13"/>
      <c r="G17" s="13">
        <v>0</v>
      </c>
      <c r="H17" s="13" t="str">
        <f t="shared" si="0"/>
        <v>2</v>
      </c>
      <c r="I17" s="57"/>
    </row>
    <row r="18" spans="1:9">
      <c r="A18" s="33">
        <f>'【3-2】大区&amp;运营中心填-房间模型价'!H17</f>
        <v>301</v>
      </c>
      <c r="B18" s="33" t="str">
        <f>'【3-2】大区&amp;运营中心填-房间模型价'!I17</f>
        <v>N</v>
      </c>
      <c r="C18" s="33" t="str">
        <f>VLOOKUP(A18,'【3-2】大区&amp;运营中心填-房间模型价'!H:J,3,0)</f>
        <v>开间</v>
      </c>
      <c r="D18" s="13">
        <v>2</v>
      </c>
      <c r="E18" s="13">
        <v>0</v>
      </c>
      <c r="F18" s="13"/>
      <c r="G18" s="13">
        <v>-2</v>
      </c>
      <c r="H18" s="13" t="str">
        <f t="shared" si="0"/>
        <v>5</v>
      </c>
      <c r="I18" s="57"/>
    </row>
    <row r="19" spans="1:9">
      <c r="A19" s="33">
        <f>'【3-2】大区&amp;运营中心填-房间模型价'!H18</f>
        <v>302</v>
      </c>
      <c r="B19" s="33" t="str">
        <f>'【3-2】大区&amp;运营中心填-房间模型价'!I18</f>
        <v>H</v>
      </c>
      <c r="C19" s="33" t="str">
        <f>VLOOKUP(A19,'【3-2】大区&amp;运营中心填-房间模型价'!H:J,3,0)</f>
        <v>一居室</v>
      </c>
      <c r="D19" s="13">
        <v>1</v>
      </c>
      <c r="E19" s="13">
        <v>0</v>
      </c>
      <c r="F19" s="13"/>
      <c r="G19" s="13">
        <v>-1</v>
      </c>
      <c r="H19" s="13" t="str">
        <f t="shared" si="0"/>
        <v>2</v>
      </c>
      <c r="I19" s="57"/>
    </row>
    <row r="20" spans="1:9">
      <c r="A20" s="33">
        <f>'【3-2】大区&amp;运营中心填-房间模型价'!H19</f>
        <v>303</v>
      </c>
      <c r="B20" s="33" t="str">
        <f>'【3-2】大区&amp;运营中心填-房间模型价'!I19</f>
        <v>O</v>
      </c>
      <c r="C20" s="33" t="str">
        <f>VLOOKUP(A20,'【3-2】大区&amp;运营中心填-房间模型价'!H:J,3,0)</f>
        <v>开间</v>
      </c>
      <c r="D20" s="13">
        <v>1</v>
      </c>
      <c r="E20" s="13">
        <v>1</v>
      </c>
      <c r="F20" s="13">
        <v>0.7</v>
      </c>
      <c r="G20" s="13">
        <v>2</v>
      </c>
      <c r="H20" s="13" t="str">
        <f t="shared" si="0"/>
        <v>2</v>
      </c>
      <c r="I20" s="57"/>
    </row>
    <row r="21" spans="1:9">
      <c r="A21" s="33">
        <f>'【3-2】大区&amp;运营中心填-房间模型价'!H20</f>
        <v>304</v>
      </c>
      <c r="B21" s="33" t="str">
        <f>'【3-2】大区&amp;运营中心填-房间模型价'!I20</f>
        <v>P</v>
      </c>
      <c r="C21" s="33" t="str">
        <f>VLOOKUP(A21,'【3-2】大区&amp;运营中心填-房间模型价'!H:J,3,0)</f>
        <v>开间</v>
      </c>
      <c r="D21" s="13">
        <v>1</v>
      </c>
      <c r="E21" s="13">
        <v>0</v>
      </c>
      <c r="F21" s="13"/>
      <c r="G21" s="13">
        <v>1</v>
      </c>
      <c r="H21" s="13" t="str">
        <f t="shared" si="0"/>
        <v>1</v>
      </c>
      <c r="I21" s="57"/>
    </row>
    <row r="22" spans="1:9">
      <c r="A22" s="33">
        <f>'【3-2】大区&amp;运营中心填-房间模型价'!H21</f>
        <v>305</v>
      </c>
      <c r="B22" s="33" t="str">
        <f>'【3-2】大区&amp;运营中心填-房间模型价'!I21</f>
        <v>K</v>
      </c>
      <c r="C22" s="33" t="str">
        <f>VLOOKUP(A22,'【3-2】大区&amp;运营中心填-房间模型价'!H:J,3,0)</f>
        <v>开间</v>
      </c>
      <c r="D22" s="13">
        <v>2</v>
      </c>
      <c r="E22" s="13">
        <v>0</v>
      </c>
      <c r="F22" s="13"/>
      <c r="G22" s="13">
        <v>1</v>
      </c>
      <c r="H22" s="13" t="str">
        <f t="shared" si="0"/>
        <v>2</v>
      </c>
      <c r="I22" s="57"/>
    </row>
    <row r="23" spans="1:9">
      <c r="A23" s="33">
        <f>'【3-2】大区&amp;运营中心填-房间模型价'!H22</f>
        <v>306</v>
      </c>
      <c r="B23" s="33" t="str">
        <f>'【3-2】大区&amp;运营中心填-房间模型价'!I22</f>
        <v>L</v>
      </c>
      <c r="C23" s="33" t="str">
        <f>VLOOKUP(A23,'【3-2】大区&amp;运营中心填-房间模型价'!H:J,3,0)</f>
        <v>一居室</v>
      </c>
      <c r="D23" s="13">
        <v>2</v>
      </c>
      <c r="E23" s="13">
        <v>0</v>
      </c>
      <c r="F23" s="13"/>
      <c r="G23" s="13">
        <v>1</v>
      </c>
      <c r="H23" s="13" t="str">
        <f t="shared" si="0"/>
        <v>1</v>
      </c>
      <c r="I23" s="57"/>
    </row>
    <row r="24" spans="1:9">
      <c r="A24" s="33">
        <f>'【3-2】大区&amp;运营中心填-房间模型价'!H23</f>
        <v>307</v>
      </c>
      <c r="B24" s="33" t="str">
        <f>'【3-2】大区&amp;运营中心填-房间模型价'!I23</f>
        <v>J</v>
      </c>
      <c r="C24" s="33" t="str">
        <f>VLOOKUP(A24,'【3-2】大区&amp;运营中心填-房间模型价'!H:J,3,0)</f>
        <v>开间</v>
      </c>
      <c r="D24" s="13">
        <v>1</v>
      </c>
      <c r="E24" s="13">
        <v>0</v>
      </c>
      <c r="F24" s="13"/>
      <c r="G24" s="13">
        <v>1</v>
      </c>
      <c r="H24" s="13" t="str">
        <f t="shared" si="0"/>
        <v>1</v>
      </c>
      <c r="I24" s="57"/>
    </row>
    <row r="25" spans="1:9">
      <c r="A25" s="33">
        <f>'【3-2】大区&amp;运营中心填-房间模型价'!H24</f>
        <v>308</v>
      </c>
      <c r="B25" s="33" t="str">
        <f>'【3-2】大区&amp;运营中心填-房间模型价'!I24</f>
        <v>Q</v>
      </c>
      <c r="C25" s="33" t="str">
        <f>VLOOKUP(A25,'【3-2】大区&amp;运营中心填-房间模型价'!H:J,3,0)</f>
        <v>一居室</v>
      </c>
      <c r="D25" s="13">
        <v>2</v>
      </c>
      <c r="E25" s="13">
        <v>0</v>
      </c>
      <c r="F25" s="13"/>
      <c r="G25" s="13">
        <v>0</v>
      </c>
      <c r="H25" s="13" t="str">
        <f t="shared" si="0"/>
        <v>2</v>
      </c>
      <c r="I25" s="57"/>
    </row>
    <row r="26" spans="1:9">
      <c r="A26" s="33">
        <f>'【3-2】大区&amp;运营中心填-房间模型价'!H25</f>
        <v>401</v>
      </c>
      <c r="B26" s="33" t="str">
        <f>'【3-2】大区&amp;运营中心填-房间模型价'!I25</f>
        <v>N</v>
      </c>
      <c r="C26" s="33" t="str">
        <f>VLOOKUP(A26,'【3-2】大区&amp;运营中心填-房间模型价'!H:J,3,0)</f>
        <v>开间</v>
      </c>
      <c r="D26" s="13">
        <v>2</v>
      </c>
      <c r="E26" s="13">
        <v>0</v>
      </c>
      <c r="F26" s="13"/>
      <c r="G26" s="13">
        <v>-2</v>
      </c>
      <c r="H26" s="13" t="str">
        <f t="shared" si="0"/>
        <v>5</v>
      </c>
      <c r="I26" s="57"/>
    </row>
    <row r="27" spans="1:9">
      <c r="A27" s="33">
        <f>'【3-2】大区&amp;运营中心填-房间模型价'!H26</f>
        <v>402</v>
      </c>
      <c r="B27" s="33" t="str">
        <f>'【3-2】大区&amp;运营中心填-房间模型价'!I26</f>
        <v>H</v>
      </c>
      <c r="C27" s="33" t="str">
        <f>VLOOKUP(A27,'【3-2】大区&amp;运营中心填-房间模型价'!H:J,3,0)</f>
        <v>一居室</v>
      </c>
      <c r="D27" s="13">
        <v>1</v>
      </c>
      <c r="E27" s="13">
        <v>0</v>
      </c>
      <c r="F27" s="13"/>
      <c r="G27" s="13">
        <v>-1</v>
      </c>
      <c r="H27" s="13" t="str">
        <f t="shared" si="0"/>
        <v>2</v>
      </c>
      <c r="I27" s="57"/>
    </row>
    <row r="28" spans="1:9">
      <c r="A28" s="33">
        <f>'【3-2】大区&amp;运营中心填-房间模型价'!H27</f>
        <v>403</v>
      </c>
      <c r="B28" s="33" t="str">
        <f>'【3-2】大区&amp;运营中心填-房间模型价'!I27</f>
        <v>O</v>
      </c>
      <c r="C28" s="33" t="str">
        <f>VLOOKUP(A28,'【3-2】大区&amp;运营中心填-房间模型价'!H:J,3,0)</f>
        <v>开间</v>
      </c>
      <c r="D28" s="13">
        <v>1</v>
      </c>
      <c r="E28" s="13">
        <v>1</v>
      </c>
      <c r="F28" s="13">
        <v>0.7</v>
      </c>
      <c r="G28" s="13">
        <v>0</v>
      </c>
      <c r="H28" s="13" t="str">
        <f t="shared" si="0"/>
        <v>4</v>
      </c>
      <c r="I28" s="57"/>
    </row>
    <row r="29" spans="1:9">
      <c r="A29" s="33">
        <f>'【3-2】大区&amp;运营中心填-房间模型价'!H28</f>
        <v>404</v>
      </c>
      <c r="B29" s="33" t="str">
        <f>'【3-2】大区&amp;运营中心填-房间模型价'!I28</f>
        <v>P</v>
      </c>
      <c r="C29" s="33" t="str">
        <f>VLOOKUP(A29,'【3-2】大区&amp;运营中心填-房间模型价'!H:J,3,0)</f>
        <v>开间</v>
      </c>
      <c r="D29" s="13">
        <v>0.5</v>
      </c>
      <c r="E29" s="13">
        <v>0</v>
      </c>
      <c r="F29" s="13"/>
      <c r="G29" s="13">
        <v>0.5</v>
      </c>
      <c r="H29" s="13" t="str">
        <f t="shared" si="0"/>
        <v>1</v>
      </c>
      <c r="I29" s="57"/>
    </row>
    <row r="30" spans="1:9">
      <c r="A30" s="33">
        <f>'【3-2】大区&amp;运营中心填-房间模型价'!H29</f>
        <v>405</v>
      </c>
      <c r="B30" s="33" t="str">
        <f>'【3-2】大区&amp;运营中心填-房间模型价'!I29</f>
        <v>K</v>
      </c>
      <c r="C30" s="33" t="str">
        <f>VLOOKUP(A30,'【3-2】大区&amp;运营中心填-房间模型价'!H:J,3,0)</f>
        <v>开间</v>
      </c>
      <c r="D30" s="13">
        <v>2</v>
      </c>
      <c r="E30" s="13">
        <v>0</v>
      </c>
      <c r="F30" s="13"/>
      <c r="G30" s="13">
        <v>0</v>
      </c>
      <c r="H30" s="13" t="str">
        <f t="shared" si="0"/>
        <v>3</v>
      </c>
      <c r="I30" s="57"/>
    </row>
    <row r="31" spans="1:9">
      <c r="A31" s="33">
        <f>'【3-2】大区&amp;运营中心填-房间模型价'!H30</f>
        <v>406</v>
      </c>
      <c r="B31" s="33" t="str">
        <f>'【3-2】大区&amp;运营中心填-房间模型价'!I30</f>
        <v>L</v>
      </c>
      <c r="C31" s="33" t="str">
        <f>VLOOKUP(A31,'【3-2】大区&amp;运营中心填-房间模型价'!H:J,3,0)</f>
        <v>一居室</v>
      </c>
      <c r="D31" s="13">
        <v>2</v>
      </c>
      <c r="E31" s="13">
        <v>0</v>
      </c>
      <c r="F31" s="13"/>
      <c r="G31" s="13">
        <v>1</v>
      </c>
      <c r="H31" s="13" t="str">
        <f t="shared" si="0"/>
        <v>1</v>
      </c>
      <c r="I31" s="57"/>
    </row>
    <row r="32" spans="1:9">
      <c r="A32" s="33">
        <f>'【3-2】大区&amp;运营中心填-房间模型价'!H31</f>
        <v>407</v>
      </c>
      <c r="B32" s="33" t="str">
        <f>'【3-2】大区&amp;运营中心填-房间模型价'!I31</f>
        <v>J</v>
      </c>
      <c r="C32" s="33" t="str">
        <f>VLOOKUP(A32,'【3-2】大区&amp;运营中心填-房间模型价'!H:J,3,0)</f>
        <v>开间</v>
      </c>
      <c r="D32" s="13">
        <v>1</v>
      </c>
      <c r="E32" s="13">
        <v>0</v>
      </c>
      <c r="F32" s="13"/>
      <c r="G32" s="13">
        <v>1</v>
      </c>
      <c r="H32" s="13" t="str">
        <f t="shared" si="0"/>
        <v>1</v>
      </c>
      <c r="I32" s="57"/>
    </row>
    <row r="33" spans="1:9">
      <c r="A33" s="33">
        <f>'【3-2】大区&amp;运营中心填-房间模型价'!H32</f>
        <v>408</v>
      </c>
      <c r="B33" s="33" t="str">
        <f>'【3-2】大区&amp;运营中心填-房间模型价'!I32</f>
        <v>Q</v>
      </c>
      <c r="C33" s="33" t="str">
        <f>VLOOKUP(A33,'【3-2】大区&amp;运营中心填-房间模型价'!H:J,3,0)</f>
        <v>一居室</v>
      </c>
      <c r="D33" s="13">
        <v>2</v>
      </c>
      <c r="E33" s="13">
        <v>0</v>
      </c>
      <c r="F33" s="13"/>
      <c r="G33" s="13">
        <v>0</v>
      </c>
      <c r="H33" s="13" t="str">
        <f t="shared" si="0"/>
        <v>2</v>
      </c>
      <c r="I33" s="57"/>
    </row>
    <row r="34" spans="1:9">
      <c r="A34" s="33">
        <f>'【3-2】大区&amp;运营中心填-房间模型价'!H33</f>
        <v>501</v>
      </c>
      <c r="B34" s="33" t="str">
        <f>'【3-2】大区&amp;运营中心填-房间模型价'!I33</f>
        <v>N</v>
      </c>
      <c r="C34" s="33" t="str">
        <f>VLOOKUP(A34,'【3-2】大区&amp;运营中心填-房间模型价'!H:J,3,0)</f>
        <v>开间</v>
      </c>
      <c r="D34" s="63">
        <v>2</v>
      </c>
      <c r="E34" s="63">
        <v>0</v>
      </c>
      <c r="F34" s="64"/>
      <c r="G34" s="63">
        <v>-2</v>
      </c>
      <c r="H34" s="13" t="str">
        <f t="shared" si="0"/>
        <v>5</v>
      </c>
      <c r="I34" s="57"/>
    </row>
    <row r="35" spans="1:9">
      <c r="A35" s="33">
        <f>'【3-2】大区&amp;运营中心填-房间模型价'!H34</f>
        <v>502</v>
      </c>
      <c r="B35" s="33" t="str">
        <f>'【3-2】大区&amp;运营中心填-房间模型价'!I34</f>
        <v>H</v>
      </c>
      <c r="C35" s="33" t="str">
        <f>VLOOKUP(A35,'【3-2】大区&amp;运营中心填-房间模型价'!H:J,3,0)</f>
        <v>一居室</v>
      </c>
      <c r="D35" s="13">
        <v>1</v>
      </c>
      <c r="E35" s="13">
        <v>0</v>
      </c>
      <c r="F35" s="13"/>
      <c r="G35" s="13">
        <v>-1</v>
      </c>
      <c r="H35" s="13" t="str">
        <f t="shared" si="0"/>
        <v>2</v>
      </c>
      <c r="I35" s="57"/>
    </row>
    <row r="36" spans="1:9">
      <c r="A36" s="33">
        <f>'【3-2】大区&amp;运营中心填-房间模型价'!H35</f>
        <v>503</v>
      </c>
      <c r="B36" s="33" t="str">
        <f>'【3-2】大区&amp;运营中心填-房间模型价'!I35</f>
        <v>O</v>
      </c>
      <c r="C36" s="33" t="str">
        <f>VLOOKUP(A36,'【3-2】大区&amp;运营中心填-房间模型价'!H:J,3,0)</f>
        <v>开间</v>
      </c>
      <c r="D36" s="13">
        <v>1</v>
      </c>
      <c r="E36" s="13">
        <v>1</v>
      </c>
      <c r="F36" s="13">
        <v>0.7</v>
      </c>
      <c r="G36" s="13">
        <v>0</v>
      </c>
      <c r="H36" s="13" t="str">
        <f t="shared" si="0"/>
        <v>4</v>
      </c>
      <c r="I36" s="57"/>
    </row>
    <row r="37" spans="1:9">
      <c r="A37" s="33">
        <f>'【3-2】大区&amp;运营中心填-房间模型价'!H36</f>
        <v>504</v>
      </c>
      <c r="B37" s="33" t="str">
        <f>'【3-2】大区&amp;运营中心填-房间模型价'!I36</f>
        <v>P</v>
      </c>
      <c r="C37" s="33" t="str">
        <f>VLOOKUP(A37,'【3-2】大区&amp;运营中心填-房间模型价'!H:J,3,0)</f>
        <v>开间</v>
      </c>
      <c r="D37" s="13">
        <v>0.5</v>
      </c>
      <c r="E37" s="13">
        <v>0</v>
      </c>
      <c r="F37" s="13"/>
      <c r="G37" s="13">
        <v>-0.5</v>
      </c>
      <c r="H37" s="13" t="str">
        <f t="shared" si="0"/>
        <v>2</v>
      </c>
      <c r="I37" s="57"/>
    </row>
    <row r="38" spans="1:9">
      <c r="A38" s="33">
        <f>'【3-2】大区&amp;运营中心填-房间模型价'!H37</f>
        <v>505</v>
      </c>
      <c r="B38" s="33" t="str">
        <f>'【3-2】大区&amp;运营中心填-房间模型价'!I37</f>
        <v>K</v>
      </c>
      <c r="C38" s="33" t="str">
        <f>VLOOKUP(A38,'【3-2】大区&amp;运营中心填-房间模型价'!H:J,3,0)</f>
        <v>开间</v>
      </c>
      <c r="D38" s="13">
        <v>2</v>
      </c>
      <c r="E38" s="13">
        <v>0</v>
      </c>
      <c r="F38" s="13"/>
      <c r="G38" s="13">
        <v>-1</v>
      </c>
      <c r="H38" s="13" t="str">
        <f t="shared" si="0"/>
        <v>4</v>
      </c>
      <c r="I38" s="57"/>
    </row>
    <row r="39" spans="1:9">
      <c r="A39" s="33">
        <f>'【3-2】大区&amp;运营中心填-房间模型价'!H38</f>
        <v>506</v>
      </c>
      <c r="B39" s="33" t="str">
        <f>'【3-2】大区&amp;运营中心填-房间模型价'!I38</f>
        <v>L</v>
      </c>
      <c r="C39" s="33" t="str">
        <f>VLOOKUP(A39,'【3-2】大区&amp;运营中心填-房间模型价'!H:J,3,0)</f>
        <v>一居室</v>
      </c>
      <c r="D39" s="13">
        <v>2</v>
      </c>
      <c r="E39" s="13">
        <v>0</v>
      </c>
      <c r="F39" s="13"/>
      <c r="G39" s="13">
        <v>1</v>
      </c>
      <c r="H39" s="13" t="str">
        <f t="shared" si="0"/>
        <v>1</v>
      </c>
      <c r="I39" s="57"/>
    </row>
    <row r="40" spans="1:9">
      <c r="A40" s="33">
        <f>'【3-2】大区&amp;运营中心填-房间模型价'!H39</f>
        <v>507</v>
      </c>
      <c r="B40" s="33" t="str">
        <f>'【3-2】大区&amp;运营中心填-房间模型价'!I39</f>
        <v>J</v>
      </c>
      <c r="C40" s="33" t="str">
        <f>VLOOKUP(A40,'【3-2】大区&amp;运营中心填-房间模型价'!H:J,3,0)</f>
        <v>开间</v>
      </c>
      <c r="D40" s="13">
        <v>1</v>
      </c>
      <c r="E40" s="13">
        <v>0</v>
      </c>
      <c r="F40" s="13"/>
      <c r="G40" s="13">
        <v>1</v>
      </c>
      <c r="H40" s="13" t="str">
        <f t="shared" si="0"/>
        <v>1</v>
      </c>
      <c r="I40" s="57"/>
    </row>
    <row r="41" spans="1:9">
      <c r="A41" s="33">
        <f>'【3-2】大区&amp;运营中心填-房间模型价'!H40</f>
        <v>508</v>
      </c>
      <c r="B41" s="33" t="str">
        <f>'【3-2】大区&amp;运营中心填-房间模型价'!I40</f>
        <v>Q</v>
      </c>
      <c r="C41" s="33" t="str">
        <f>VLOOKUP(A41,'【3-2】大区&amp;运营中心填-房间模型价'!H:J,3,0)</f>
        <v>一居室</v>
      </c>
      <c r="D41" s="13">
        <v>2</v>
      </c>
      <c r="E41" s="13">
        <v>0</v>
      </c>
      <c r="F41" s="13"/>
      <c r="G41" s="13">
        <v>0</v>
      </c>
      <c r="H41" s="13" t="str">
        <f t="shared" si="0"/>
        <v>2</v>
      </c>
      <c r="I41" s="57"/>
    </row>
    <row r="42" spans="1:9">
      <c r="A42" s="33">
        <f>'【3-2】大区&amp;运营中心填-房间模型价'!H41</f>
        <v>601</v>
      </c>
      <c r="B42" s="33" t="str">
        <f>'【3-2】大区&amp;运营中心填-房间模型价'!I41</f>
        <v>N</v>
      </c>
      <c r="C42" s="33" t="str">
        <f>VLOOKUP(A42,'【3-2】大区&amp;运营中心填-房间模型价'!H:J,3,0)</f>
        <v>开间</v>
      </c>
      <c r="D42" s="63">
        <v>2</v>
      </c>
      <c r="E42" s="63">
        <v>0</v>
      </c>
      <c r="F42" s="64"/>
      <c r="G42" s="63">
        <v>-2</v>
      </c>
      <c r="H42" s="13" t="str">
        <f t="shared" si="0"/>
        <v>5</v>
      </c>
      <c r="I42" s="57"/>
    </row>
    <row r="43" spans="1:9">
      <c r="A43" s="33">
        <f>'【3-2】大区&amp;运营中心填-房间模型价'!H42</f>
        <v>602</v>
      </c>
      <c r="B43" s="33" t="str">
        <f>'【3-2】大区&amp;运营中心填-房间模型价'!I42</f>
        <v>H</v>
      </c>
      <c r="C43" s="33" t="str">
        <f>VLOOKUP(A43,'【3-2】大区&amp;运营中心填-房间模型价'!H:J,3,0)</f>
        <v>一居室</v>
      </c>
      <c r="D43" s="13">
        <v>1</v>
      </c>
      <c r="E43" s="13">
        <v>0</v>
      </c>
      <c r="F43" s="13"/>
      <c r="G43" s="13">
        <v>-1</v>
      </c>
      <c r="H43" s="13" t="str">
        <f t="shared" si="0"/>
        <v>2</v>
      </c>
      <c r="I43" s="57"/>
    </row>
    <row r="44" spans="1:9">
      <c r="A44" s="33">
        <f>'【3-2】大区&amp;运营中心填-房间模型价'!H43</f>
        <v>603</v>
      </c>
      <c r="B44" s="33" t="str">
        <f>'【3-2】大区&amp;运营中心填-房间模型价'!I43</f>
        <v>O</v>
      </c>
      <c r="C44" s="33" t="str">
        <f>VLOOKUP(A44,'【3-2】大区&amp;运营中心填-房间模型价'!H:J,3,0)</f>
        <v>开间</v>
      </c>
      <c r="D44" s="13">
        <v>1</v>
      </c>
      <c r="E44" s="13">
        <v>1</v>
      </c>
      <c r="F44" s="13">
        <v>0.7</v>
      </c>
      <c r="G44" s="13">
        <v>0</v>
      </c>
      <c r="H44" s="13" t="str">
        <f t="shared" si="0"/>
        <v>4</v>
      </c>
      <c r="I44" s="57"/>
    </row>
    <row r="45" spans="1:9">
      <c r="A45" s="33">
        <f>'【3-2】大区&amp;运营中心填-房间模型价'!H44</f>
        <v>604</v>
      </c>
      <c r="B45" s="33" t="str">
        <f>'【3-2】大区&amp;运营中心填-房间模型价'!I44</f>
        <v>P</v>
      </c>
      <c r="C45" s="33" t="str">
        <f>VLOOKUP(A45,'【3-2】大区&amp;运营中心填-房间模型价'!H:J,3,0)</f>
        <v>开间</v>
      </c>
      <c r="D45" s="13">
        <v>0.5</v>
      </c>
      <c r="E45" s="13">
        <v>0</v>
      </c>
      <c r="F45" s="13"/>
      <c r="G45" s="13">
        <v>-0.5</v>
      </c>
      <c r="H45" s="13" t="str">
        <f t="shared" si="0"/>
        <v>2</v>
      </c>
      <c r="I45" s="57"/>
    </row>
    <row r="46" spans="1:9">
      <c r="A46" s="33">
        <f>'【3-2】大区&amp;运营中心填-房间模型价'!H45</f>
        <v>605</v>
      </c>
      <c r="B46" s="33" t="str">
        <f>'【3-2】大区&amp;运营中心填-房间模型价'!I45</f>
        <v>K</v>
      </c>
      <c r="C46" s="33" t="str">
        <f>VLOOKUP(A46,'【3-2】大区&amp;运营中心填-房间模型价'!H:J,3,0)</f>
        <v>开间</v>
      </c>
      <c r="D46" s="13">
        <v>2</v>
      </c>
      <c r="E46" s="13">
        <v>0</v>
      </c>
      <c r="F46" s="13"/>
      <c r="G46" s="13">
        <v>-1</v>
      </c>
      <c r="H46" s="13" t="str">
        <f t="shared" si="0"/>
        <v>4</v>
      </c>
      <c r="I46" s="57"/>
    </row>
    <row r="47" spans="1:9">
      <c r="A47" s="33">
        <f>'【3-2】大区&amp;运营中心填-房间模型价'!H46</f>
        <v>606</v>
      </c>
      <c r="B47" s="33" t="str">
        <f>'【3-2】大区&amp;运营中心填-房间模型价'!I46</f>
        <v>L</v>
      </c>
      <c r="C47" s="33" t="str">
        <f>VLOOKUP(A47,'【3-2】大区&amp;运营中心填-房间模型价'!H:J,3,0)</f>
        <v>一居室</v>
      </c>
      <c r="D47" s="13">
        <v>2</v>
      </c>
      <c r="E47" s="13">
        <v>0</v>
      </c>
      <c r="F47" s="13"/>
      <c r="G47" s="13">
        <v>1</v>
      </c>
      <c r="H47" s="13" t="str">
        <f t="shared" si="0"/>
        <v>1</v>
      </c>
      <c r="I47" s="57"/>
    </row>
    <row r="48" spans="1:9">
      <c r="A48" s="33">
        <f>'【3-2】大区&amp;运营中心填-房间模型价'!H47</f>
        <v>607</v>
      </c>
      <c r="B48" s="33" t="str">
        <f>'【3-2】大区&amp;运营中心填-房间模型价'!I47</f>
        <v>J</v>
      </c>
      <c r="C48" s="33" t="str">
        <f>VLOOKUP(A48,'【3-2】大区&amp;运营中心填-房间模型价'!H:J,3,0)</f>
        <v>开间</v>
      </c>
      <c r="D48" s="13">
        <v>1</v>
      </c>
      <c r="E48" s="13">
        <v>0</v>
      </c>
      <c r="F48" s="13"/>
      <c r="G48" s="13">
        <v>1</v>
      </c>
      <c r="H48" s="13" t="str">
        <f t="shared" si="0"/>
        <v>1</v>
      </c>
      <c r="I48" s="57"/>
    </row>
    <row r="49" spans="1:9">
      <c r="A49" s="33">
        <f>'【3-2】大区&amp;运营中心填-房间模型价'!H48</f>
        <v>608</v>
      </c>
      <c r="B49" s="33" t="str">
        <f>'【3-2】大区&amp;运营中心填-房间模型价'!I48</f>
        <v>Q</v>
      </c>
      <c r="C49" s="33" t="str">
        <f>VLOOKUP(A49,'【3-2】大区&amp;运营中心填-房间模型价'!H:J,3,0)</f>
        <v>一居室</v>
      </c>
      <c r="D49" s="13">
        <v>2</v>
      </c>
      <c r="E49" s="13">
        <v>0</v>
      </c>
      <c r="F49" s="13"/>
      <c r="G49" s="13">
        <v>0</v>
      </c>
      <c r="H49" s="13" t="str">
        <f t="shared" si="0"/>
        <v>2</v>
      </c>
      <c r="I49" s="57"/>
    </row>
    <row r="50" spans="1:9">
      <c r="A50" s="33">
        <f>'【3-2】大区&amp;运营中心填-房间模型价'!H49</f>
        <v>701</v>
      </c>
      <c r="B50" s="33" t="str">
        <f>'【3-2】大区&amp;运营中心填-房间模型价'!I49</f>
        <v>N</v>
      </c>
      <c r="C50" s="33" t="str">
        <f>VLOOKUP(A50,'【3-2】大区&amp;运营中心填-房间模型价'!H:J,3,0)</f>
        <v>开间</v>
      </c>
      <c r="D50" s="63">
        <v>2</v>
      </c>
      <c r="E50" s="63">
        <v>0</v>
      </c>
      <c r="F50" s="64"/>
      <c r="G50" s="63">
        <v>-2</v>
      </c>
      <c r="H50" s="13" t="str">
        <f t="shared" si="0"/>
        <v>5</v>
      </c>
      <c r="I50" s="57"/>
    </row>
    <row r="51" spans="1:9">
      <c r="A51" s="33">
        <f>'【3-2】大区&amp;运营中心填-房间模型价'!H50</f>
        <v>702</v>
      </c>
      <c r="B51" s="33" t="str">
        <f>'【3-2】大区&amp;运营中心填-房间模型价'!I50</f>
        <v>H</v>
      </c>
      <c r="C51" s="33" t="str">
        <f>VLOOKUP(A51,'【3-2】大区&amp;运营中心填-房间模型价'!H:J,3,0)</f>
        <v>一居室</v>
      </c>
      <c r="D51" s="63">
        <v>1</v>
      </c>
      <c r="E51" s="63">
        <v>0</v>
      </c>
      <c r="F51" s="64"/>
      <c r="G51" s="63">
        <v>-1</v>
      </c>
      <c r="H51" s="13" t="str">
        <f t="shared" si="0"/>
        <v>2</v>
      </c>
      <c r="I51" s="57"/>
    </row>
    <row r="52" spans="1:9">
      <c r="A52" s="33">
        <f>'【3-2】大区&amp;运营中心填-房间模型价'!H51</f>
        <v>703</v>
      </c>
      <c r="B52" s="33" t="str">
        <f>'【3-2】大区&amp;运营中心填-房间模型价'!I51</f>
        <v>O</v>
      </c>
      <c r="C52" s="33" t="str">
        <f>VLOOKUP(A52,'【3-2】大区&amp;运营中心填-房间模型价'!H:J,3,0)</f>
        <v>开间</v>
      </c>
      <c r="D52" s="63">
        <v>1</v>
      </c>
      <c r="E52" s="63">
        <v>1</v>
      </c>
      <c r="F52" s="63">
        <v>0.7</v>
      </c>
      <c r="G52" s="63">
        <v>0</v>
      </c>
      <c r="H52" s="13" t="str">
        <f t="shared" si="0"/>
        <v>4</v>
      </c>
      <c r="I52" s="57"/>
    </row>
    <row r="53" spans="1:9">
      <c r="A53" s="33">
        <f>'【3-2】大区&amp;运营中心填-房间模型价'!H52</f>
        <v>704</v>
      </c>
      <c r="B53" s="33" t="str">
        <f>'【3-2】大区&amp;运营中心填-房间模型价'!I52</f>
        <v>P</v>
      </c>
      <c r="C53" s="33" t="str">
        <f>VLOOKUP(A53,'【3-2】大区&amp;运营中心填-房间模型价'!H:J,3,0)</f>
        <v>开间</v>
      </c>
      <c r="D53" s="63">
        <v>0.5</v>
      </c>
      <c r="E53" s="63">
        <v>0</v>
      </c>
      <c r="F53" s="64"/>
      <c r="G53" s="63">
        <v>-0.5</v>
      </c>
      <c r="H53" s="13" t="str">
        <f t="shared" si="0"/>
        <v>2</v>
      </c>
      <c r="I53" s="57"/>
    </row>
    <row r="54" spans="1:9">
      <c r="A54" s="33">
        <f>'【3-2】大区&amp;运营中心填-房间模型价'!H53</f>
        <v>705</v>
      </c>
      <c r="B54" s="33" t="str">
        <f>'【3-2】大区&amp;运营中心填-房间模型价'!I53</f>
        <v>K</v>
      </c>
      <c r="C54" s="33" t="str">
        <f>VLOOKUP(A54,'【3-2】大区&amp;运营中心填-房间模型价'!H:J,3,0)</f>
        <v>开间</v>
      </c>
      <c r="D54" s="63">
        <v>2</v>
      </c>
      <c r="E54" s="63">
        <v>0</v>
      </c>
      <c r="F54" s="64"/>
      <c r="G54" s="63">
        <v>-1</v>
      </c>
      <c r="H54" s="13" t="str">
        <f t="shared" si="0"/>
        <v>4</v>
      </c>
      <c r="I54" s="57"/>
    </row>
    <row r="55" spans="1:9">
      <c r="A55" s="33">
        <f>'【3-2】大区&amp;运营中心填-房间模型价'!H54</f>
        <v>706</v>
      </c>
      <c r="B55" s="33" t="str">
        <f>'【3-2】大区&amp;运营中心填-房间模型价'!I54</f>
        <v>L</v>
      </c>
      <c r="C55" s="33" t="str">
        <f>VLOOKUP(A55,'【3-2】大区&amp;运营中心填-房间模型价'!H:J,3,0)</f>
        <v>一居室</v>
      </c>
      <c r="D55" s="63">
        <v>2</v>
      </c>
      <c r="E55" s="63">
        <v>0</v>
      </c>
      <c r="F55" s="64"/>
      <c r="G55" s="63">
        <v>1</v>
      </c>
      <c r="H55" s="13" t="str">
        <f t="shared" si="0"/>
        <v>1</v>
      </c>
      <c r="I55" s="57"/>
    </row>
    <row r="56" spans="1:9">
      <c r="A56" s="33">
        <f>'【3-2】大区&amp;运营中心填-房间模型价'!H55</f>
        <v>707</v>
      </c>
      <c r="B56" s="33" t="str">
        <f>'【3-2】大区&amp;运营中心填-房间模型价'!I55</f>
        <v>J</v>
      </c>
      <c r="C56" s="33" t="str">
        <f>VLOOKUP(A56,'【3-2】大区&amp;运营中心填-房间模型价'!H:J,3,0)</f>
        <v>开间</v>
      </c>
      <c r="D56" s="63">
        <v>1</v>
      </c>
      <c r="E56" s="63">
        <v>0</v>
      </c>
      <c r="F56" s="64"/>
      <c r="G56" s="63">
        <v>1</v>
      </c>
      <c r="H56" s="13" t="str">
        <f t="shared" si="0"/>
        <v>1</v>
      </c>
      <c r="I56" s="57"/>
    </row>
    <row r="57" spans="1:9">
      <c r="A57" s="33">
        <f>'【3-2】大区&amp;运营中心填-房间模型价'!H56</f>
        <v>708</v>
      </c>
      <c r="B57" s="33" t="str">
        <f>'【3-2】大区&amp;运营中心填-房间模型价'!I56</f>
        <v>Q</v>
      </c>
      <c r="C57" s="33" t="str">
        <f>VLOOKUP(A57,'【3-2】大区&amp;运营中心填-房间模型价'!H:J,3,0)</f>
        <v>一居室</v>
      </c>
      <c r="D57" s="63">
        <v>2</v>
      </c>
      <c r="E57" s="63">
        <v>0</v>
      </c>
      <c r="F57" s="64"/>
      <c r="G57" s="63">
        <v>0</v>
      </c>
      <c r="H57" s="13" t="str">
        <f t="shared" si="0"/>
        <v>2</v>
      </c>
      <c r="I57" s="57"/>
    </row>
    <row r="58" spans="1:9">
      <c r="A58" s="33">
        <f>'【3-2】大区&amp;运营中心填-房间模型价'!H57</f>
        <v>801</v>
      </c>
      <c r="B58" s="33" t="str">
        <f>'【3-2】大区&amp;运营中心填-房间模型价'!I57</f>
        <v>N</v>
      </c>
      <c r="C58" s="33" t="str">
        <f>VLOOKUP(A58,'【3-2】大区&amp;运营中心填-房间模型价'!H:J,3,0)</f>
        <v>开间</v>
      </c>
      <c r="D58" s="63">
        <v>2</v>
      </c>
      <c r="E58" s="63">
        <v>0</v>
      </c>
      <c r="F58" s="64"/>
      <c r="G58" s="63">
        <v>-2</v>
      </c>
      <c r="H58" s="13" t="str">
        <f t="shared" si="0"/>
        <v>5</v>
      </c>
      <c r="I58" s="57"/>
    </row>
    <row r="59" spans="1:9">
      <c r="A59" s="33">
        <f>'【3-2】大区&amp;运营中心填-房间模型价'!H58</f>
        <v>802</v>
      </c>
      <c r="B59" s="33" t="str">
        <f>'【3-2】大区&amp;运营中心填-房间模型价'!I58</f>
        <v>H</v>
      </c>
      <c r="C59" s="33" t="str">
        <f>VLOOKUP(A59,'【3-2】大区&amp;运营中心填-房间模型价'!H:J,3,0)</f>
        <v>一居室</v>
      </c>
      <c r="D59" s="63">
        <v>1</v>
      </c>
      <c r="E59" s="63">
        <v>0</v>
      </c>
      <c r="F59" s="64"/>
      <c r="G59" s="63">
        <v>-1</v>
      </c>
      <c r="H59" s="13" t="str">
        <f t="shared" si="0"/>
        <v>2</v>
      </c>
      <c r="I59" s="57"/>
    </row>
    <row r="60" spans="1:9">
      <c r="A60" s="33">
        <f>'【3-2】大区&amp;运营中心填-房间模型价'!H59</f>
        <v>803</v>
      </c>
      <c r="B60" s="33" t="str">
        <f>'【3-2】大区&amp;运营中心填-房间模型价'!I59</f>
        <v>O</v>
      </c>
      <c r="C60" s="33" t="str">
        <f>VLOOKUP(A60,'【3-2】大区&amp;运营中心填-房间模型价'!H:J,3,0)</f>
        <v>开间</v>
      </c>
      <c r="D60" s="63">
        <v>1</v>
      </c>
      <c r="E60" s="63">
        <v>1</v>
      </c>
      <c r="F60" s="63">
        <v>0.7</v>
      </c>
      <c r="G60" s="63">
        <v>0</v>
      </c>
      <c r="H60" s="13" t="str">
        <f t="shared" si="0"/>
        <v>4</v>
      </c>
      <c r="I60" s="57"/>
    </row>
    <row r="61" spans="1:9">
      <c r="A61" s="33">
        <f>'【3-2】大区&amp;运营中心填-房间模型价'!H60</f>
        <v>804</v>
      </c>
      <c r="B61" s="33" t="str">
        <f>'【3-2】大区&amp;运营中心填-房间模型价'!I60</f>
        <v>P</v>
      </c>
      <c r="C61" s="33" t="str">
        <f>VLOOKUP(A61,'【3-2】大区&amp;运营中心填-房间模型价'!H:J,3,0)</f>
        <v>开间</v>
      </c>
      <c r="D61" s="63">
        <v>0.5</v>
      </c>
      <c r="E61" s="63">
        <v>0</v>
      </c>
      <c r="F61" s="64"/>
      <c r="G61" s="63">
        <v>-0.5</v>
      </c>
      <c r="H61" s="13" t="str">
        <f t="shared" si="0"/>
        <v>2</v>
      </c>
      <c r="I61" s="57"/>
    </row>
    <row r="62" spans="1:9">
      <c r="A62" s="33">
        <f>'【3-2】大区&amp;运营中心填-房间模型价'!H61</f>
        <v>805</v>
      </c>
      <c r="B62" s="33" t="str">
        <f>'【3-2】大区&amp;运营中心填-房间模型价'!I61</f>
        <v>K</v>
      </c>
      <c r="C62" s="33" t="str">
        <f>VLOOKUP(A62,'【3-2】大区&amp;运营中心填-房间模型价'!H:J,3,0)</f>
        <v>开间</v>
      </c>
      <c r="D62" s="63">
        <v>2</v>
      </c>
      <c r="E62" s="63">
        <v>0</v>
      </c>
      <c r="F62" s="64"/>
      <c r="G62" s="63">
        <v>-1</v>
      </c>
      <c r="H62" s="13" t="str">
        <f t="shared" si="0"/>
        <v>4</v>
      </c>
      <c r="I62" s="57"/>
    </row>
    <row r="63" spans="1:9">
      <c r="A63" s="33">
        <f>'【3-2】大区&amp;运营中心填-房间模型价'!H62</f>
        <v>806</v>
      </c>
      <c r="B63" s="33" t="str">
        <f>'【3-2】大区&amp;运营中心填-房间模型价'!I62</f>
        <v>L</v>
      </c>
      <c r="C63" s="33" t="str">
        <f>VLOOKUP(A63,'【3-2】大区&amp;运营中心填-房间模型价'!H:J,3,0)</f>
        <v>一居室</v>
      </c>
      <c r="D63" s="63">
        <v>2</v>
      </c>
      <c r="E63" s="63">
        <v>0</v>
      </c>
      <c r="F63" s="64"/>
      <c r="G63" s="63">
        <v>1</v>
      </c>
      <c r="H63" s="13" t="str">
        <f t="shared" si="0"/>
        <v>1</v>
      </c>
      <c r="I63" s="57"/>
    </row>
    <row r="64" spans="1:9">
      <c r="A64" s="33">
        <f>'【3-2】大区&amp;运营中心填-房间模型价'!H63</f>
        <v>807</v>
      </c>
      <c r="B64" s="33" t="str">
        <f>'【3-2】大区&amp;运营中心填-房间模型价'!I63</f>
        <v>J</v>
      </c>
      <c r="C64" s="33" t="str">
        <f>VLOOKUP(A64,'【3-2】大区&amp;运营中心填-房间模型价'!H:J,3,0)</f>
        <v>开间</v>
      </c>
      <c r="D64" s="63">
        <v>1</v>
      </c>
      <c r="E64" s="63">
        <v>0</v>
      </c>
      <c r="F64" s="64"/>
      <c r="G64" s="63">
        <v>1</v>
      </c>
      <c r="H64" s="13" t="str">
        <f t="shared" si="0"/>
        <v>1</v>
      </c>
      <c r="I64" s="57"/>
    </row>
    <row r="65" spans="1:9">
      <c r="A65" s="33">
        <f>'【3-2】大区&amp;运营中心填-房间模型价'!H64</f>
        <v>808</v>
      </c>
      <c r="B65" s="33" t="str">
        <f>'【3-2】大区&amp;运营中心填-房间模型价'!I64</f>
        <v>Q</v>
      </c>
      <c r="C65" s="33" t="str">
        <f>VLOOKUP(A65,'【3-2】大区&amp;运营中心填-房间模型价'!H:J,3,0)</f>
        <v>一居室</v>
      </c>
      <c r="D65" s="63">
        <v>2</v>
      </c>
      <c r="E65" s="63">
        <v>0</v>
      </c>
      <c r="F65" s="64"/>
      <c r="G65" s="63">
        <v>0</v>
      </c>
      <c r="H65" s="13" t="str">
        <f t="shared" si="0"/>
        <v>2</v>
      </c>
      <c r="I65" s="57"/>
    </row>
    <row r="66" spans="1:9">
      <c r="A66" s="33">
        <f>'【3-2】大区&amp;运营中心填-房间模型价'!H65</f>
        <v>901</v>
      </c>
      <c r="B66" s="33" t="str">
        <f>'【3-2】大区&amp;运营中心填-房间模型价'!I65</f>
        <v>N</v>
      </c>
      <c r="C66" s="33" t="str">
        <f>VLOOKUP(A66,'【3-2】大区&amp;运营中心填-房间模型价'!H:J,3,0)</f>
        <v>开间</v>
      </c>
      <c r="D66" s="63">
        <v>2</v>
      </c>
      <c r="E66" s="63">
        <v>0</v>
      </c>
      <c r="F66" s="64"/>
      <c r="G66" s="63">
        <v>-2</v>
      </c>
      <c r="H66" s="13" t="str">
        <f t="shared" si="0"/>
        <v>5</v>
      </c>
      <c r="I66" s="57"/>
    </row>
    <row r="67" spans="1:9">
      <c r="A67" s="33">
        <f>'【3-2】大区&amp;运营中心填-房间模型价'!H66</f>
        <v>902</v>
      </c>
      <c r="B67" s="33" t="str">
        <f>'【3-2】大区&amp;运营中心填-房间模型价'!I66</f>
        <v>H</v>
      </c>
      <c r="C67" s="33" t="str">
        <f>VLOOKUP(A67,'【3-2】大区&amp;运营中心填-房间模型价'!H:J,3,0)</f>
        <v>一居室</v>
      </c>
      <c r="D67" s="63">
        <v>1</v>
      </c>
      <c r="E67" s="63">
        <v>0</v>
      </c>
      <c r="F67" s="64"/>
      <c r="G67" s="63">
        <v>-1</v>
      </c>
      <c r="H67" s="13" t="str">
        <f>IF(C67="开间",IF(D67+E67*2-G67&lt;=0,"1",IF(D67+E67*2-G67&lt;=1,"2",IF(D67+E67*2-G67&lt;=2,"3",IF(D67+E67*2-G67&lt;=3,"4","5")))),IF(D67+E67*2-G67&lt;1.1,"1",IF(D67+E67*2-G67&lt;=2,"2",IF(D67+E67*2-G67&lt;=3,"3",IF(D67+E67*2-G67&lt;=4,"4","5")))))</f>
        <v>2</v>
      </c>
      <c r="I67" s="57"/>
    </row>
    <row r="68" spans="1:9">
      <c r="A68" s="33">
        <f>'【3-2】大区&amp;运营中心填-房间模型价'!H67</f>
        <v>903</v>
      </c>
      <c r="B68" s="33" t="str">
        <f>'【3-2】大区&amp;运营中心填-房间模型价'!I67</f>
        <v>O</v>
      </c>
      <c r="C68" s="33" t="str">
        <f>VLOOKUP(A68,'【3-2】大区&amp;运营中心填-房间模型价'!H:J,3,0)</f>
        <v>开间</v>
      </c>
      <c r="D68" s="63">
        <v>1</v>
      </c>
      <c r="E68" s="63">
        <v>1</v>
      </c>
      <c r="F68" s="63">
        <v>0.7</v>
      </c>
      <c r="G68" s="63">
        <v>0</v>
      </c>
      <c r="H68" s="13" t="str">
        <f>IF(C68="开间",IF(D68+E68*2-G68&lt;=0,"1",IF(D68+E68*2-G68&lt;=1,"2",IF(D68+E68*2-G68&lt;=2,"3",IF(D68+E68*2-G68&lt;=3,"4","5")))),IF(D68+E68*2-G68&lt;1.1,"1",IF(D68+E68*2-G68&lt;=2,"2",IF(D68+E68*2-G68&lt;=3,"3",IF(D68+E68*2-G68&lt;=4,"4","5")))))</f>
        <v>4</v>
      </c>
      <c r="I68" s="57"/>
    </row>
    <row r="69" spans="1:9">
      <c r="A69" s="33">
        <f>'【3-2】大区&amp;运营中心填-房间模型价'!H68</f>
        <v>904</v>
      </c>
      <c r="B69" s="33" t="str">
        <f>'【3-2】大区&amp;运营中心填-房间模型价'!I68</f>
        <v>P</v>
      </c>
      <c r="C69" s="33" t="str">
        <f>VLOOKUP(A69,'【3-2】大区&amp;运营中心填-房间模型价'!H:J,3,0)</f>
        <v>开间</v>
      </c>
      <c r="D69" s="63">
        <v>0.5</v>
      </c>
      <c r="E69" s="63">
        <v>0</v>
      </c>
      <c r="F69" s="64"/>
      <c r="G69" s="63">
        <v>-0.5</v>
      </c>
      <c r="H69" s="13" t="str">
        <f>IF(C69="开间",IF(D69+E69*2-G69&lt;=0,"1",IF(D69+E69*2-G69&lt;=1,"2",IF(D69+E69*2-G69&lt;=2,"3",IF(D69+E69*2-G69&lt;=3,"4","5")))),IF(D69+E69*2-G69&lt;1.1,"1",IF(D69+E69*2-G69&lt;=2,"2",IF(D69+E69*2-G69&lt;=3,"3",IF(D69+E69*2-G69&lt;=4,"4","5")))))</f>
        <v>2</v>
      </c>
      <c r="I69" s="57"/>
    </row>
    <row r="70" spans="1:9">
      <c r="A70" s="33">
        <f>'【3-2】大区&amp;运营中心填-房间模型价'!H69</f>
        <v>905</v>
      </c>
      <c r="B70" s="33" t="str">
        <f>'【3-2】大区&amp;运营中心填-房间模型价'!I69</f>
        <v>K</v>
      </c>
      <c r="C70" s="33" t="str">
        <f>VLOOKUP(A70,'【3-2】大区&amp;运营中心填-房间模型价'!H:J,3,0)</f>
        <v>开间</v>
      </c>
      <c r="D70" s="63">
        <v>2</v>
      </c>
      <c r="E70" s="63">
        <v>0</v>
      </c>
      <c r="F70" s="64"/>
      <c r="G70" s="63">
        <v>-1</v>
      </c>
      <c r="H70" s="13" t="str">
        <f>IF(C70="开间",IF(D70+E70*2-G70&lt;=0,"1",IF(D70+E70*2-G70&lt;=1,"2",IF(D70+E70*2-G70&lt;=2,"3",IF(D70+E70*2-G70&lt;=3,"4","5")))),IF(D70+E70*2-G70&lt;1.1,"1",IF(D70+E70*2-G70&lt;=2,"2",IF(D70+E70*2-G70&lt;=3,"3",IF(D70+E70*2-G70&lt;=4,"4","5")))))</f>
        <v>4</v>
      </c>
      <c r="I70" s="57"/>
    </row>
    <row r="71" spans="1:9">
      <c r="A71" s="33">
        <f>'【3-2】大区&amp;运营中心填-房间模型价'!H70</f>
        <v>906</v>
      </c>
      <c r="B71" s="33" t="str">
        <f>'【3-2】大区&amp;运营中心填-房间模型价'!I70</f>
        <v>L</v>
      </c>
      <c r="C71" s="33" t="str">
        <f>VLOOKUP(A71,'【3-2】大区&amp;运营中心填-房间模型价'!H:J,3,0)</f>
        <v>一居室</v>
      </c>
      <c r="D71" s="63">
        <v>2</v>
      </c>
      <c r="E71" s="63">
        <v>0</v>
      </c>
      <c r="F71" s="64"/>
      <c r="G71" s="63">
        <v>1</v>
      </c>
      <c r="H71" s="13" t="str">
        <f t="shared" ref="H71:H80" si="1">IF(C71="开间",IF(D71+E71*2-G71&lt;=0,"1",IF(D71+E71*2-G71&lt;=1,"2",IF(D71+E71*2-G71&lt;=2,"3",IF(D71+E71*2-G71&lt;=3,"4","5")))),IF(D71+E71*2-G71&lt;1.1,"1",IF(D71+E71*2-G71&lt;=2,"2",IF(D71+E71*2-G71&lt;=3,"3",IF(D71+E71*2-G71&lt;=4,"4","5")))))</f>
        <v>1</v>
      </c>
      <c r="I71" s="57"/>
    </row>
    <row r="72" spans="1:9">
      <c r="A72" s="33">
        <f>'【3-2】大区&amp;运营中心填-房间模型价'!H71</f>
        <v>907</v>
      </c>
      <c r="B72" s="33" t="str">
        <f>'【3-2】大区&amp;运营中心填-房间模型价'!I71</f>
        <v>J</v>
      </c>
      <c r="C72" s="33" t="str">
        <f>VLOOKUP(A72,'【3-2】大区&amp;运营中心填-房间模型价'!H:J,3,0)</f>
        <v>开间</v>
      </c>
      <c r="D72" s="63">
        <v>1</v>
      </c>
      <c r="E72" s="63">
        <v>0</v>
      </c>
      <c r="F72" s="64"/>
      <c r="G72" s="63">
        <v>1</v>
      </c>
      <c r="H72" s="13" t="str">
        <f t="shared" si="1"/>
        <v>1</v>
      </c>
      <c r="I72" s="57"/>
    </row>
    <row r="73" spans="1:9">
      <c r="A73" s="33">
        <f>'【3-2】大区&amp;运营中心填-房间模型价'!H72</f>
        <v>908</v>
      </c>
      <c r="B73" s="33" t="str">
        <f>'【3-2】大区&amp;运营中心填-房间模型价'!I72</f>
        <v>Q</v>
      </c>
      <c r="C73" s="33" t="str">
        <f>VLOOKUP(A73,'【3-2】大区&amp;运营中心填-房间模型价'!H:J,3,0)</f>
        <v>一居室</v>
      </c>
      <c r="D73" s="63">
        <v>2</v>
      </c>
      <c r="E73" s="63">
        <v>0</v>
      </c>
      <c r="F73" s="64"/>
      <c r="G73" s="63">
        <v>0</v>
      </c>
      <c r="H73" s="13" t="str">
        <f t="shared" si="1"/>
        <v>2</v>
      </c>
      <c r="I73" s="57"/>
    </row>
    <row r="74" spans="1:9">
      <c r="A74" s="33" t="e">
        <f>'【3-2】大区&amp;运营中心填-房间模型价'!#REF!</f>
        <v>#REF!</v>
      </c>
      <c r="B74" s="33" t="e">
        <f>'【3-2】大区&amp;运营中心填-房间模型价'!#REF!</f>
        <v>#REF!</v>
      </c>
      <c r="C74" s="33" t="e">
        <f>VLOOKUP(A74,'【3-2】大区&amp;运营中心填-房间模型价'!H:J,3,0)</f>
        <v>#REF!</v>
      </c>
      <c r="D74" s="13"/>
      <c r="E74" s="13"/>
      <c r="F74" s="13"/>
      <c r="G74" s="13"/>
      <c r="H74" s="13" t="e">
        <f t="shared" si="1"/>
        <v>#REF!</v>
      </c>
      <c r="I74" s="57"/>
    </row>
    <row r="75" spans="1:9">
      <c r="A75" s="33" t="e">
        <f>'【3-2】大区&amp;运营中心填-房间模型价'!#REF!</f>
        <v>#REF!</v>
      </c>
      <c r="B75" s="33" t="e">
        <f>'【3-2】大区&amp;运营中心填-房间模型价'!#REF!</f>
        <v>#REF!</v>
      </c>
      <c r="C75" s="33" t="e">
        <f>VLOOKUP(A75,'【3-2】大区&amp;运营中心填-房间模型价'!H:J,3,0)</f>
        <v>#REF!</v>
      </c>
      <c r="D75" s="13"/>
      <c r="E75" s="13"/>
      <c r="F75" s="13"/>
      <c r="G75" s="13"/>
      <c r="H75" s="13" t="e">
        <f t="shared" si="1"/>
        <v>#REF!</v>
      </c>
      <c r="I75" s="57"/>
    </row>
    <row r="76" spans="1:9">
      <c r="A76" s="33" t="e">
        <f>'【3-2】大区&amp;运营中心填-房间模型价'!#REF!</f>
        <v>#REF!</v>
      </c>
      <c r="B76" s="33" t="e">
        <f>'【3-2】大区&amp;运营中心填-房间模型价'!#REF!</f>
        <v>#REF!</v>
      </c>
      <c r="C76" s="33" t="e">
        <f>VLOOKUP(A76,'【3-2】大区&amp;运营中心填-房间模型价'!H:J,3,0)</f>
        <v>#REF!</v>
      </c>
      <c r="D76" s="13"/>
      <c r="E76" s="13"/>
      <c r="F76" s="13"/>
      <c r="G76" s="13"/>
      <c r="H76" s="13" t="e">
        <f t="shared" si="1"/>
        <v>#REF!</v>
      </c>
      <c r="I76" s="57"/>
    </row>
    <row r="77" spans="1:9">
      <c r="A77" s="33" t="e">
        <f>'【3-2】大区&amp;运营中心填-房间模型价'!#REF!</f>
        <v>#REF!</v>
      </c>
      <c r="B77" s="33" t="e">
        <f>'【3-2】大区&amp;运营中心填-房间模型价'!#REF!</f>
        <v>#REF!</v>
      </c>
      <c r="C77" s="33" t="e">
        <f>VLOOKUP(A77,'【3-2】大区&amp;运营中心填-房间模型价'!H:J,3,0)</f>
        <v>#REF!</v>
      </c>
      <c r="D77" s="13"/>
      <c r="E77" s="13"/>
      <c r="F77" s="13"/>
      <c r="G77" s="13"/>
      <c r="H77" s="13" t="e">
        <f t="shared" si="1"/>
        <v>#REF!</v>
      </c>
      <c r="I77" s="57"/>
    </row>
    <row r="78" spans="1:9">
      <c r="A78" s="33" t="e">
        <f>'【3-2】大区&amp;运营中心填-房间模型价'!#REF!</f>
        <v>#REF!</v>
      </c>
      <c r="B78" s="33" t="e">
        <f>'【3-2】大区&amp;运营中心填-房间模型价'!#REF!</f>
        <v>#REF!</v>
      </c>
      <c r="C78" s="33" t="e">
        <f>VLOOKUP(A78,'【3-2】大区&amp;运营中心填-房间模型价'!H:J,3,0)</f>
        <v>#REF!</v>
      </c>
      <c r="D78" s="13"/>
      <c r="E78" s="13"/>
      <c r="F78" s="13"/>
      <c r="G78" s="13"/>
      <c r="H78" s="13" t="e">
        <f t="shared" si="1"/>
        <v>#REF!</v>
      </c>
      <c r="I78" s="57"/>
    </row>
    <row r="79" spans="1:9">
      <c r="A79" s="33" t="e">
        <f>'【3-2】大区&amp;运营中心填-房间模型价'!#REF!</f>
        <v>#REF!</v>
      </c>
      <c r="B79" s="33" t="e">
        <f>'【3-2】大区&amp;运营中心填-房间模型价'!#REF!</f>
        <v>#REF!</v>
      </c>
      <c r="C79" s="33" t="e">
        <f>VLOOKUP(A79,'【3-2】大区&amp;运营中心填-房间模型价'!H:J,3,0)</f>
        <v>#REF!</v>
      </c>
      <c r="D79" s="13"/>
      <c r="E79" s="13"/>
      <c r="F79" s="13"/>
      <c r="G79" s="13"/>
      <c r="H79" s="13" t="e">
        <f t="shared" si="1"/>
        <v>#REF!</v>
      </c>
      <c r="I79" s="57"/>
    </row>
    <row r="80" spans="1:9">
      <c r="A80" s="33" t="e">
        <f>'【3-2】大区&amp;运营中心填-房间模型价'!#REF!</f>
        <v>#REF!</v>
      </c>
      <c r="B80" s="33" t="e">
        <f>'【3-2】大区&amp;运营中心填-房间模型价'!#REF!</f>
        <v>#REF!</v>
      </c>
      <c r="C80" s="33" t="e">
        <f>VLOOKUP(A80,'【3-2】大区&amp;运营中心填-房间模型价'!H:J,3,0)</f>
        <v>#REF!</v>
      </c>
      <c r="D80" s="13"/>
      <c r="E80" s="13"/>
      <c r="F80" s="13"/>
      <c r="G80" s="13"/>
      <c r="H80" s="13" t="e">
        <f t="shared" si="1"/>
        <v>#REF!</v>
      </c>
      <c r="I80" s="57"/>
    </row>
    <row r="81" spans="1:9">
      <c r="A81" s="33" t="e">
        <f>'【3-2】大区&amp;运营中心填-房间模型价'!#REF!</f>
        <v>#REF!</v>
      </c>
      <c r="B81" s="33" t="e">
        <f>'【3-2】大区&amp;运营中心填-房间模型价'!#REF!</f>
        <v>#REF!</v>
      </c>
      <c r="C81" s="33" t="e">
        <f>VLOOKUP(A81,'【3-2】大区&amp;运营中心填-房间模型价'!H:J,3,0)</f>
        <v>#REF!</v>
      </c>
      <c r="D81" s="13"/>
      <c r="E81" s="13"/>
      <c r="F81" s="13"/>
      <c r="G81" s="13"/>
      <c r="H81" s="13" t="e">
        <f t="shared" ref="H81:H112" si="2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57"/>
    </row>
    <row r="82" spans="1:9">
      <c r="A82" s="33" t="e">
        <f>'【3-2】大区&amp;运营中心填-房间模型价'!#REF!</f>
        <v>#REF!</v>
      </c>
      <c r="B82" s="33" t="e">
        <f>'【3-2】大区&amp;运营中心填-房间模型价'!#REF!</f>
        <v>#REF!</v>
      </c>
      <c r="C82" s="33" t="e">
        <f>VLOOKUP(A82,'【3-2】大区&amp;运营中心填-房间模型价'!H:J,3,0)</f>
        <v>#REF!</v>
      </c>
      <c r="D82" s="13"/>
      <c r="E82" s="13"/>
      <c r="F82" s="13"/>
      <c r="G82" s="13"/>
      <c r="H82" s="13" t="e">
        <f t="shared" si="2"/>
        <v>#REF!</v>
      </c>
      <c r="I82" s="57"/>
    </row>
    <row r="83" spans="1:9">
      <c r="A83" s="33" t="e">
        <f>'【3-2】大区&amp;运营中心填-房间模型价'!#REF!</f>
        <v>#REF!</v>
      </c>
      <c r="B83" s="33" t="e">
        <f>'【3-2】大区&amp;运营中心填-房间模型价'!#REF!</f>
        <v>#REF!</v>
      </c>
      <c r="C83" s="33" t="e">
        <f>VLOOKUP(A83,'【3-2】大区&amp;运营中心填-房间模型价'!H:J,3,0)</f>
        <v>#REF!</v>
      </c>
      <c r="D83" s="13"/>
      <c r="E83" s="13"/>
      <c r="F83" s="13"/>
      <c r="G83" s="13"/>
      <c r="H83" s="13" t="e">
        <f t="shared" si="2"/>
        <v>#REF!</v>
      </c>
      <c r="I83" s="57"/>
    </row>
    <row r="84" spans="1:9">
      <c r="A84" s="33" t="e">
        <f>'【3-2】大区&amp;运营中心填-房间模型价'!#REF!</f>
        <v>#REF!</v>
      </c>
      <c r="B84" s="33" t="e">
        <f>'【3-2】大区&amp;运营中心填-房间模型价'!#REF!</f>
        <v>#REF!</v>
      </c>
      <c r="C84" s="33" t="e">
        <f>VLOOKUP(A84,'【3-2】大区&amp;运营中心填-房间模型价'!H:J,3,0)</f>
        <v>#REF!</v>
      </c>
      <c r="D84" s="13"/>
      <c r="E84" s="13"/>
      <c r="F84" s="13"/>
      <c r="G84" s="13"/>
      <c r="H84" s="13" t="e">
        <f t="shared" si="2"/>
        <v>#REF!</v>
      </c>
      <c r="I84" s="57"/>
    </row>
    <row r="85" spans="1:9">
      <c r="A85" s="33" t="e">
        <f>'【3-2】大区&amp;运营中心填-房间模型价'!#REF!</f>
        <v>#REF!</v>
      </c>
      <c r="B85" s="33" t="e">
        <f>'【3-2】大区&amp;运营中心填-房间模型价'!#REF!</f>
        <v>#REF!</v>
      </c>
      <c r="C85" s="33" t="e">
        <f>VLOOKUP(A85,'【3-2】大区&amp;运营中心填-房间模型价'!H:J,3,0)</f>
        <v>#REF!</v>
      </c>
      <c r="D85" s="13"/>
      <c r="E85" s="13"/>
      <c r="F85" s="13"/>
      <c r="G85" s="13"/>
      <c r="H85" s="13" t="e">
        <f t="shared" si="2"/>
        <v>#REF!</v>
      </c>
      <c r="I85" s="57"/>
    </row>
    <row r="86" spans="1:9">
      <c r="A86" s="33" t="e">
        <f>'【3-2】大区&amp;运营中心填-房间模型价'!#REF!</f>
        <v>#REF!</v>
      </c>
      <c r="B86" s="33" t="e">
        <f>'【3-2】大区&amp;运营中心填-房间模型价'!#REF!</f>
        <v>#REF!</v>
      </c>
      <c r="C86" s="33" t="e">
        <f>VLOOKUP(A86,'【3-2】大区&amp;运营中心填-房间模型价'!H:J,3,0)</f>
        <v>#REF!</v>
      </c>
      <c r="D86" s="13"/>
      <c r="E86" s="13"/>
      <c r="F86" s="13"/>
      <c r="G86" s="13"/>
      <c r="H86" s="13" t="e">
        <f t="shared" si="2"/>
        <v>#REF!</v>
      </c>
      <c r="I86" s="57"/>
    </row>
    <row r="87" spans="1:9">
      <c r="A87" s="33" t="e">
        <f>'【3-2】大区&amp;运营中心填-房间模型价'!#REF!</f>
        <v>#REF!</v>
      </c>
      <c r="B87" s="33" t="e">
        <f>'【3-2】大区&amp;运营中心填-房间模型价'!#REF!</f>
        <v>#REF!</v>
      </c>
      <c r="C87" s="33" t="e">
        <f>VLOOKUP(A87,'【3-2】大区&amp;运营中心填-房间模型价'!H:J,3,0)</f>
        <v>#REF!</v>
      </c>
      <c r="D87" s="13"/>
      <c r="E87" s="13"/>
      <c r="F87" s="13"/>
      <c r="G87" s="13"/>
      <c r="H87" s="13" t="e">
        <f t="shared" si="2"/>
        <v>#REF!</v>
      </c>
      <c r="I87" s="57"/>
    </row>
    <row r="88" spans="1:9">
      <c r="A88" s="33" t="e">
        <f>'【3-2】大区&amp;运营中心填-房间模型价'!#REF!</f>
        <v>#REF!</v>
      </c>
      <c r="B88" s="33" t="e">
        <f>'【3-2】大区&amp;运营中心填-房间模型价'!#REF!</f>
        <v>#REF!</v>
      </c>
      <c r="C88" s="33" t="e">
        <f>VLOOKUP(A88,'【3-2】大区&amp;运营中心填-房间模型价'!H:J,3,0)</f>
        <v>#REF!</v>
      </c>
      <c r="D88" s="13"/>
      <c r="E88" s="13"/>
      <c r="F88" s="13"/>
      <c r="G88" s="13"/>
      <c r="H88" s="13" t="e">
        <f t="shared" si="2"/>
        <v>#REF!</v>
      </c>
      <c r="I88" s="57"/>
    </row>
    <row r="89" spans="1:9">
      <c r="A89" s="33" t="e">
        <f>'【3-2】大区&amp;运营中心填-房间模型价'!#REF!</f>
        <v>#REF!</v>
      </c>
      <c r="B89" s="33" t="e">
        <f>'【3-2】大区&amp;运营中心填-房间模型价'!#REF!</f>
        <v>#REF!</v>
      </c>
      <c r="C89" s="33" t="e">
        <f>VLOOKUP(A89,'【3-2】大区&amp;运营中心填-房间模型价'!H:J,3,0)</f>
        <v>#REF!</v>
      </c>
      <c r="D89" s="13"/>
      <c r="E89" s="13"/>
      <c r="F89" s="13"/>
      <c r="G89" s="13"/>
      <c r="H89" s="13" t="e">
        <f t="shared" si="2"/>
        <v>#REF!</v>
      </c>
      <c r="I89" s="57"/>
    </row>
    <row r="90" spans="1:9">
      <c r="A90" s="33" t="e">
        <f>'【3-2】大区&amp;运营中心填-房间模型价'!#REF!</f>
        <v>#REF!</v>
      </c>
      <c r="B90" s="33" t="e">
        <f>'【3-2】大区&amp;运营中心填-房间模型价'!#REF!</f>
        <v>#REF!</v>
      </c>
      <c r="C90" s="33" t="e">
        <f>VLOOKUP(A90,'【3-2】大区&amp;运营中心填-房间模型价'!H:J,3,0)</f>
        <v>#REF!</v>
      </c>
      <c r="D90" s="13"/>
      <c r="E90" s="13"/>
      <c r="F90" s="13"/>
      <c r="G90" s="13"/>
      <c r="H90" s="13" t="e">
        <f t="shared" si="2"/>
        <v>#REF!</v>
      </c>
      <c r="I90" s="57"/>
    </row>
    <row r="91" spans="1:9">
      <c r="A91" s="33" t="e">
        <f>'【3-2】大区&amp;运营中心填-房间模型价'!#REF!</f>
        <v>#REF!</v>
      </c>
      <c r="B91" s="33" t="e">
        <f>'【3-2】大区&amp;运营中心填-房间模型价'!#REF!</f>
        <v>#REF!</v>
      </c>
      <c r="C91" s="33" t="e">
        <f>VLOOKUP(A91,'【3-2】大区&amp;运营中心填-房间模型价'!H:J,3,0)</f>
        <v>#REF!</v>
      </c>
      <c r="D91" s="13"/>
      <c r="E91" s="13"/>
      <c r="F91" s="13"/>
      <c r="G91" s="13"/>
      <c r="H91" s="13" t="e">
        <f t="shared" si="2"/>
        <v>#REF!</v>
      </c>
      <c r="I91" s="57"/>
    </row>
    <row r="92" spans="1:9">
      <c r="A92" s="33" t="e">
        <f>'【3-2】大区&amp;运营中心填-房间模型价'!#REF!</f>
        <v>#REF!</v>
      </c>
      <c r="B92" s="33" t="e">
        <f>'【3-2】大区&amp;运营中心填-房间模型价'!#REF!</f>
        <v>#REF!</v>
      </c>
      <c r="C92" s="33" t="e">
        <f>VLOOKUP(A92,'【3-2】大区&amp;运营中心填-房间模型价'!H:J,3,0)</f>
        <v>#REF!</v>
      </c>
      <c r="D92" s="13"/>
      <c r="E92" s="13"/>
      <c r="F92" s="13"/>
      <c r="G92" s="13"/>
      <c r="H92" s="13" t="e">
        <f t="shared" si="2"/>
        <v>#REF!</v>
      </c>
      <c r="I92" s="57"/>
    </row>
    <row r="93" spans="1:9">
      <c r="A93" s="33" t="e">
        <f>'【3-2】大区&amp;运营中心填-房间模型价'!#REF!</f>
        <v>#REF!</v>
      </c>
      <c r="B93" s="33" t="e">
        <f>'【3-2】大区&amp;运营中心填-房间模型价'!#REF!</f>
        <v>#REF!</v>
      </c>
      <c r="C93" s="33" t="e">
        <f>VLOOKUP(A93,'【3-2】大区&amp;运营中心填-房间模型价'!H:J,3,0)</f>
        <v>#REF!</v>
      </c>
      <c r="D93" s="13"/>
      <c r="E93" s="13"/>
      <c r="F93" s="13"/>
      <c r="G93" s="13"/>
      <c r="H93" s="13" t="e">
        <f t="shared" si="2"/>
        <v>#REF!</v>
      </c>
      <c r="I93" s="57"/>
    </row>
    <row r="94" spans="1:9">
      <c r="A94" s="33" t="e">
        <f>'【3-2】大区&amp;运营中心填-房间模型价'!#REF!</f>
        <v>#REF!</v>
      </c>
      <c r="B94" s="33" t="e">
        <f>'【3-2】大区&amp;运营中心填-房间模型价'!#REF!</f>
        <v>#REF!</v>
      </c>
      <c r="C94" s="33" t="e">
        <f>VLOOKUP(A94,'【3-2】大区&amp;运营中心填-房间模型价'!H:J,3,0)</f>
        <v>#REF!</v>
      </c>
      <c r="D94" s="13"/>
      <c r="E94" s="13"/>
      <c r="F94" s="13"/>
      <c r="G94" s="13"/>
      <c r="H94" s="13" t="e">
        <f t="shared" si="2"/>
        <v>#REF!</v>
      </c>
      <c r="I94" s="57"/>
    </row>
    <row r="95" spans="1:9">
      <c r="A95" s="33" t="e">
        <f>'【3-2】大区&amp;运营中心填-房间模型价'!#REF!</f>
        <v>#REF!</v>
      </c>
      <c r="B95" s="33" t="e">
        <f>'【3-2】大区&amp;运营中心填-房间模型价'!#REF!</f>
        <v>#REF!</v>
      </c>
      <c r="C95" s="33" t="e">
        <f>VLOOKUP(A95,'【3-2】大区&amp;运营中心填-房间模型价'!H:J,3,0)</f>
        <v>#REF!</v>
      </c>
      <c r="D95" s="13"/>
      <c r="E95" s="13"/>
      <c r="F95" s="13"/>
      <c r="G95" s="13"/>
      <c r="H95" s="13" t="e">
        <f t="shared" si="2"/>
        <v>#REF!</v>
      </c>
      <c r="I95" s="57"/>
    </row>
    <row r="96" spans="1:9">
      <c r="A96" s="33" t="e">
        <f>'【3-2】大区&amp;运营中心填-房间模型价'!#REF!</f>
        <v>#REF!</v>
      </c>
      <c r="B96" s="33" t="e">
        <f>'【3-2】大区&amp;运营中心填-房间模型价'!#REF!</f>
        <v>#REF!</v>
      </c>
      <c r="C96" s="33" t="e">
        <f>VLOOKUP(A96,'【3-2】大区&amp;运营中心填-房间模型价'!H:J,3,0)</f>
        <v>#REF!</v>
      </c>
      <c r="D96" s="13"/>
      <c r="E96" s="13"/>
      <c r="F96" s="13"/>
      <c r="G96" s="13"/>
      <c r="H96" s="13" t="e">
        <f t="shared" si="2"/>
        <v>#REF!</v>
      </c>
      <c r="I96" s="57"/>
    </row>
    <row r="97" spans="1:9">
      <c r="A97" s="33" t="e">
        <f>'【3-2】大区&amp;运营中心填-房间模型价'!#REF!</f>
        <v>#REF!</v>
      </c>
      <c r="B97" s="33" t="e">
        <f>'【3-2】大区&amp;运营中心填-房间模型价'!#REF!</f>
        <v>#REF!</v>
      </c>
      <c r="C97" s="33" t="e">
        <f>VLOOKUP(A97,'【3-2】大区&amp;运营中心填-房间模型价'!H:J,3,0)</f>
        <v>#REF!</v>
      </c>
      <c r="D97" s="13"/>
      <c r="E97" s="13"/>
      <c r="F97" s="13"/>
      <c r="G97" s="13"/>
      <c r="H97" s="13" t="e">
        <f t="shared" si="2"/>
        <v>#REF!</v>
      </c>
      <c r="I97" s="57"/>
    </row>
    <row r="98" spans="1:9">
      <c r="A98" s="33" t="e">
        <f>'【3-2】大区&amp;运营中心填-房间模型价'!#REF!</f>
        <v>#REF!</v>
      </c>
      <c r="B98" s="33" t="e">
        <f>'【3-2】大区&amp;运营中心填-房间模型价'!#REF!</f>
        <v>#REF!</v>
      </c>
      <c r="C98" s="33" t="e">
        <f>VLOOKUP(A98,'【3-2】大区&amp;运营中心填-房间模型价'!H:J,3,0)</f>
        <v>#REF!</v>
      </c>
      <c r="D98" s="13"/>
      <c r="E98" s="13"/>
      <c r="F98" s="13"/>
      <c r="G98" s="13"/>
      <c r="H98" s="13" t="e">
        <f t="shared" si="2"/>
        <v>#REF!</v>
      </c>
      <c r="I98" s="57"/>
    </row>
    <row r="99" spans="1:9">
      <c r="A99" s="33" t="e">
        <f>'【3-2】大区&amp;运营中心填-房间模型价'!#REF!</f>
        <v>#REF!</v>
      </c>
      <c r="B99" s="33" t="e">
        <f>'【3-2】大区&amp;运营中心填-房间模型价'!#REF!</f>
        <v>#REF!</v>
      </c>
      <c r="C99" s="33" t="e">
        <f>VLOOKUP(A99,'【3-2】大区&amp;运营中心填-房间模型价'!H:J,3,0)</f>
        <v>#REF!</v>
      </c>
      <c r="D99" s="13"/>
      <c r="E99" s="13"/>
      <c r="F99" s="13"/>
      <c r="G99" s="13"/>
      <c r="H99" s="13" t="e">
        <f t="shared" si="2"/>
        <v>#REF!</v>
      </c>
      <c r="I99" s="57"/>
    </row>
    <row r="100" spans="1:9">
      <c r="A100" s="33" t="e">
        <f>'【3-2】大区&amp;运营中心填-房间模型价'!#REF!</f>
        <v>#REF!</v>
      </c>
      <c r="B100" s="33" t="e">
        <f>'【3-2】大区&amp;运营中心填-房间模型价'!#REF!</f>
        <v>#REF!</v>
      </c>
      <c r="C100" s="33" t="e">
        <f>VLOOKUP(A100,'【3-2】大区&amp;运营中心填-房间模型价'!H:J,3,0)</f>
        <v>#REF!</v>
      </c>
      <c r="D100" s="13"/>
      <c r="E100" s="13"/>
      <c r="F100" s="13"/>
      <c r="G100" s="13"/>
      <c r="H100" s="13" t="e">
        <f t="shared" si="2"/>
        <v>#REF!</v>
      </c>
      <c r="I100" s="57"/>
    </row>
    <row r="101" spans="1:9">
      <c r="A101" s="33" t="e">
        <f>'【3-2】大区&amp;运营中心填-房间模型价'!#REF!</f>
        <v>#REF!</v>
      </c>
      <c r="B101" s="33" t="e">
        <f>'【3-2】大区&amp;运营中心填-房间模型价'!#REF!</f>
        <v>#REF!</v>
      </c>
      <c r="C101" s="33" t="e">
        <f>VLOOKUP(A101,'【3-2】大区&amp;运营中心填-房间模型价'!H:J,3,0)</f>
        <v>#REF!</v>
      </c>
      <c r="D101" s="13"/>
      <c r="E101" s="13"/>
      <c r="F101" s="13"/>
      <c r="G101" s="13"/>
      <c r="H101" s="13" t="e">
        <f t="shared" si="2"/>
        <v>#REF!</v>
      </c>
      <c r="I101" s="57"/>
    </row>
    <row r="102" spans="1:9">
      <c r="A102" s="33" t="e">
        <f>'【3-2】大区&amp;运营中心填-房间模型价'!#REF!</f>
        <v>#REF!</v>
      </c>
      <c r="B102" s="33" t="e">
        <f>'【3-2】大区&amp;运营中心填-房间模型价'!#REF!</f>
        <v>#REF!</v>
      </c>
      <c r="C102" s="33" t="e">
        <f>VLOOKUP(A102,'【3-2】大区&amp;运营中心填-房间模型价'!H:J,3,0)</f>
        <v>#REF!</v>
      </c>
      <c r="D102" s="13"/>
      <c r="E102" s="13"/>
      <c r="F102" s="13"/>
      <c r="G102" s="13"/>
      <c r="H102" s="13" t="e">
        <f t="shared" si="2"/>
        <v>#REF!</v>
      </c>
      <c r="I102" s="57"/>
    </row>
    <row r="103" spans="1:9">
      <c r="A103" s="33" t="e">
        <f>'【3-2】大区&amp;运营中心填-房间模型价'!#REF!</f>
        <v>#REF!</v>
      </c>
      <c r="B103" s="33" t="e">
        <f>'【3-2】大区&amp;运营中心填-房间模型价'!#REF!</f>
        <v>#REF!</v>
      </c>
      <c r="C103" s="33" t="e">
        <f>VLOOKUP(A103,'【3-2】大区&amp;运营中心填-房间模型价'!H:J,3,0)</f>
        <v>#REF!</v>
      </c>
      <c r="D103" s="13"/>
      <c r="E103" s="13"/>
      <c r="F103" s="13"/>
      <c r="G103" s="13"/>
      <c r="H103" s="13" t="e">
        <f t="shared" si="2"/>
        <v>#REF!</v>
      </c>
      <c r="I103" s="57"/>
    </row>
    <row r="104" spans="1:9">
      <c r="A104" s="33" t="e">
        <f>'【3-2】大区&amp;运营中心填-房间模型价'!#REF!</f>
        <v>#REF!</v>
      </c>
      <c r="B104" s="33" t="e">
        <f>'【3-2】大区&amp;运营中心填-房间模型价'!#REF!</f>
        <v>#REF!</v>
      </c>
      <c r="C104" s="33" t="e">
        <f>VLOOKUP(A104,'【3-2】大区&amp;运营中心填-房间模型价'!H:J,3,0)</f>
        <v>#REF!</v>
      </c>
      <c r="D104" s="13"/>
      <c r="E104" s="13"/>
      <c r="F104" s="13"/>
      <c r="G104" s="13"/>
      <c r="H104" s="13" t="e">
        <f t="shared" si="2"/>
        <v>#REF!</v>
      </c>
      <c r="I104" s="57"/>
    </row>
    <row r="105" spans="1:9">
      <c r="A105" s="33" t="e">
        <f>'【3-2】大区&amp;运营中心填-房间模型价'!#REF!</f>
        <v>#REF!</v>
      </c>
      <c r="B105" s="33" t="e">
        <f>'【3-2】大区&amp;运营中心填-房间模型价'!#REF!</f>
        <v>#REF!</v>
      </c>
      <c r="C105" s="33" t="e">
        <f>VLOOKUP(A105,'【3-2】大区&amp;运营中心填-房间模型价'!H:J,3,0)</f>
        <v>#REF!</v>
      </c>
      <c r="D105" s="13"/>
      <c r="E105" s="13"/>
      <c r="F105" s="13"/>
      <c r="G105" s="13"/>
      <c r="H105" s="13" t="e">
        <f t="shared" si="2"/>
        <v>#REF!</v>
      </c>
      <c r="I105" s="57"/>
    </row>
    <row r="106" spans="1:9">
      <c r="A106" s="33" t="e">
        <f>'【3-2】大区&amp;运营中心填-房间模型价'!#REF!</f>
        <v>#REF!</v>
      </c>
      <c r="B106" s="33" t="e">
        <f>'【3-2】大区&amp;运营中心填-房间模型价'!#REF!</f>
        <v>#REF!</v>
      </c>
      <c r="C106" s="33" t="e">
        <f>VLOOKUP(A106,'【3-2】大区&amp;运营中心填-房间模型价'!H:J,3,0)</f>
        <v>#REF!</v>
      </c>
      <c r="D106" s="13"/>
      <c r="E106" s="13"/>
      <c r="F106" s="13"/>
      <c r="G106" s="13"/>
      <c r="H106" s="13" t="e">
        <f t="shared" si="2"/>
        <v>#REF!</v>
      </c>
      <c r="I106" s="57"/>
    </row>
    <row r="107" spans="1:9">
      <c r="A107" s="33" t="e">
        <f>'【3-2】大区&amp;运营中心填-房间模型价'!#REF!</f>
        <v>#REF!</v>
      </c>
      <c r="B107" s="33" t="e">
        <f>'【3-2】大区&amp;运营中心填-房间模型价'!#REF!</f>
        <v>#REF!</v>
      </c>
      <c r="C107" s="33" t="e">
        <f>VLOOKUP(A107,'【3-2】大区&amp;运营中心填-房间模型价'!H:J,3,0)</f>
        <v>#REF!</v>
      </c>
      <c r="D107" s="13"/>
      <c r="E107" s="13"/>
      <c r="F107" s="13"/>
      <c r="G107" s="13"/>
      <c r="H107" s="13" t="e">
        <f t="shared" si="2"/>
        <v>#REF!</v>
      </c>
      <c r="I107" s="57"/>
    </row>
    <row r="108" spans="1:9">
      <c r="A108" s="33" t="e">
        <f>'【3-2】大区&amp;运营中心填-房间模型价'!#REF!</f>
        <v>#REF!</v>
      </c>
      <c r="B108" s="33" t="e">
        <f>'【3-2】大区&amp;运营中心填-房间模型价'!#REF!</f>
        <v>#REF!</v>
      </c>
      <c r="C108" s="33" t="e">
        <f>VLOOKUP(A108,'【3-2】大区&amp;运营中心填-房间模型价'!H:J,3,0)</f>
        <v>#REF!</v>
      </c>
      <c r="D108" s="13"/>
      <c r="E108" s="13"/>
      <c r="F108" s="13"/>
      <c r="G108" s="13"/>
      <c r="H108" s="13" t="e">
        <f t="shared" si="2"/>
        <v>#REF!</v>
      </c>
      <c r="I108" s="57"/>
    </row>
    <row r="109" spans="1:9">
      <c r="A109" s="33" t="e">
        <f>'【3-2】大区&amp;运营中心填-房间模型价'!#REF!</f>
        <v>#REF!</v>
      </c>
      <c r="B109" s="33" t="e">
        <f>'【3-2】大区&amp;运营中心填-房间模型价'!#REF!</f>
        <v>#REF!</v>
      </c>
      <c r="C109" s="33" t="e">
        <f>VLOOKUP(A109,'【3-2】大区&amp;运营中心填-房间模型价'!H:J,3,0)</f>
        <v>#REF!</v>
      </c>
      <c r="D109" s="13"/>
      <c r="E109" s="13"/>
      <c r="F109" s="13"/>
      <c r="G109" s="13"/>
      <c r="H109" s="13" t="e">
        <f t="shared" si="2"/>
        <v>#REF!</v>
      </c>
      <c r="I109" s="57"/>
    </row>
    <row r="110" spans="1:9">
      <c r="A110" s="33" t="e">
        <f>'【3-2】大区&amp;运营中心填-房间模型价'!#REF!</f>
        <v>#REF!</v>
      </c>
      <c r="B110" s="33" t="e">
        <f>'【3-2】大区&amp;运营中心填-房间模型价'!#REF!</f>
        <v>#REF!</v>
      </c>
      <c r="C110" s="33" t="e">
        <f>VLOOKUP(A110,'【3-2】大区&amp;运营中心填-房间模型价'!H:J,3,0)</f>
        <v>#REF!</v>
      </c>
      <c r="D110" s="13"/>
      <c r="E110" s="13"/>
      <c r="F110" s="13"/>
      <c r="G110" s="13"/>
      <c r="H110" s="13" t="e">
        <f t="shared" si="2"/>
        <v>#REF!</v>
      </c>
      <c r="I110" s="57"/>
    </row>
    <row r="111" spans="1:9">
      <c r="A111" s="33" t="e">
        <f>'【3-2】大区&amp;运营中心填-房间模型价'!#REF!</f>
        <v>#REF!</v>
      </c>
      <c r="B111" s="33" t="e">
        <f>'【3-2】大区&amp;运营中心填-房间模型价'!#REF!</f>
        <v>#REF!</v>
      </c>
      <c r="C111" s="33" t="e">
        <f>VLOOKUP(A111,'【3-2】大区&amp;运营中心填-房间模型价'!H:J,3,0)</f>
        <v>#REF!</v>
      </c>
      <c r="D111" s="13"/>
      <c r="E111" s="13"/>
      <c r="F111" s="13"/>
      <c r="G111" s="13"/>
      <c r="H111" s="13" t="e">
        <f t="shared" si="2"/>
        <v>#REF!</v>
      </c>
      <c r="I111" s="57"/>
    </row>
    <row r="112" spans="1:9">
      <c r="A112" s="33" t="e">
        <f>'【3-2】大区&amp;运营中心填-房间模型价'!#REF!</f>
        <v>#REF!</v>
      </c>
      <c r="B112" s="33" t="e">
        <f>'【3-2】大区&amp;运营中心填-房间模型价'!#REF!</f>
        <v>#REF!</v>
      </c>
      <c r="C112" s="33" t="e">
        <f>VLOOKUP(A112,'【3-2】大区&amp;运营中心填-房间模型价'!H:J,3,0)</f>
        <v>#REF!</v>
      </c>
      <c r="D112" s="13"/>
      <c r="E112" s="13"/>
      <c r="F112" s="13"/>
      <c r="G112" s="13"/>
      <c r="H112" s="13" t="e">
        <f t="shared" si="2"/>
        <v>#REF!</v>
      </c>
      <c r="I112" s="57"/>
    </row>
    <row r="113" spans="1:9">
      <c r="A113" s="33" t="e">
        <f>'【3-2】大区&amp;运营中心填-房间模型价'!#REF!</f>
        <v>#REF!</v>
      </c>
      <c r="B113" s="33" t="e">
        <f>'【3-2】大区&amp;运营中心填-房间模型价'!#REF!</f>
        <v>#REF!</v>
      </c>
      <c r="C113" s="33" t="e">
        <f>VLOOKUP(A113,'【3-2】大区&amp;运营中心填-房间模型价'!H:J,3,0)</f>
        <v>#REF!</v>
      </c>
      <c r="D113" s="13"/>
      <c r="E113" s="13"/>
      <c r="F113" s="13"/>
      <c r="G113" s="13"/>
      <c r="H113" s="13" t="e">
        <f t="shared" ref="H113:H144" si="3">IF(C113="开间",IF(D113+E113*2-G113&lt;=0,"1",IF(D113+E113*2-G113&lt;=1,"2",IF(D113+E113*2-G113&lt;=2,"3",IF(D113+E113*2-G113&lt;=3,"4","5")))),IF(D113+E113*2-G113&lt;1.1,"1",IF(D113+E113*2-G113&lt;=2,"2",IF(D113+E113*2-G113&lt;=3,"3",IF(D113+E113*2-G113&lt;=4,"4","5")))))</f>
        <v>#REF!</v>
      </c>
      <c r="I113" s="57"/>
    </row>
    <row r="114" spans="1:9">
      <c r="A114" s="33" t="e">
        <f>'【3-2】大区&amp;运营中心填-房间模型价'!#REF!</f>
        <v>#REF!</v>
      </c>
      <c r="B114" s="33" t="e">
        <f>'【3-2】大区&amp;运营中心填-房间模型价'!#REF!</f>
        <v>#REF!</v>
      </c>
      <c r="C114" s="33" t="e">
        <f>VLOOKUP(A114,'【3-2】大区&amp;运营中心填-房间模型价'!H:J,3,0)</f>
        <v>#REF!</v>
      </c>
      <c r="D114" s="13"/>
      <c r="E114" s="13"/>
      <c r="F114" s="13"/>
      <c r="G114" s="13"/>
      <c r="H114" s="13" t="e">
        <f t="shared" si="3"/>
        <v>#REF!</v>
      </c>
      <c r="I114" s="57"/>
    </row>
    <row r="115" spans="1:9">
      <c r="A115" s="33" t="e">
        <f>'【3-2】大区&amp;运营中心填-房间模型价'!#REF!</f>
        <v>#REF!</v>
      </c>
      <c r="B115" s="33" t="e">
        <f>'【3-2】大区&amp;运营中心填-房间模型价'!#REF!</f>
        <v>#REF!</v>
      </c>
      <c r="C115" s="33" t="e">
        <f>VLOOKUP(A115,'【3-2】大区&amp;运营中心填-房间模型价'!H:J,3,0)</f>
        <v>#REF!</v>
      </c>
      <c r="D115" s="13"/>
      <c r="E115" s="13"/>
      <c r="F115" s="13"/>
      <c r="G115" s="13"/>
      <c r="H115" s="13" t="e">
        <f t="shared" si="3"/>
        <v>#REF!</v>
      </c>
      <c r="I115" s="57"/>
    </row>
    <row r="116" spans="1:9">
      <c r="A116" s="33" t="e">
        <f>'【3-2】大区&amp;运营中心填-房间模型价'!#REF!</f>
        <v>#REF!</v>
      </c>
      <c r="B116" s="33" t="e">
        <f>'【3-2】大区&amp;运营中心填-房间模型价'!#REF!</f>
        <v>#REF!</v>
      </c>
      <c r="C116" s="33" t="e">
        <f>VLOOKUP(A116,'【3-2】大区&amp;运营中心填-房间模型价'!H:J,3,0)</f>
        <v>#REF!</v>
      </c>
      <c r="D116" s="13"/>
      <c r="E116" s="13"/>
      <c r="F116" s="13"/>
      <c r="G116" s="13"/>
      <c r="H116" s="13" t="e">
        <f t="shared" si="3"/>
        <v>#REF!</v>
      </c>
      <c r="I116" s="57"/>
    </row>
    <row r="117" spans="1:9">
      <c r="A117" s="33" t="e">
        <f>'【3-2】大区&amp;运营中心填-房间模型价'!#REF!</f>
        <v>#REF!</v>
      </c>
      <c r="B117" s="33" t="e">
        <f>'【3-2】大区&amp;运营中心填-房间模型价'!#REF!</f>
        <v>#REF!</v>
      </c>
      <c r="C117" s="33" t="e">
        <f>VLOOKUP(A117,'【3-2】大区&amp;运营中心填-房间模型价'!H:J,3,0)</f>
        <v>#REF!</v>
      </c>
      <c r="D117" s="13"/>
      <c r="E117" s="13"/>
      <c r="F117" s="13"/>
      <c r="G117" s="13"/>
      <c r="H117" s="13" t="e">
        <f t="shared" si="3"/>
        <v>#REF!</v>
      </c>
      <c r="I117" s="57"/>
    </row>
    <row r="118" spans="1:9">
      <c r="A118" s="33" t="e">
        <f>'【3-2】大区&amp;运营中心填-房间模型价'!#REF!</f>
        <v>#REF!</v>
      </c>
      <c r="B118" s="33" t="e">
        <f>'【3-2】大区&amp;运营中心填-房间模型价'!#REF!</f>
        <v>#REF!</v>
      </c>
      <c r="C118" s="33" t="e">
        <f>VLOOKUP(A118,'【3-2】大区&amp;运营中心填-房间模型价'!H:J,3,0)</f>
        <v>#REF!</v>
      </c>
      <c r="D118" s="13"/>
      <c r="E118" s="13"/>
      <c r="F118" s="13"/>
      <c r="G118" s="13"/>
      <c r="H118" s="13" t="e">
        <f t="shared" si="3"/>
        <v>#REF!</v>
      </c>
      <c r="I118" s="57"/>
    </row>
    <row r="119" spans="1:9">
      <c r="A119" s="33" t="e">
        <f>'【3-2】大区&amp;运营中心填-房间模型价'!#REF!</f>
        <v>#REF!</v>
      </c>
      <c r="B119" s="33" t="e">
        <f>'【3-2】大区&amp;运营中心填-房间模型价'!#REF!</f>
        <v>#REF!</v>
      </c>
      <c r="C119" s="33" t="e">
        <f>VLOOKUP(A119,'【3-2】大区&amp;运营中心填-房间模型价'!H:J,3,0)</f>
        <v>#REF!</v>
      </c>
      <c r="D119" s="13"/>
      <c r="E119" s="13"/>
      <c r="F119" s="13"/>
      <c r="G119" s="13"/>
      <c r="H119" s="13" t="e">
        <f t="shared" si="3"/>
        <v>#REF!</v>
      </c>
      <c r="I119" s="57"/>
    </row>
    <row r="120" spans="1:9">
      <c r="A120" s="33" t="e">
        <f>'【3-2】大区&amp;运营中心填-房间模型价'!#REF!</f>
        <v>#REF!</v>
      </c>
      <c r="B120" s="33" t="e">
        <f>'【3-2】大区&amp;运营中心填-房间模型价'!#REF!</f>
        <v>#REF!</v>
      </c>
      <c r="C120" s="33" t="e">
        <f>VLOOKUP(A120,'【3-2】大区&amp;运营中心填-房间模型价'!H:J,3,0)</f>
        <v>#REF!</v>
      </c>
      <c r="D120" s="13"/>
      <c r="E120" s="13"/>
      <c r="F120" s="13"/>
      <c r="G120" s="13"/>
      <c r="H120" s="13" t="e">
        <f t="shared" si="3"/>
        <v>#REF!</v>
      </c>
      <c r="I120" s="57"/>
    </row>
    <row r="121" spans="1:9">
      <c r="A121" s="33" t="e">
        <f>'【3-2】大区&amp;运营中心填-房间模型价'!#REF!</f>
        <v>#REF!</v>
      </c>
      <c r="B121" s="33" t="e">
        <f>'【3-2】大区&amp;运营中心填-房间模型价'!#REF!</f>
        <v>#REF!</v>
      </c>
      <c r="C121" s="33" t="e">
        <f>VLOOKUP(A121,'【3-2】大区&amp;运营中心填-房间模型价'!H:J,3,0)</f>
        <v>#REF!</v>
      </c>
      <c r="D121" s="13"/>
      <c r="E121" s="13"/>
      <c r="F121" s="13"/>
      <c r="G121" s="13"/>
      <c r="H121" s="13" t="e">
        <f t="shared" si="3"/>
        <v>#REF!</v>
      </c>
      <c r="I121" s="57"/>
    </row>
    <row r="122" spans="1:9">
      <c r="A122" s="33" t="e">
        <f>'【3-2】大区&amp;运营中心填-房间模型价'!#REF!</f>
        <v>#REF!</v>
      </c>
      <c r="B122" s="33" t="e">
        <f>'【3-2】大区&amp;运营中心填-房间模型价'!#REF!</f>
        <v>#REF!</v>
      </c>
      <c r="C122" s="33" t="e">
        <f>VLOOKUP(A122,'【3-2】大区&amp;运营中心填-房间模型价'!H:J,3,0)</f>
        <v>#REF!</v>
      </c>
      <c r="D122" s="13"/>
      <c r="E122" s="13"/>
      <c r="F122" s="13"/>
      <c r="G122" s="13"/>
      <c r="H122" s="13" t="e">
        <f t="shared" si="3"/>
        <v>#REF!</v>
      </c>
      <c r="I122" s="57"/>
    </row>
    <row r="123" spans="1:9">
      <c r="A123" s="33" t="e">
        <f>'【3-2】大区&amp;运营中心填-房间模型价'!#REF!</f>
        <v>#REF!</v>
      </c>
      <c r="B123" s="33" t="e">
        <f>'【3-2】大区&amp;运营中心填-房间模型价'!#REF!</f>
        <v>#REF!</v>
      </c>
      <c r="C123" s="33" t="e">
        <f>VLOOKUP(A123,'【3-2】大区&amp;运营中心填-房间模型价'!H:J,3,0)</f>
        <v>#REF!</v>
      </c>
      <c r="D123" s="13"/>
      <c r="E123" s="13"/>
      <c r="F123" s="13"/>
      <c r="G123" s="13"/>
      <c r="H123" s="13" t="e">
        <f t="shared" si="3"/>
        <v>#REF!</v>
      </c>
      <c r="I123" s="57"/>
    </row>
    <row r="124" spans="1:9">
      <c r="A124" s="33" t="e">
        <f>'【3-2】大区&amp;运营中心填-房间模型价'!#REF!</f>
        <v>#REF!</v>
      </c>
      <c r="B124" s="33" t="e">
        <f>'【3-2】大区&amp;运营中心填-房间模型价'!#REF!</f>
        <v>#REF!</v>
      </c>
      <c r="C124" s="33" t="e">
        <f>VLOOKUP(A124,'【3-2】大区&amp;运营中心填-房间模型价'!H:J,3,0)</f>
        <v>#REF!</v>
      </c>
      <c r="D124" s="13"/>
      <c r="E124" s="13"/>
      <c r="F124" s="13"/>
      <c r="G124" s="13"/>
      <c r="H124" s="13" t="e">
        <f t="shared" si="3"/>
        <v>#REF!</v>
      </c>
      <c r="I124" s="57"/>
    </row>
    <row r="125" spans="1:9">
      <c r="A125" s="33" t="e">
        <f>'【3-2】大区&amp;运营中心填-房间模型价'!#REF!</f>
        <v>#REF!</v>
      </c>
      <c r="B125" s="33" t="e">
        <f>'【3-2】大区&amp;运营中心填-房间模型价'!#REF!</f>
        <v>#REF!</v>
      </c>
      <c r="C125" s="33" t="e">
        <f>VLOOKUP(A125,'【3-2】大区&amp;运营中心填-房间模型价'!H:J,3,0)</f>
        <v>#REF!</v>
      </c>
      <c r="D125" s="13"/>
      <c r="E125" s="13"/>
      <c r="F125" s="13"/>
      <c r="G125" s="13"/>
      <c r="H125" s="13" t="e">
        <f t="shared" si="3"/>
        <v>#REF!</v>
      </c>
      <c r="I125" s="57"/>
    </row>
    <row r="126" spans="1:9">
      <c r="A126" s="33" t="e">
        <f>'【3-2】大区&amp;运营中心填-房间模型价'!#REF!</f>
        <v>#REF!</v>
      </c>
      <c r="B126" s="33" t="e">
        <f>'【3-2】大区&amp;运营中心填-房间模型价'!#REF!</f>
        <v>#REF!</v>
      </c>
      <c r="C126" s="33" t="e">
        <f>VLOOKUP(A126,'【3-2】大区&amp;运营中心填-房间模型价'!H:J,3,0)</f>
        <v>#REF!</v>
      </c>
      <c r="D126" s="13"/>
      <c r="E126" s="13"/>
      <c r="F126" s="13"/>
      <c r="G126" s="13"/>
      <c r="H126" s="13" t="e">
        <f t="shared" si="3"/>
        <v>#REF!</v>
      </c>
      <c r="I126" s="57"/>
    </row>
    <row r="127" spans="1:9">
      <c r="A127" s="33" t="e">
        <f>'【3-2】大区&amp;运营中心填-房间模型价'!#REF!</f>
        <v>#REF!</v>
      </c>
      <c r="B127" s="33" t="e">
        <f>'【3-2】大区&amp;运营中心填-房间模型价'!#REF!</f>
        <v>#REF!</v>
      </c>
      <c r="C127" s="33" t="e">
        <f>VLOOKUP(A127,'【3-2】大区&amp;运营中心填-房间模型价'!H:J,3,0)</f>
        <v>#REF!</v>
      </c>
      <c r="D127" s="13"/>
      <c r="E127" s="13"/>
      <c r="F127" s="13"/>
      <c r="G127" s="13"/>
      <c r="H127" s="13" t="e">
        <f t="shared" si="3"/>
        <v>#REF!</v>
      </c>
      <c r="I127" s="57"/>
    </row>
    <row r="128" spans="1:9">
      <c r="A128" s="33" t="e">
        <f>'【3-2】大区&amp;运营中心填-房间模型价'!#REF!</f>
        <v>#REF!</v>
      </c>
      <c r="B128" s="33" t="e">
        <f>'【3-2】大区&amp;运营中心填-房间模型价'!#REF!</f>
        <v>#REF!</v>
      </c>
      <c r="C128" s="33" t="e">
        <f>VLOOKUP(A128,'【3-2】大区&amp;运营中心填-房间模型价'!H:J,3,0)</f>
        <v>#REF!</v>
      </c>
      <c r="D128" s="13"/>
      <c r="E128" s="13"/>
      <c r="F128" s="13"/>
      <c r="G128" s="13"/>
      <c r="H128" s="13" t="e">
        <f t="shared" si="3"/>
        <v>#REF!</v>
      </c>
      <c r="I128" s="57"/>
    </row>
    <row r="129" spans="1:9">
      <c r="A129" s="33" t="e">
        <f>'【3-2】大区&amp;运营中心填-房间模型价'!#REF!</f>
        <v>#REF!</v>
      </c>
      <c r="B129" s="33" t="e">
        <f>'【3-2】大区&amp;运营中心填-房间模型价'!#REF!</f>
        <v>#REF!</v>
      </c>
      <c r="C129" s="33" t="e">
        <f>VLOOKUP(A129,'【3-2】大区&amp;运营中心填-房间模型价'!H:J,3,0)</f>
        <v>#REF!</v>
      </c>
      <c r="D129" s="13"/>
      <c r="E129" s="13"/>
      <c r="F129" s="13"/>
      <c r="G129" s="13"/>
      <c r="H129" s="13" t="e">
        <f t="shared" si="3"/>
        <v>#REF!</v>
      </c>
      <c r="I129" s="57"/>
    </row>
    <row r="130" spans="1:9">
      <c r="A130" s="33" t="e">
        <f>'【3-2】大区&amp;运营中心填-房间模型价'!#REF!</f>
        <v>#REF!</v>
      </c>
      <c r="B130" s="33" t="e">
        <f>'【3-2】大区&amp;运营中心填-房间模型价'!#REF!</f>
        <v>#REF!</v>
      </c>
      <c r="C130" s="33" t="e">
        <f>VLOOKUP(A130,'【3-2】大区&amp;运营中心填-房间模型价'!H:J,3,0)</f>
        <v>#REF!</v>
      </c>
      <c r="D130" s="13"/>
      <c r="E130" s="13"/>
      <c r="F130" s="13"/>
      <c r="G130" s="13"/>
      <c r="H130" s="13" t="e">
        <f t="shared" si="3"/>
        <v>#REF!</v>
      </c>
      <c r="I130" s="57"/>
    </row>
    <row r="131" spans="1:9">
      <c r="A131" s="33" t="e">
        <f>'【3-2】大区&amp;运营中心填-房间模型价'!#REF!</f>
        <v>#REF!</v>
      </c>
      <c r="B131" s="33" t="e">
        <f>'【3-2】大区&amp;运营中心填-房间模型价'!#REF!</f>
        <v>#REF!</v>
      </c>
      <c r="C131" s="33" t="e">
        <f>VLOOKUP(A131,'【3-2】大区&amp;运营中心填-房间模型价'!H:J,3,0)</f>
        <v>#REF!</v>
      </c>
      <c r="D131" s="13"/>
      <c r="E131" s="13"/>
      <c r="F131" s="13"/>
      <c r="G131" s="13"/>
      <c r="H131" s="13" t="e">
        <f t="shared" si="3"/>
        <v>#REF!</v>
      </c>
      <c r="I131" s="57"/>
    </row>
    <row r="132" spans="1:9">
      <c r="A132" s="33" t="e">
        <f>'【3-2】大区&amp;运营中心填-房间模型价'!#REF!</f>
        <v>#REF!</v>
      </c>
      <c r="B132" s="33" t="e">
        <f>'【3-2】大区&amp;运营中心填-房间模型价'!#REF!</f>
        <v>#REF!</v>
      </c>
      <c r="C132" s="33" t="e">
        <f>VLOOKUP(A132,'【3-2】大区&amp;运营中心填-房间模型价'!H:J,3,0)</f>
        <v>#REF!</v>
      </c>
      <c r="D132" s="13"/>
      <c r="E132" s="13"/>
      <c r="F132" s="13"/>
      <c r="G132" s="13"/>
      <c r="H132" s="13" t="e">
        <f t="shared" si="3"/>
        <v>#REF!</v>
      </c>
      <c r="I132" s="57"/>
    </row>
    <row r="133" spans="1:9">
      <c r="A133" s="33" t="e">
        <f>'【3-2】大区&amp;运营中心填-房间模型价'!#REF!</f>
        <v>#REF!</v>
      </c>
      <c r="B133" s="33" t="e">
        <f>'【3-2】大区&amp;运营中心填-房间模型价'!#REF!</f>
        <v>#REF!</v>
      </c>
      <c r="C133" s="33" t="e">
        <f>VLOOKUP(A133,'【3-2】大区&amp;运营中心填-房间模型价'!H:J,3,0)</f>
        <v>#REF!</v>
      </c>
      <c r="D133" s="13"/>
      <c r="E133" s="13"/>
      <c r="F133" s="13"/>
      <c r="G133" s="13"/>
      <c r="H133" s="13" t="e">
        <f t="shared" si="3"/>
        <v>#REF!</v>
      </c>
      <c r="I133" s="57"/>
    </row>
    <row r="134" spans="1:9">
      <c r="A134" s="33" t="e">
        <f>'【3-2】大区&amp;运营中心填-房间模型价'!#REF!</f>
        <v>#REF!</v>
      </c>
      <c r="B134" s="33" t="e">
        <f>'【3-2】大区&amp;运营中心填-房间模型价'!#REF!</f>
        <v>#REF!</v>
      </c>
      <c r="C134" s="33" t="e">
        <f>VLOOKUP(A134,'【3-2】大区&amp;运营中心填-房间模型价'!H:J,3,0)</f>
        <v>#REF!</v>
      </c>
      <c r="D134" s="13"/>
      <c r="E134" s="13"/>
      <c r="F134" s="13"/>
      <c r="G134" s="13"/>
      <c r="H134" s="13" t="e">
        <f t="shared" si="3"/>
        <v>#REF!</v>
      </c>
      <c r="I134" s="57"/>
    </row>
    <row r="135" spans="1:9">
      <c r="A135" s="33" t="e">
        <f>'【3-2】大区&amp;运营中心填-房间模型价'!#REF!</f>
        <v>#REF!</v>
      </c>
      <c r="B135" s="33" t="e">
        <f>'【3-2】大区&amp;运营中心填-房间模型价'!#REF!</f>
        <v>#REF!</v>
      </c>
      <c r="C135" s="33" t="e">
        <f>VLOOKUP(A135,'【3-2】大区&amp;运营中心填-房间模型价'!H:J,3,0)</f>
        <v>#REF!</v>
      </c>
      <c r="D135" s="13"/>
      <c r="E135" s="13"/>
      <c r="F135" s="13"/>
      <c r="G135" s="13"/>
      <c r="H135" s="13" t="e">
        <f t="shared" si="3"/>
        <v>#REF!</v>
      </c>
      <c r="I135" s="57"/>
    </row>
    <row r="136" spans="1:9">
      <c r="A136" s="33" t="e">
        <f>'【3-2】大区&amp;运营中心填-房间模型价'!#REF!</f>
        <v>#REF!</v>
      </c>
      <c r="B136" s="33" t="e">
        <f>'【3-2】大区&amp;运营中心填-房间模型价'!#REF!</f>
        <v>#REF!</v>
      </c>
      <c r="C136" s="33" t="e">
        <f>VLOOKUP(A136,'【3-2】大区&amp;运营中心填-房间模型价'!H:J,3,0)</f>
        <v>#REF!</v>
      </c>
      <c r="D136" s="13"/>
      <c r="E136" s="13"/>
      <c r="F136" s="13"/>
      <c r="G136" s="13"/>
      <c r="H136" s="13" t="e">
        <f t="shared" si="3"/>
        <v>#REF!</v>
      </c>
      <c r="I136" s="57"/>
    </row>
    <row r="137" spans="1:9">
      <c r="A137" s="33" t="e">
        <f>'【3-2】大区&amp;运营中心填-房间模型价'!#REF!</f>
        <v>#REF!</v>
      </c>
      <c r="B137" s="33" t="e">
        <f>'【3-2】大区&amp;运营中心填-房间模型价'!#REF!</f>
        <v>#REF!</v>
      </c>
      <c r="C137" s="33" t="e">
        <f>VLOOKUP(A137,'【3-2】大区&amp;运营中心填-房间模型价'!H:J,3,0)</f>
        <v>#REF!</v>
      </c>
      <c r="D137" s="13"/>
      <c r="E137" s="13"/>
      <c r="F137" s="13"/>
      <c r="G137" s="13"/>
      <c r="H137" s="13" t="e">
        <f t="shared" si="3"/>
        <v>#REF!</v>
      </c>
      <c r="I137" s="57"/>
    </row>
    <row r="138" spans="1:9">
      <c r="A138" s="33" t="e">
        <f>'【3-2】大区&amp;运营中心填-房间模型价'!#REF!</f>
        <v>#REF!</v>
      </c>
      <c r="B138" s="33" t="e">
        <f>'【3-2】大区&amp;运营中心填-房间模型价'!#REF!</f>
        <v>#REF!</v>
      </c>
      <c r="C138" s="33" t="e">
        <f>VLOOKUP(A138,'【3-2】大区&amp;运营中心填-房间模型价'!H:J,3,0)</f>
        <v>#REF!</v>
      </c>
      <c r="D138" s="13"/>
      <c r="E138" s="13"/>
      <c r="F138" s="13"/>
      <c r="G138" s="13"/>
      <c r="H138" s="13" t="e">
        <f t="shared" si="3"/>
        <v>#REF!</v>
      </c>
      <c r="I138" s="57"/>
    </row>
    <row r="139" spans="1:9">
      <c r="A139" s="33" t="e">
        <f>'【3-2】大区&amp;运营中心填-房间模型价'!#REF!</f>
        <v>#REF!</v>
      </c>
      <c r="B139" s="33" t="e">
        <f>'【3-2】大区&amp;运营中心填-房间模型价'!#REF!</f>
        <v>#REF!</v>
      </c>
      <c r="C139" s="33" t="e">
        <f>VLOOKUP(A139,'【3-2】大区&amp;运营中心填-房间模型价'!H:J,3,0)</f>
        <v>#REF!</v>
      </c>
      <c r="D139" s="13"/>
      <c r="E139" s="13"/>
      <c r="F139" s="13"/>
      <c r="G139" s="13"/>
      <c r="H139" s="13" t="e">
        <f t="shared" si="3"/>
        <v>#REF!</v>
      </c>
      <c r="I139" s="57"/>
    </row>
    <row r="140" spans="1:9">
      <c r="A140" s="33" t="e">
        <f>'【3-2】大区&amp;运营中心填-房间模型价'!#REF!</f>
        <v>#REF!</v>
      </c>
      <c r="B140" s="33" t="e">
        <f>'【3-2】大区&amp;运营中心填-房间模型价'!#REF!</f>
        <v>#REF!</v>
      </c>
      <c r="C140" s="33" t="e">
        <f>VLOOKUP(A140,'【3-2】大区&amp;运营中心填-房间模型价'!H:J,3,0)</f>
        <v>#REF!</v>
      </c>
      <c r="D140" s="13"/>
      <c r="E140" s="13"/>
      <c r="F140" s="13"/>
      <c r="G140" s="13"/>
      <c r="H140" s="13" t="e">
        <f t="shared" si="3"/>
        <v>#REF!</v>
      </c>
      <c r="I140" s="57"/>
    </row>
    <row r="141" spans="1:9">
      <c r="A141" s="33" t="e">
        <f>'【3-2】大区&amp;运营中心填-房间模型价'!#REF!</f>
        <v>#REF!</v>
      </c>
      <c r="B141" s="33" t="e">
        <f>'【3-2】大区&amp;运营中心填-房间模型价'!#REF!</f>
        <v>#REF!</v>
      </c>
      <c r="C141" s="33" t="e">
        <f>VLOOKUP(A141,'【3-2】大区&amp;运营中心填-房间模型价'!H:J,3,0)</f>
        <v>#REF!</v>
      </c>
      <c r="D141" s="13"/>
      <c r="E141" s="13"/>
      <c r="F141" s="13"/>
      <c r="G141" s="13"/>
      <c r="H141" s="13" t="e">
        <f t="shared" si="3"/>
        <v>#REF!</v>
      </c>
      <c r="I141" s="57"/>
    </row>
    <row r="142" spans="1:9">
      <c r="A142" s="33" t="e">
        <f>'【3-2】大区&amp;运营中心填-房间模型价'!#REF!</f>
        <v>#REF!</v>
      </c>
      <c r="B142" s="33" t="e">
        <f>'【3-2】大区&amp;运营中心填-房间模型价'!#REF!</f>
        <v>#REF!</v>
      </c>
      <c r="C142" s="33" t="e">
        <f>VLOOKUP(A142,'【3-2】大区&amp;运营中心填-房间模型价'!H:J,3,0)</f>
        <v>#REF!</v>
      </c>
      <c r="D142" s="13"/>
      <c r="E142" s="13"/>
      <c r="F142" s="13"/>
      <c r="G142" s="13"/>
      <c r="H142" s="13" t="e">
        <f t="shared" si="3"/>
        <v>#REF!</v>
      </c>
      <c r="I142" s="57"/>
    </row>
    <row r="143" spans="1:9">
      <c r="A143" s="33" t="e">
        <f>'【3-2】大区&amp;运营中心填-房间模型价'!#REF!</f>
        <v>#REF!</v>
      </c>
      <c r="B143" s="33" t="e">
        <f>'【3-2】大区&amp;运营中心填-房间模型价'!#REF!</f>
        <v>#REF!</v>
      </c>
      <c r="C143" s="33" t="e">
        <f>VLOOKUP(A143,'【3-2】大区&amp;运营中心填-房间模型价'!H:J,3,0)</f>
        <v>#REF!</v>
      </c>
      <c r="D143" s="13"/>
      <c r="E143" s="13"/>
      <c r="F143" s="13"/>
      <c r="G143" s="13"/>
      <c r="H143" s="13" t="e">
        <f t="shared" si="3"/>
        <v>#REF!</v>
      </c>
      <c r="I143" s="57"/>
    </row>
    <row r="144" spans="1:9">
      <c r="A144" s="33" t="e">
        <f>'【3-2】大区&amp;运营中心填-房间模型价'!#REF!</f>
        <v>#REF!</v>
      </c>
      <c r="B144" s="33" t="e">
        <f>'【3-2】大区&amp;运营中心填-房间模型价'!#REF!</f>
        <v>#REF!</v>
      </c>
      <c r="C144" s="33" t="e">
        <f>VLOOKUP(A144,'【3-2】大区&amp;运营中心填-房间模型价'!H:J,3,0)</f>
        <v>#REF!</v>
      </c>
      <c r="D144" s="13"/>
      <c r="E144" s="13"/>
      <c r="F144" s="13"/>
      <c r="G144" s="13"/>
      <c r="H144" s="13" t="e">
        <f t="shared" si="3"/>
        <v>#REF!</v>
      </c>
      <c r="I144" s="57"/>
    </row>
    <row r="145" spans="1:9">
      <c r="A145" s="33" t="e">
        <f>'【3-2】大区&amp;运营中心填-房间模型价'!#REF!</f>
        <v>#REF!</v>
      </c>
      <c r="B145" s="33" t="e">
        <f>'【3-2】大区&amp;运营中心填-房间模型价'!#REF!</f>
        <v>#REF!</v>
      </c>
      <c r="C145" s="33" t="e">
        <f>VLOOKUP(A145,'【3-2】大区&amp;运营中心填-房间模型价'!H:J,3,0)</f>
        <v>#REF!</v>
      </c>
      <c r="D145" s="13"/>
      <c r="E145" s="13"/>
      <c r="F145" s="13"/>
      <c r="G145" s="13"/>
      <c r="H145" s="13" t="e">
        <f t="shared" ref="H145:H176" si="4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57"/>
    </row>
    <row r="146" spans="1:9">
      <c r="A146" s="33" t="e">
        <f>'【3-2】大区&amp;运营中心填-房间模型价'!#REF!</f>
        <v>#REF!</v>
      </c>
      <c r="B146" s="33" t="e">
        <f>'【3-2】大区&amp;运营中心填-房间模型价'!#REF!</f>
        <v>#REF!</v>
      </c>
      <c r="C146" s="33" t="e">
        <f>VLOOKUP(A146,'【3-2】大区&amp;运营中心填-房间模型价'!H:J,3,0)</f>
        <v>#REF!</v>
      </c>
      <c r="D146" s="13"/>
      <c r="E146" s="13"/>
      <c r="F146" s="13"/>
      <c r="G146" s="13"/>
      <c r="H146" s="13" t="e">
        <f t="shared" si="4"/>
        <v>#REF!</v>
      </c>
      <c r="I146" s="57"/>
    </row>
    <row r="147" spans="1:9">
      <c r="A147" s="33" t="e">
        <f>'【3-2】大区&amp;运营中心填-房间模型价'!#REF!</f>
        <v>#REF!</v>
      </c>
      <c r="B147" s="33" t="e">
        <f>'【3-2】大区&amp;运营中心填-房间模型价'!#REF!</f>
        <v>#REF!</v>
      </c>
      <c r="C147" s="33" t="e">
        <f>VLOOKUP(A147,'【3-2】大区&amp;运营中心填-房间模型价'!H:J,3,0)</f>
        <v>#REF!</v>
      </c>
      <c r="D147" s="13"/>
      <c r="E147" s="13"/>
      <c r="F147" s="13"/>
      <c r="G147" s="13"/>
      <c r="H147" s="13" t="e">
        <f t="shared" si="4"/>
        <v>#REF!</v>
      </c>
      <c r="I147" s="57"/>
    </row>
    <row r="148" spans="1:9">
      <c r="A148" s="33" t="e">
        <f>'【3-2】大区&amp;运营中心填-房间模型价'!#REF!</f>
        <v>#REF!</v>
      </c>
      <c r="B148" s="33" t="e">
        <f>'【3-2】大区&amp;运营中心填-房间模型价'!#REF!</f>
        <v>#REF!</v>
      </c>
      <c r="C148" s="33" t="e">
        <f>VLOOKUP(A148,'【3-2】大区&amp;运营中心填-房间模型价'!H:J,3,0)</f>
        <v>#REF!</v>
      </c>
      <c r="D148" s="13"/>
      <c r="E148" s="13"/>
      <c r="F148" s="13"/>
      <c r="G148" s="13"/>
      <c r="H148" s="13" t="e">
        <f t="shared" si="4"/>
        <v>#REF!</v>
      </c>
      <c r="I148" s="57"/>
    </row>
    <row r="149" spans="1:9">
      <c r="A149" s="33" t="e">
        <f>'【3-2】大区&amp;运营中心填-房间模型价'!#REF!</f>
        <v>#REF!</v>
      </c>
      <c r="B149" s="33" t="e">
        <f>'【3-2】大区&amp;运营中心填-房间模型价'!#REF!</f>
        <v>#REF!</v>
      </c>
      <c r="C149" s="33" t="e">
        <f>VLOOKUP(A149,'【3-2】大区&amp;运营中心填-房间模型价'!H:J,3,0)</f>
        <v>#REF!</v>
      </c>
      <c r="D149" s="13"/>
      <c r="E149" s="13"/>
      <c r="F149" s="13"/>
      <c r="G149" s="13"/>
      <c r="H149" s="13" t="e">
        <f t="shared" si="4"/>
        <v>#REF!</v>
      </c>
      <c r="I149" s="57"/>
    </row>
    <row r="150" spans="1:9">
      <c r="A150" s="33" t="e">
        <f>'【3-2】大区&amp;运营中心填-房间模型价'!#REF!</f>
        <v>#REF!</v>
      </c>
      <c r="B150" s="33" t="e">
        <f>'【3-2】大区&amp;运营中心填-房间模型价'!#REF!</f>
        <v>#REF!</v>
      </c>
      <c r="C150" s="33" t="e">
        <f>VLOOKUP(A150,'【3-2】大区&amp;运营中心填-房间模型价'!H:J,3,0)</f>
        <v>#REF!</v>
      </c>
      <c r="D150" s="13"/>
      <c r="E150" s="13"/>
      <c r="F150" s="13"/>
      <c r="G150" s="13"/>
      <c r="H150" s="13" t="e">
        <f t="shared" si="4"/>
        <v>#REF!</v>
      </c>
      <c r="I150" s="57"/>
    </row>
    <row r="151" spans="1:9">
      <c r="A151" s="33" t="e">
        <f>'【3-2】大区&amp;运营中心填-房间模型价'!#REF!</f>
        <v>#REF!</v>
      </c>
      <c r="B151" s="33" t="e">
        <f>'【3-2】大区&amp;运营中心填-房间模型价'!#REF!</f>
        <v>#REF!</v>
      </c>
      <c r="C151" s="33" t="e">
        <f>VLOOKUP(A151,'【3-2】大区&amp;运营中心填-房间模型价'!H:J,3,0)</f>
        <v>#REF!</v>
      </c>
      <c r="D151" s="13"/>
      <c r="E151" s="13"/>
      <c r="F151" s="13"/>
      <c r="G151" s="13"/>
      <c r="H151" s="13" t="e">
        <f t="shared" si="4"/>
        <v>#REF!</v>
      </c>
      <c r="I151" s="57"/>
    </row>
    <row r="152" spans="1:9">
      <c r="A152" s="33" t="e">
        <f>'【3-2】大区&amp;运营中心填-房间模型价'!#REF!</f>
        <v>#REF!</v>
      </c>
      <c r="B152" s="33" t="e">
        <f>'【3-2】大区&amp;运营中心填-房间模型价'!#REF!</f>
        <v>#REF!</v>
      </c>
      <c r="C152" s="33" t="e">
        <f>VLOOKUP(A152,'【3-2】大区&amp;运营中心填-房间模型价'!H:J,3,0)</f>
        <v>#REF!</v>
      </c>
      <c r="D152" s="13"/>
      <c r="E152" s="13"/>
      <c r="F152" s="13"/>
      <c r="G152" s="13"/>
      <c r="H152" s="13" t="e">
        <f t="shared" si="4"/>
        <v>#REF!</v>
      </c>
      <c r="I152" s="57"/>
    </row>
    <row r="153" spans="1:9">
      <c r="A153" s="33" t="e">
        <f>'【3-2】大区&amp;运营中心填-房间模型价'!#REF!</f>
        <v>#REF!</v>
      </c>
      <c r="B153" s="33" t="e">
        <f>'【3-2】大区&amp;运营中心填-房间模型价'!#REF!</f>
        <v>#REF!</v>
      </c>
      <c r="C153" s="33" t="e">
        <f>VLOOKUP(A153,'【3-2】大区&amp;运营中心填-房间模型价'!H:J,3,0)</f>
        <v>#REF!</v>
      </c>
      <c r="D153" s="13"/>
      <c r="E153" s="13"/>
      <c r="F153" s="13"/>
      <c r="G153" s="13"/>
      <c r="H153" s="13" t="e">
        <f t="shared" si="4"/>
        <v>#REF!</v>
      </c>
      <c r="I153" s="57"/>
    </row>
    <row r="154" spans="1:9">
      <c r="A154" s="33" t="e">
        <f>'【3-2】大区&amp;运营中心填-房间模型价'!#REF!</f>
        <v>#REF!</v>
      </c>
      <c r="B154" s="33" t="e">
        <f>'【3-2】大区&amp;运营中心填-房间模型价'!#REF!</f>
        <v>#REF!</v>
      </c>
      <c r="C154" s="33" t="e">
        <f>VLOOKUP(A154,'【3-2】大区&amp;运营中心填-房间模型价'!H:J,3,0)</f>
        <v>#REF!</v>
      </c>
      <c r="D154" s="13"/>
      <c r="E154" s="13"/>
      <c r="F154" s="13"/>
      <c r="G154" s="13"/>
      <c r="H154" s="13" t="e">
        <f t="shared" si="4"/>
        <v>#REF!</v>
      </c>
      <c r="I154" s="57"/>
    </row>
    <row r="155" spans="1:9">
      <c r="A155" s="33" t="e">
        <f>'【3-2】大区&amp;运营中心填-房间模型价'!#REF!</f>
        <v>#REF!</v>
      </c>
      <c r="B155" s="33" t="e">
        <f>'【3-2】大区&amp;运营中心填-房间模型价'!#REF!</f>
        <v>#REF!</v>
      </c>
      <c r="C155" s="33" t="e">
        <f>VLOOKUP(A155,'【3-2】大区&amp;运营中心填-房间模型价'!H:J,3,0)</f>
        <v>#REF!</v>
      </c>
      <c r="D155" s="13"/>
      <c r="E155" s="13"/>
      <c r="F155" s="13"/>
      <c r="G155" s="13"/>
      <c r="H155" s="13" t="e">
        <f t="shared" si="4"/>
        <v>#REF!</v>
      </c>
      <c r="I155" s="57"/>
    </row>
    <row r="156" spans="1:9">
      <c r="A156" s="33" t="e">
        <f>'【3-2】大区&amp;运营中心填-房间模型价'!#REF!</f>
        <v>#REF!</v>
      </c>
      <c r="B156" s="33" t="e">
        <f>'【3-2】大区&amp;运营中心填-房间模型价'!#REF!</f>
        <v>#REF!</v>
      </c>
      <c r="C156" s="33" t="e">
        <f>VLOOKUP(A156,'【3-2】大区&amp;运营中心填-房间模型价'!H:J,3,0)</f>
        <v>#REF!</v>
      </c>
      <c r="D156" s="13"/>
      <c r="E156" s="13"/>
      <c r="F156" s="13"/>
      <c r="G156" s="13"/>
      <c r="H156" s="13" t="e">
        <f t="shared" si="4"/>
        <v>#REF!</v>
      </c>
      <c r="I156" s="57"/>
    </row>
    <row r="157" spans="1:9">
      <c r="A157" s="33" t="e">
        <f>'【3-2】大区&amp;运营中心填-房间模型价'!#REF!</f>
        <v>#REF!</v>
      </c>
      <c r="B157" s="33" t="e">
        <f>'【3-2】大区&amp;运营中心填-房间模型价'!#REF!</f>
        <v>#REF!</v>
      </c>
      <c r="C157" s="33" t="e">
        <f>VLOOKUP(A157,'【3-2】大区&amp;运营中心填-房间模型价'!H:J,3,0)</f>
        <v>#REF!</v>
      </c>
      <c r="D157" s="13"/>
      <c r="E157" s="13"/>
      <c r="F157" s="13"/>
      <c r="G157" s="13"/>
      <c r="H157" s="13" t="e">
        <f t="shared" si="4"/>
        <v>#REF!</v>
      </c>
      <c r="I157" s="57"/>
    </row>
    <row r="158" spans="1:9">
      <c r="A158" s="33" t="e">
        <f>'【3-2】大区&amp;运营中心填-房间模型价'!#REF!</f>
        <v>#REF!</v>
      </c>
      <c r="B158" s="33" t="e">
        <f>'【3-2】大区&amp;运营中心填-房间模型价'!#REF!</f>
        <v>#REF!</v>
      </c>
      <c r="C158" s="33" t="e">
        <f>VLOOKUP(A158,'【3-2】大区&amp;运营中心填-房间模型价'!H:J,3,0)</f>
        <v>#REF!</v>
      </c>
      <c r="D158" s="13"/>
      <c r="E158" s="13"/>
      <c r="F158" s="13"/>
      <c r="G158" s="13"/>
      <c r="H158" s="13" t="e">
        <f t="shared" si="4"/>
        <v>#REF!</v>
      </c>
      <c r="I158" s="57"/>
    </row>
    <row r="159" spans="1:9">
      <c r="A159" s="33" t="e">
        <f>'【3-2】大区&amp;运营中心填-房间模型价'!#REF!</f>
        <v>#REF!</v>
      </c>
      <c r="B159" s="33" t="e">
        <f>'【3-2】大区&amp;运营中心填-房间模型价'!#REF!</f>
        <v>#REF!</v>
      </c>
      <c r="C159" s="33" t="e">
        <f>VLOOKUP(A159,'【3-2】大区&amp;运营中心填-房间模型价'!H:J,3,0)</f>
        <v>#REF!</v>
      </c>
      <c r="D159" s="13"/>
      <c r="E159" s="13"/>
      <c r="F159" s="13"/>
      <c r="G159" s="13"/>
      <c r="H159" s="13" t="e">
        <f t="shared" si="4"/>
        <v>#REF!</v>
      </c>
      <c r="I159" s="57"/>
    </row>
    <row r="160" spans="1:9">
      <c r="A160" s="33" t="e">
        <f>'【3-2】大区&amp;运营中心填-房间模型价'!#REF!</f>
        <v>#REF!</v>
      </c>
      <c r="B160" s="33" t="e">
        <f>'【3-2】大区&amp;运营中心填-房间模型价'!#REF!</f>
        <v>#REF!</v>
      </c>
      <c r="C160" s="33" t="e">
        <f>VLOOKUP(A160,'【3-2】大区&amp;运营中心填-房间模型价'!H:J,3,0)</f>
        <v>#REF!</v>
      </c>
      <c r="D160" s="13"/>
      <c r="E160" s="13"/>
      <c r="F160" s="13"/>
      <c r="G160" s="13"/>
      <c r="H160" s="13" t="e">
        <f t="shared" si="4"/>
        <v>#REF!</v>
      </c>
      <c r="I160" s="57"/>
    </row>
    <row r="161" spans="1:9">
      <c r="A161" s="33" t="e">
        <f>'【3-2】大区&amp;运营中心填-房间模型价'!#REF!</f>
        <v>#REF!</v>
      </c>
      <c r="B161" s="33" t="e">
        <f>'【3-2】大区&amp;运营中心填-房间模型价'!#REF!</f>
        <v>#REF!</v>
      </c>
      <c r="C161" s="33" t="e">
        <f>VLOOKUP(A161,'【3-2】大区&amp;运营中心填-房间模型价'!H:J,3,0)</f>
        <v>#REF!</v>
      </c>
      <c r="D161" s="13"/>
      <c r="E161" s="13"/>
      <c r="F161" s="13"/>
      <c r="G161" s="13"/>
      <c r="H161" s="13" t="e">
        <f t="shared" si="4"/>
        <v>#REF!</v>
      </c>
      <c r="I161" s="57"/>
    </row>
    <row r="162" spans="1:9">
      <c r="A162" s="33" t="e">
        <f>'【3-2】大区&amp;运营中心填-房间模型价'!#REF!</f>
        <v>#REF!</v>
      </c>
      <c r="B162" s="33" t="e">
        <f>'【3-2】大区&amp;运营中心填-房间模型价'!#REF!</f>
        <v>#REF!</v>
      </c>
      <c r="C162" s="33" t="e">
        <f>VLOOKUP(A162,'【3-2】大区&amp;运营中心填-房间模型价'!H:J,3,0)</f>
        <v>#REF!</v>
      </c>
      <c r="D162" s="13"/>
      <c r="E162" s="13"/>
      <c r="F162" s="13"/>
      <c r="G162" s="13"/>
      <c r="H162" s="13" t="e">
        <f t="shared" si="4"/>
        <v>#REF!</v>
      </c>
      <c r="I162" s="57"/>
    </row>
    <row r="163" spans="1:9">
      <c r="A163" s="33" t="e">
        <f>'【3-2】大区&amp;运营中心填-房间模型价'!#REF!</f>
        <v>#REF!</v>
      </c>
      <c r="B163" s="33" t="e">
        <f>'【3-2】大区&amp;运营中心填-房间模型价'!#REF!</f>
        <v>#REF!</v>
      </c>
      <c r="C163" s="33" t="e">
        <f>VLOOKUP(A163,'【3-2】大区&amp;运营中心填-房间模型价'!H:J,3,0)</f>
        <v>#REF!</v>
      </c>
      <c r="D163" s="13"/>
      <c r="E163" s="13"/>
      <c r="F163" s="13"/>
      <c r="G163" s="13"/>
      <c r="H163" s="13" t="e">
        <f t="shared" si="4"/>
        <v>#REF!</v>
      </c>
      <c r="I163" s="57"/>
    </row>
    <row r="164" spans="1:9">
      <c r="A164" s="33" t="e">
        <f>'【3-2】大区&amp;运营中心填-房间模型价'!#REF!</f>
        <v>#REF!</v>
      </c>
      <c r="B164" s="33" t="e">
        <f>'【3-2】大区&amp;运营中心填-房间模型价'!#REF!</f>
        <v>#REF!</v>
      </c>
      <c r="C164" s="33" t="e">
        <f>VLOOKUP(A164,'【3-2】大区&amp;运营中心填-房间模型价'!H:J,3,0)</f>
        <v>#REF!</v>
      </c>
      <c r="D164" s="13"/>
      <c r="E164" s="13"/>
      <c r="F164" s="13"/>
      <c r="G164" s="13"/>
      <c r="H164" s="13" t="e">
        <f t="shared" si="4"/>
        <v>#REF!</v>
      </c>
      <c r="I164" s="57"/>
    </row>
    <row r="165" spans="1:9">
      <c r="A165" s="33" t="e">
        <f>'【3-2】大区&amp;运营中心填-房间模型价'!#REF!</f>
        <v>#REF!</v>
      </c>
      <c r="B165" s="33" t="e">
        <f>'【3-2】大区&amp;运营中心填-房间模型价'!#REF!</f>
        <v>#REF!</v>
      </c>
      <c r="C165" s="33" t="e">
        <f>VLOOKUP(A165,'【3-2】大区&amp;运营中心填-房间模型价'!H:J,3,0)</f>
        <v>#REF!</v>
      </c>
      <c r="D165" s="13"/>
      <c r="E165" s="13"/>
      <c r="F165" s="13"/>
      <c r="G165" s="13"/>
      <c r="H165" s="13" t="e">
        <f t="shared" si="4"/>
        <v>#REF!</v>
      </c>
      <c r="I165" s="57"/>
    </row>
    <row r="166" spans="1:9">
      <c r="A166" s="33" t="e">
        <f>'【3-2】大区&amp;运营中心填-房间模型价'!#REF!</f>
        <v>#REF!</v>
      </c>
      <c r="B166" s="33" t="e">
        <f>'【3-2】大区&amp;运营中心填-房间模型价'!#REF!</f>
        <v>#REF!</v>
      </c>
      <c r="C166" s="33" t="e">
        <f>VLOOKUP(A166,'【3-2】大区&amp;运营中心填-房间模型价'!H:J,3,0)</f>
        <v>#REF!</v>
      </c>
      <c r="D166" s="13"/>
      <c r="E166" s="13"/>
      <c r="F166" s="13"/>
      <c r="G166" s="13"/>
      <c r="H166" s="13" t="e">
        <f t="shared" si="4"/>
        <v>#REF!</v>
      </c>
      <c r="I166" s="57"/>
    </row>
    <row r="167" spans="1:9">
      <c r="A167" s="33" t="e">
        <f>'【3-2】大区&amp;运营中心填-房间模型价'!#REF!</f>
        <v>#REF!</v>
      </c>
      <c r="B167" s="33" t="e">
        <f>'【3-2】大区&amp;运营中心填-房间模型价'!#REF!</f>
        <v>#REF!</v>
      </c>
      <c r="C167" s="33" t="e">
        <f>VLOOKUP(A167,'【3-2】大区&amp;运营中心填-房间模型价'!H:J,3,0)</f>
        <v>#REF!</v>
      </c>
      <c r="D167" s="13"/>
      <c r="E167" s="13"/>
      <c r="F167" s="13"/>
      <c r="G167" s="13"/>
      <c r="H167" s="13" t="e">
        <f t="shared" si="4"/>
        <v>#REF!</v>
      </c>
      <c r="I167" s="57"/>
    </row>
    <row r="168" spans="1:9">
      <c r="A168" s="33" t="e">
        <f>'【3-2】大区&amp;运营中心填-房间模型价'!#REF!</f>
        <v>#REF!</v>
      </c>
      <c r="B168" s="33" t="e">
        <f>'【3-2】大区&amp;运营中心填-房间模型价'!#REF!</f>
        <v>#REF!</v>
      </c>
      <c r="C168" s="33" t="e">
        <f>VLOOKUP(A168,'【3-2】大区&amp;运营中心填-房间模型价'!H:J,3,0)</f>
        <v>#REF!</v>
      </c>
      <c r="D168" s="13"/>
      <c r="E168" s="13"/>
      <c r="F168" s="13"/>
      <c r="G168" s="13"/>
      <c r="H168" s="13" t="e">
        <f t="shared" si="4"/>
        <v>#REF!</v>
      </c>
      <c r="I168" s="57"/>
    </row>
    <row r="169" spans="1:9">
      <c r="A169" s="33" t="e">
        <f>'【3-2】大区&amp;运营中心填-房间模型价'!#REF!</f>
        <v>#REF!</v>
      </c>
      <c r="B169" s="33" t="e">
        <f>'【3-2】大区&amp;运营中心填-房间模型价'!#REF!</f>
        <v>#REF!</v>
      </c>
      <c r="C169" s="33" t="e">
        <f>VLOOKUP(A169,'【3-2】大区&amp;运营中心填-房间模型价'!H:J,3,0)</f>
        <v>#REF!</v>
      </c>
      <c r="D169" s="13"/>
      <c r="E169" s="13"/>
      <c r="F169" s="13"/>
      <c r="G169" s="13"/>
      <c r="H169" s="13" t="e">
        <f t="shared" si="4"/>
        <v>#REF!</v>
      </c>
      <c r="I169" s="57"/>
    </row>
    <row r="170" spans="1:9">
      <c r="A170" s="33" t="e">
        <f>'【3-2】大区&amp;运营中心填-房间模型价'!#REF!</f>
        <v>#REF!</v>
      </c>
      <c r="B170" s="33" t="e">
        <f>'【3-2】大区&amp;运营中心填-房间模型价'!#REF!</f>
        <v>#REF!</v>
      </c>
      <c r="C170" s="33" t="e">
        <f>VLOOKUP(A170,'【3-2】大区&amp;运营中心填-房间模型价'!H:J,3,0)</f>
        <v>#REF!</v>
      </c>
      <c r="D170" s="13"/>
      <c r="E170" s="13"/>
      <c r="F170" s="13"/>
      <c r="G170" s="13"/>
      <c r="H170" s="13" t="e">
        <f t="shared" si="4"/>
        <v>#REF!</v>
      </c>
      <c r="I170" s="57"/>
    </row>
    <row r="171" spans="1:9">
      <c r="A171" s="33" t="e">
        <f>'【3-2】大区&amp;运营中心填-房间模型价'!#REF!</f>
        <v>#REF!</v>
      </c>
      <c r="B171" s="33" t="e">
        <f>'【3-2】大区&amp;运营中心填-房间模型价'!#REF!</f>
        <v>#REF!</v>
      </c>
      <c r="C171" s="33" t="e">
        <f>VLOOKUP(A171,'【3-2】大区&amp;运营中心填-房间模型价'!H:J,3,0)</f>
        <v>#REF!</v>
      </c>
      <c r="D171" s="13"/>
      <c r="E171" s="13"/>
      <c r="F171" s="13"/>
      <c r="G171" s="13"/>
      <c r="H171" s="13" t="e">
        <f t="shared" si="4"/>
        <v>#REF!</v>
      </c>
      <c r="I171" s="57"/>
    </row>
    <row r="172" spans="1:9">
      <c r="A172" s="33" t="e">
        <f>'【3-2】大区&amp;运营中心填-房间模型价'!#REF!</f>
        <v>#REF!</v>
      </c>
      <c r="B172" s="33" t="e">
        <f>'【3-2】大区&amp;运营中心填-房间模型价'!#REF!</f>
        <v>#REF!</v>
      </c>
      <c r="C172" s="33" t="e">
        <f>VLOOKUP(A172,'【3-2】大区&amp;运营中心填-房间模型价'!H:J,3,0)</f>
        <v>#REF!</v>
      </c>
      <c r="D172" s="13"/>
      <c r="E172" s="13"/>
      <c r="F172" s="13"/>
      <c r="G172" s="13"/>
      <c r="H172" s="13" t="e">
        <f t="shared" si="4"/>
        <v>#REF!</v>
      </c>
      <c r="I172" s="57"/>
    </row>
    <row r="173" spans="1:9">
      <c r="A173" s="33" t="e">
        <f>'【3-2】大区&amp;运营中心填-房间模型价'!#REF!</f>
        <v>#REF!</v>
      </c>
      <c r="B173" s="33" t="e">
        <f>'【3-2】大区&amp;运营中心填-房间模型价'!#REF!</f>
        <v>#REF!</v>
      </c>
      <c r="C173" s="33" t="e">
        <f>VLOOKUP(A173,'【3-2】大区&amp;运营中心填-房间模型价'!H:J,3,0)</f>
        <v>#REF!</v>
      </c>
      <c r="D173" s="13"/>
      <c r="E173" s="13"/>
      <c r="F173" s="13"/>
      <c r="G173" s="13"/>
      <c r="H173" s="13" t="e">
        <f t="shared" si="4"/>
        <v>#REF!</v>
      </c>
      <c r="I173" s="57"/>
    </row>
    <row r="174" spans="1:9">
      <c r="A174" s="33" t="e">
        <f>'【3-2】大区&amp;运营中心填-房间模型价'!#REF!</f>
        <v>#REF!</v>
      </c>
      <c r="B174" s="33" t="e">
        <f>'【3-2】大区&amp;运营中心填-房间模型价'!#REF!</f>
        <v>#REF!</v>
      </c>
      <c r="C174" s="33" t="e">
        <f>VLOOKUP(A174,'【3-2】大区&amp;运营中心填-房间模型价'!H:J,3,0)</f>
        <v>#REF!</v>
      </c>
      <c r="D174" s="13"/>
      <c r="E174" s="13"/>
      <c r="F174" s="13"/>
      <c r="G174" s="13"/>
      <c r="H174" s="13" t="e">
        <f t="shared" si="4"/>
        <v>#REF!</v>
      </c>
      <c r="I174" s="57"/>
    </row>
    <row r="175" spans="1:9">
      <c r="A175" s="33" t="e">
        <f>'【3-2】大区&amp;运营中心填-房间模型价'!#REF!</f>
        <v>#REF!</v>
      </c>
      <c r="B175" s="33" t="e">
        <f>'【3-2】大区&amp;运营中心填-房间模型价'!#REF!</f>
        <v>#REF!</v>
      </c>
      <c r="C175" s="33" t="e">
        <f>VLOOKUP(A175,'【3-2】大区&amp;运营中心填-房间模型价'!H:J,3,0)</f>
        <v>#REF!</v>
      </c>
      <c r="D175" s="13"/>
      <c r="E175" s="13"/>
      <c r="F175" s="13"/>
      <c r="G175" s="13"/>
      <c r="H175" s="13" t="e">
        <f t="shared" si="4"/>
        <v>#REF!</v>
      </c>
      <c r="I175" s="57"/>
    </row>
    <row r="176" spans="1:9">
      <c r="A176" s="33" t="e">
        <f>'【3-2】大区&amp;运营中心填-房间模型价'!#REF!</f>
        <v>#REF!</v>
      </c>
      <c r="B176" s="33" t="e">
        <f>'【3-2】大区&amp;运营中心填-房间模型价'!#REF!</f>
        <v>#REF!</v>
      </c>
      <c r="C176" s="33" t="e">
        <f>VLOOKUP(A176,'【3-2】大区&amp;运营中心填-房间模型价'!H:J,3,0)</f>
        <v>#REF!</v>
      </c>
      <c r="D176" s="13"/>
      <c r="E176" s="13"/>
      <c r="F176" s="13"/>
      <c r="G176" s="13"/>
      <c r="H176" s="13" t="e">
        <f t="shared" si="4"/>
        <v>#REF!</v>
      </c>
      <c r="I176" s="57"/>
    </row>
    <row r="177" spans="1:9">
      <c r="A177" s="33" t="e">
        <f>'【3-2】大区&amp;运营中心填-房间模型价'!#REF!</f>
        <v>#REF!</v>
      </c>
      <c r="B177" s="33" t="e">
        <f>'【3-2】大区&amp;运营中心填-房间模型价'!#REF!</f>
        <v>#REF!</v>
      </c>
      <c r="C177" s="33" t="e">
        <f>VLOOKUP(A177,'【3-2】大区&amp;运营中心填-房间模型价'!H:J,3,0)</f>
        <v>#REF!</v>
      </c>
      <c r="D177" s="13"/>
      <c r="E177" s="13"/>
      <c r="F177" s="13"/>
      <c r="G177" s="13"/>
      <c r="H177" s="13" t="e">
        <f t="shared" ref="H177:H200" si="5">IF(C177="开间",IF(D177+E177*2-G177&lt;=0,"1",IF(D177+E177*2-G177&lt;=1,"2",IF(D177+E177*2-G177&lt;=2,"3",IF(D177+E177*2-G177&lt;=3,"4","5")))),IF(D177+E177*2-G177&lt;1.1,"1",IF(D177+E177*2-G177&lt;=2,"2",IF(D177+E177*2-G177&lt;=3,"3",IF(D177+E177*2-G177&lt;=4,"4","5")))))</f>
        <v>#REF!</v>
      </c>
      <c r="I177" s="57"/>
    </row>
    <row r="178" spans="1:9">
      <c r="A178" s="33" t="e">
        <f>'【3-2】大区&amp;运营中心填-房间模型价'!#REF!</f>
        <v>#REF!</v>
      </c>
      <c r="B178" s="33" t="e">
        <f>'【3-2】大区&amp;运营中心填-房间模型价'!#REF!</f>
        <v>#REF!</v>
      </c>
      <c r="C178" s="33" t="e">
        <f>VLOOKUP(A178,'【3-2】大区&amp;运营中心填-房间模型价'!H:J,3,0)</f>
        <v>#REF!</v>
      </c>
      <c r="D178" s="13"/>
      <c r="E178" s="13"/>
      <c r="F178" s="13"/>
      <c r="G178" s="13"/>
      <c r="H178" s="13" t="e">
        <f t="shared" si="5"/>
        <v>#REF!</v>
      </c>
      <c r="I178" s="57"/>
    </row>
    <row r="179" spans="1:9">
      <c r="A179" s="33" t="e">
        <f>'【3-2】大区&amp;运营中心填-房间模型价'!#REF!</f>
        <v>#REF!</v>
      </c>
      <c r="B179" s="33" t="e">
        <f>'【3-2】大区&amp;运营中心填-房间模型价'!#REF!</f>
        <v>#REF!</v>
      </c>
      <c r="C179" s="33" t="e">
        <f>VLOOKUP(A179,'【3-2】大区&amp;运营中心填-房间模型价'!H:J,3,0)</f>
        <v>#REF!</v>
      </c>
      <c r="D179" s="13"/>
      <c r="E179" s="13"/>
      <c r="F179" s="13"/>
      <c r="G179" s="13"/>
      <c r="H179" s="13" t="e">
        <f t="shared" si="5"/>
        <v>#REF!</v>
      </c>
      <c r="I179" s="57"/>
    </row>
    <row r="180" spans="1:9">
      <c r="A180" s="33" t="e">
        <f>'【3-2】大区&amp;运营中心填-房间模型价'!#REF!</f>
        <v>#REF!</v>
      </c>
      <c r="B180" s="33" t="e">
        <f>'【3-2】大区&amp;运营中心填-房间模型价'!#REF!</f>
        <v>#REF!</v>
      </c>
      <c r="C180" s="33" t="e">
        <f>VLOOKUP(A180,'【3-2】大区&amp;运营中心填-房间模型价'!H:J,3,0)</f>
        <v>#REF!</v>
      </c>
      <c r="D180" s="13"/>
      <c r="E180" s="13"/>
      <c r="F180" s="13"/>
      <c r="G180" s="13"/>
      <c r="H180" s="13" t="e">
        <f t="shared" si="5"/>
        <v>#REF!</v>
      </c>
      <c r="I180" s="57"/>
    </row>
    <row r="181" spans="1:9">
      <c r="A181" s="33" t="e">
        <f>'【3-2】大区&amp;运营中心填-房间模型价'!#REF!</f>
        <v>#REF!</v>
      </c>
      <c r="B181" s="33" t="e">
        <f>'【3-2】大区&amp;运营中心填-房间模型价'!#REF!</f>
        <v>#REF!</v>
      </c>
      <c r="C181" s="33" t="e">
        <f>VLOOKUP(A181,'【3-2】大区&amp;运营中心填-房间模型价'!H:J,3,0)</f>
        <v>#REF!</v>
      </c>
      <c r="D181" s="13"/>
      <c r="E181" s="13"/>
      <c r="F181" s="13"/>
      <c r="G181" s="13"/>
      <c r="H181" s="13" t="e">
        <f t="shared" si="5"/>
        <v>#REF!</v>
      </c>
      <c r="I181" s="57"/>
    </row>
    <row r="182" spans="1:9">
      <c r="A182" s="33" t="e">
        <f>'【3-2】大区&amp;运营中心填-房间模型价'!#REF!</f>
        <v>#REF!</v>
      </c>
      <c r="B182" s="33" t="e">
        <f>'【3-2】大区&amp;运营中心填-房间模型价'!#REF!</f>
        <v>#REF!</v>
      </c>
      <c r="C182" s="33" t="e">
        <f>VLOOKUP(A182,'【3-2】大区&amp;运营中心填-房间模型价'!H:J,3,0)</f>
        <v>#REF!</v>
      </c>
      <c r="D182" s="13"/>
      <c r="E182" s="13"/>
      <c r="F182" s="13"/>
      <c r="G182" s="13"/>
      <c r="H182" s="13" t="e">
        <f t="shared" si="5"/>
        <v>#REF!</v>
      </c>
      <c r="I182" s="57"/>
    </row>
    <row r="183" spans="1:9">
      <c r="A183" s="33" t="e">
        <f>'【3-2】大区&amp;运营中心填-房间模型价'!#REF!</f>
        <v>#REF!</v>
      </c>
      <c r="B183" s="33" t="e">
        <f>'【3-2】大区&amp;运营中心填-房间模型价'!#REF!</f>
        <v>#REF!</v>
      </c>
      <c r="C183" s="33" t="e">
        <f>VLOOKUP(A183,'【3-2】大区&amp;运营中心填-房间模型价'!H:J,3,0)</f>
        <v>#REF!</v>
      </c>
      <c r="D183" s="13"/>
      <c r="E183" s="13"/>
      <c r="F183" s="13"/>
      <c r="G183" s="13"/>
      <c r="H183" s="13" t="e">
        <f t="shared" si="5"/>
        <v>#REF!</v>
      </c>
      <c r="I183" s="57"/>
    </row>
    <row r="184" spans="1:9">
      <c r="A184" s="33" t="e">
        <f>'【3-2】大区&amp;运营中心填-房间模型价'!#REF!</f>
        <v>#REF!</v>
      </c>
      <c r="B184" s="33" t="e">
        <f>'【3-2】大区&amp;运营中心填-房间模型价'!#REF!</f>
        <v>#REF!</v>
      </c>
      <c r="C184" s="33" t="e">
        <f>VLOOKUP(A184,'【3-2】大区&amp;运营中心填-房间模型价'!H:J,3,0)</f>
        <v>#REF!</v>
      </c>
      <c r="D184" s="13"/>
      <c r="E184" s="13"/>
      <c r="F184" s="13"/>
      <c r="G184" s="13"/>
      <c r="H184" s="13" t="e">
        <f t="shared" si="5"/>
        <v>#REF!</v>
      </c>
      <c r="I184" s="57"/>
    </row>
    <row r="185" spans="1:9">
      <c r="A185" s="33" t="e">
        <f>'【3-2】大区&amp;运营中心填-房间模型价'!#REF!</f>
        <v>#REF!</v>
      </c>
      <c r="B185" s="33" t="e">
        <f>'【3-2】大区&amp;运营中心填-房间模型价'!#REF!</f>
        <v>#REF!</v>
      </c>
      <c r="C185" s="33" t="e">
        <f>VLOOKUP(A185,'【3-2】大区&amp;运营中心填-房间模型价'!H:J,3,0)</f>
        <v>#REF!</v>
      </c>
      <c r="D185" s="13"/>
      <c r="E185" s="13"/>
      <c r="F185" s="13"/>
      <c r="G185" s="13"/>
      <c r="H185" s="13" t="e">
        <f t="shared" si="5"/>
        <v>#REF!</v>
      </c>
      <c r="I185" s="57"/>
    </row>
    <row r="186" spans="1:9">
      <c r="A186" s="33" t="e">
        <f>'【3-2】大区&amp;运营中心填-房间模型价'!#REF!</f>
        <v>#REF!</v>
      </c>
      <c r="B186" s="33" t="e">
        <f>'【3-2】大区&amp;运营中心填-房间模型价'!#REF!</f>
        <v>#REF!</v>
      </c>
      <c r="C186" s="33" t="e">
        <f>VLOOKUP(A186,'【3-2】大区&amp;运营中心填-房间模型价'!H:J,3,0)</f>
        <v>#REF!</v>
      </c>
      <c r="D186" s="13"/>
      <c r="E186" s="13"/>
      <c r="F186" s="13"/>
      <c r="G186" s="13"/>
      <c r="H186" s="13" t="e">
        <f t="shared" si="5"/>
        <v>#REF!</v>
      </c>
      <c r="I186" s="57"/>
    </row>
    <row r="187" spans="1:9">
      <c r="A187" s="33" t="e">
        <f>'【3-2】大区&amp;运营中心填-房间模型价'!#REF!</f>
        <v>#REF!</v>
      </c>
      <c r="B187" s="33" t="e">
        <f>'【3-2】大区&amp;运营中心填-房间模型价'!#REF!</f>
        <v>#REF!</v>
      </c>
      <c r="C187" s="33" t="e">
        <f>VLOOKUP(A187,'【3-2】大区&amp;运营中心填-房间模型价'!H:J,3,0)</f>
        <v>#REF!</v>
      </c>
      <c r="D187" s="13"/>
      <c r="E187" s="13"/>
      <c r="F187" s="13"/>
      <c r="G187" s="13"/>
      <c r="H187" s="13" t="e">
        <f t="shared" si="5"/>
        <v>#REF!</v>
      </c>
      <c r="I187" s="57"/>
    </row>
    <row r="188" spans="1:9">
      <c r="A188" s="33" t="e">
        <f>'【3-2】大区&amp;运营中心填-房间模型价'!#REF!</f>
        <v>#REF!</v>
      </c>
      <c r="B188" s="33" t="e">
        <f>'【3-2】大区&amp;运营中心填-房间模型价'!#REF!</f>
        <v>#REF!</v>
      </c>
      <c r="C188" s="33" t="e">
        <f>VLOOKUP(A188,'【3-2】大区&amp;运营中心填-房间模型价'!H:J,3,0)</f>
        <v>#REF!</v>
      </c>
      <c r="D188" s="13"/>
      <c r="E188" s="13"/>
      <c r="F188" s="13"/>
      <c r="G188" s="13"/>
      <c r="H188" s="13" t="e">
        <f t="shared" si="5"/>
        <v>#REF!</v>
      </c>
      <c r="I188" s="57"/>
    </row>
    <row r="189" spans="1:9">
      <c r="A189" s="33" t="e">
        <f>'【3-2】大区&amp;运营中心填-房间模型价'!#REF!</f>
        <v>#REF!</v>
      </c>
      <c r="B189" s="33" t="e">
        <f>'【3-2】大区&amp;运营中心填-房间模型价'!#REF!</f>
        <v>#REF!</v>
      </c>
      <c r="C189" s="33" t="e">
        <f>VLOOKUP(A189,'【3-2】大区&amp;运营中心填-房间模型价'!H:J,3,0)</f>
        <v>#REF!</v>
      </c>
      <c r="D189" s="13"/>
      <c r="E189" s="13"/>
      <c r="F189" s="13"/>
      <c r="G189" s="13"/>
      <c r="H189" s="13" t="e">
        <f t="shared" si="5"/>
        <v>#REF!</v>
      </c>
      <c r="I189" s="57"/>
    </row>
    <row r="190" spans="1:9">
      <c r="A190" s="33" t="e">
        <f>'【3-2】大区&amp;运营中心填-房间模型价'!#REF!</f>
        <v>#REF!</v>
      </c>
      <c r="B190" s="33" t="e">
        <f>'【3-2】大区&amp;运营中心填-房间模型价'!#REF!</f>
        <v>#REF!</v>
      </c>
      <c r="C190" s="33" t="e">
        <f>VLOOKUP(A190,'【3-2】大区&amp;运营中心填-房间模型价'!H:J,3,0)</f>
        <v>#REF!</v>
      </c>
      <c r="D190" s="13"/>
      <c r="E190" s="13"/>
      <c r="F190" s="13"/>
      <c r="G190" s="13"/>
      <c r="H190" s="13" t="e">
        <f t="shared" si="5"/>
        <v>#REF!</v>
      </c>
      <c r="I190" s="57"/>
    </row>
    <row r="191" spans="1:9">
      <c r="A191" s="33" t="e">
        <f>'【3-2】大区&amp;运营中心填-房间模型价'!#REF!</f>
        <v>#REF!</v>
      </c>
      <c r="B191" s="33" t="e">
        <f>'【3-2】大区&amp;运营中心填-房间模型价'!#REF!</f>
        <v>#REF!</v>
      </c>
      <c r="C191" s="33" t="e">
        <f>VLOOKUP(A191,'【3-2】大区&amp;运营中心填-房间模型价'!H:J,3,0)</f>
        <v>#REF!</v>
      </c>
      <c r="D191" s="13"/>
      <c r="E191" s="13"/>
      <c r="F191" s="13"/>
      <c r="G191" s="13"/>
      <c r="H191" s="13" t="e">
        <f t="shared" si="5"/>
        <v>#REF!</v>
      </c>
      <c r="I191" s="57"/>
    </row>
    <row r="192" spans="1:9">
      <c r="A192" s="33" t="e">
        <f>'【3-2】大区&amp;运营中心填-房间模型价'!#REF!</f>
        <v>#REF!</v>
      </c>
      <c r="B192" s="33" t="e">
        <f>'【3-2】大区&amp;运营中心填-房间模型价'!#REF!</f>
        <v>#REF!</v>
      </c>
      <c r="C192" s="33" t="e">
        <f>VLOOKUP(A192,'【3-2】大区&amp;运营中心填-房间模型价'!H:J,3,0)</f>
        <v>#REF!</v>
      </c>
      <c r="D192" s="13"/>
      <c r="E192" s="13"/>
      <c r="F192" s="13"/>
      <c r="G192" s="13"/>
      <c r="H192" s="13" t="e">
        <f t="shared" si="5"/>
        <v>#REF!</v>
      </c>
      <c r="I192" s="57"/>
    </row>
    <row r="193" spans="1:9">
      <c r="A193" s="33" t="e">
        <f>'【3-2】大区&amp;运营中心填-房间模型价'!#REF!</f>
        <v>#REF!</v>
      </c>
      <c r="B193" s="33" t="e">
        <f>'【3-2】大区&amp;运营中心填-房间模型价'!#REF!</f>
        <v>#REF!</v>
      </c>
      <c r="C193" s="33" t="e">
        <f>VLOOKUP(A193,'【3-2】大区&amp;运营中心填-房间模型价'!H:J,3,0)</f>
        <v>#REF!</v>
      </c>
      <c r="D193" s="13"/>
      <c r="E193" s="13"/>
      <c r="F193" s="13"/>
      <c r="G193" s="13"/>
      <c r="H193" s="13" t="e">
        <f t="shared" si="5"/>
        <v>#REF!</v>
      </c>
      <c r="I193" s="57"/>
    </row>
    <row r="194" spans="1:9">
      <c r="A194" s="33" t="e">
        <f>'【3-2】大区&amp;运营中心填-房间模型价'!#REF!</f>
        <v>#REF!</v>
      </c>
      <c r="B194" s="33" t="e">
        <f>'【3-2】大区&amp;运营中心填-房间模型价'!#REF!</f>
        <v>#REF!</v>
      </c>
      <c r="C194" s="33" t="e">
        <f>VLOOKUP(A194,'【3-2】大区&amp;运营中心填-房间模型价'!H:J,3,0)</f>
        <v>#REF!</v>
      </c>
      <c r="D194" s="13"/>
      <c r="E194" s="13"/>
      <c r="F194" s="13"/>
      <c r="G194" s="13"/>
      <c r="H194" s="13" t="e">
        <f t="shared" si="5"/>
        <v>#REF!</v>
      </c>
      <c r="I194" s="57"/>
    </row>
    <row r="195" spans="1:9">
      <c r="A195" s="33" t="e">
        <f>'【3-2】大区&amp;运营中心填-房间模型价'!#REF!</f>
        <v>#REF!</v>
      </c>
      <c r="B195" s="33" t="e">
        <f>'【3-2】大区&amp;运营中心填-房间模型价'!#REF!</f>
        <v>#REF!</v>
      </c>
      <c r="C195" s="33" t="e">
        <f>VLOOKUP(A195,'【3-2】大区&amp;运营中心填-房间模型价'!H:J,3,0)</f>
        <v>#REF!</v>
      </c>
      <c r="D195" s="13"/>
      <c r="E195" s="13"/>
      <c r="F195" s="13"/>
      <c r="G195" s="13"/>
      <c r="H195" s="13" t="e">
        <f t="shared" si="5"/>
        <v>#REF!</v>
      </c>
      <c r="I195" s="57"/>
    </row>
    <row r="196" spans="1:9">
      <c r="A196" s="33" t="e">
        <f>'【3-2】大区&amp;运营中心填-房间模型价'!#REF!</f>
        <v>#REF!</v>
      </c>
      <c r="B196" s="33" t="e">
        <f>'【3-2】大区&amp;运营中心填-房间模型价'!#REF!</f>
        <v>#REF!</v>
      </c>
      <c r="C196" s="33" t="e">
        <f>VLOOKUP(A196,'【3-2】大区&amp;运营中心填-房间模型价'!H:J,3,0)</f>
        <v>#REF!</v>
      </c>
      <c r="D196" s="13"/>
      <c r="E196" s="13"/>
      <c r="F196" s="13"/>
      <c r="G196" s="13"/>
      <c r="H196" s="13" t="e">
        <f t="shared" si="5"/>
        <v>#REF!</v>
      </c>
      <c r="I196" s="57"/>
    </row>
    <row r="197" spans="1:9">
      <c r="A197" s="33" t="e">
        <f>'【3-2】大区&amp;运营中心填-房间模型价'!#REF!</f>
        <v>#REF!</v>
      </c>
      <c r="B197" s="33" t="e">
        <f>'【3-2】大区&amp;运营中心填-房间模型价'!#REF!</f>
        <v>#REF!</v>
      </c>
      <c r="C197" s="33" t="e">
        <f>VLOOKUP(A197,'【3-2】大区&amp;运营中心填-房间模型价'!H:J,3,0)</f>
        <v>#REF!</v>
      </c>
      <c r="D197" s="13"/>
      <c r="E197" s="13"/>
      <c r="F197" s="13"/>
      <c r="G197" s="13"/>
      <c r="H197" s="13" t="e">
        <f t="shared" si="5"/>
        <v>#REF!</v>
      </c>
      <c r="I197" s="57"/>
    </row>
    <row r="198" spans="1:9">
      <c r="A198" s="33" t="e">
        <f>'【3-2】大区&amp;运营中心填-房间模型价'!#REF!</f>
        <v>#REF!</v>
      </c>
      <c r="B198" s="33" t="e">
        <f>'【3-2】大区&amp;运营中心填-房间模型价'!#REF!</f>
        <v>#REF!</v>
      </c>
      <c r="C198" s="33" t="e">
        <f>VLOOKUP(A198,'【3-2】大区&amp;运营中心填-房间模型价'!H:J,3,0)</f>
        <v>#REF!</v>
      </c>
      <c r="D198" s="13"/>
      <c r="E198" s="13"/>
      <c r="F198" s="13"/>
      <c r="G198" s="13"/>
      <c r="H198" s="13" t="e">
        <f t="shared" si="5"/>
        <v>#REF!</v>
      </c>
      <c r="I198" s="57"/>
    </row>
    <row r="199" spans="1:9">
      <c r="A199" s="33" t="e">
        <f>'【3-2】大区&amp;运营中心填-房间模型价'!#REF!</f>
        <v>#REF!</v>
      </c>
      <c r="B199" s="33" t="e">
        <f>'【3-2】大区&amp;运营中心填-房间模型价'!#REF!</f>
        <v>#REF!</v>
      </c>
      <c r="C199" s="33" t="e">
        <f>VLOOKUP(A199,'【3-2】大区&amp;运营中心填-房间模型价'!H:J,3,0)</f>
        <v>#REF!</v>
      </c>
      <c r="D199" s="13"/>
      <c r="E199" s="13"/>
      <c r="F199" s="13"/>
      <c r="G199" s="13"/>
      <c r="H199" s="13" t="e">
        <f t="shared" si="5"/>
        <v>#REF!</v>
      </c>
      <c r="I199" s="57"/>
    </row>
    <row r="200" spans="1:9">
      <c r="A200" s="33" t="e">
        <f>'【3-2】大区&amp;运营中心填-房间模型价'!#REF!</f>
        <v>#REF!</v>
      </c>
      <c r="B200" s="33" t="e">
        <f>'【3-2】大区&amp;运营中心填-房间模型价'!#REF!</f>
        <v>#REF!</v>
      </c>
      <c r="C200" s="33" t="e">
        <f>VLOOKUP(A200,'【3-2】大区&amp;运营中心填-房间模型价'!H:J,3,0)</f>
        <v>#REF!</v>
      </c>
      <c r="D200" s="13"/>
      <c r="E200" s="13"/>
      <c r="F200" s="13"/>
      <c r="G200" s="13"/>
      <c r="H200" s="13" t="e">
        <f t="shared" si="5"/>
        <v>#REF!</v>
      </c>
      <c r="I200" s="57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72"/>
  <sheetViews>
    <sheetView tabSelected="1" zoomScale="115" zoomScaleNormal="115" workbookViewId="0">
      <pane ySplit="1" topLeftCell="A2" activePane="bottomLeft" state="frozen"/>
      <selection/>
      <selection pane="bottomLeft" activeCell="AQ20" sqref="AQ20"/>
    </sheetView>
  </sheetViews>
  <sheetFormatPr defaultColWidth="9" defaultRowHeight="14"/>
  <cols>
    <col min="1" max="1" width="11.0833333333333" style="28" customWidth="1"/>
    <col min="2" max="7" width="14.25" style="28" hidden="1" customWidth="1"/>
    <col min="8" max="8" width="13.0833333333333" style="28" customWidth="1"/>
    <col min="9" max="9" width="11.0833333333333" style="28" customWidth="1"/>
    <col min="10" max="10" width="15.0833333333333" style="28" customWidth="1"/>
    <col min="11" max="11" width="11.0833333333333" style="28" hidden="1" customWidth="1"/>
    <col min="12" max="12" width="19.5" style="29" customWidth="1"/>
    <col min="13" max="14" width="15.0833333333333" style="28" hidden="1" customWidth="1" outlineLevel="2"/>
    <col min="15" max="15" width="16.25" hidden="1" customWidth="1" outlineLevel="2"/>
    <col min="16" max="16" width="11.0833333333333" style="2" hidden="1" customWidth="1" outlineLevel="2"/>
    <col min="17" max="17" width="16.25" style="2" hidden="1" customWidth="1" outlineLevel="2"/>
    <col min="18" max="18" width="17.3333333333333" style="2" hidden="1" customWidth="1" outlineLevel="2"/>
    <col min="19" max="19" width="16.25" hidden="1" customWidth="1" outlineLevel="2"/>
    <col min="20" max="20" width="17.3333333333333" hidden="1" customWidth="1" outlineLevel="2"/>
    <col min="21" max="21" width="16.25" hidden="1" customWidth="1" outlineLevel="2"/>
    <col min="22" max="22" width="13.0833333333333" hidden="1" customWidth="1" outlineLevel="2"/>
    <col min="23" max="23" width="11.0833333333333" hidden="1" customWidth="1" outlineLevel="2"/>
    <col min="24" max="25" width="15.0833333333333" hidden="1" customWidth="1" outlineLevel="2"/>
    <col min="26" max="26" width="11.0833333333333" hidden="1" customWidth="1" outlineLevel="2"/>
    <col min="27" max="27" width="15.0833333333333" hidden="1" customWidth="1" outlineLevel="2"/>
    <col min="28" max="28" width="11.0833333333333" hidden="1" customWidth="1" outlineLevel="2"/>
    <col min="29" max="29" width="13.0833333333333" hidden="1" customWidth="1" outlineLevel="2"/>
    <col min="30" max="30" width="24.0833333333333" hidden="1" customWidth="1" outlineLevel="2"/>
    <col min="31" max="31" width="16.25" hidden="1" customWidth="1" outlineLevel="2"/>
    <col min="32" max="32" width="24.0833333333333" hidden="1" customWidth="1" outlineLevel="2"/>
    <col min="33" max="33" width="16.25" hidden="1" customWidth="1" outlineLevel="2"/>
    <col min="34" max="34" width="24.0833333333333" hidden="1" customWidth="1" outlineLevel="2"/>
    <col min="35" max="35" width="16.25" hidden="1" customWidth="1" outlineLevel="2"/>
    <col min="36" max="36" width="11.0833333333333" hidden="1" customWidth="1" outlineLevel="2"/>
    <col min="37" max="37" width="16.25" hidden="1" customWidth="1" outlineLevel="2"/>
    <col min="38" max="38" width="15.25" style="30" customWidth="1" collapsed="1"/>
    <col min="39" max="39" width="15.5" style="2" customWidth="1"/>
    <col min="40" max="40" width="11.3333333333333" customWidth="1"/>
    <col min="41" max="41" width="9" customWidth="1"/>
  </cols>
  <sheetData>
    <row r="1" ht="16.15" customHeight="1" spans="1:41">
      <c r="A1" s="31" t="s">
        <v>442</v>
      </c>
      <c r="B1" s="31" t="s">
        <v>468</v>
      </c>
      <c r="C1" s="31" t="s">
        <v>469</v>
      </c>
      <c r="D1" s="31" t="s">
        <v>470</v>
      </c>
      <c r="E1" s="31" t="s">
        <v>471</v>
      </c>
      <c r="F1" s="31" t="s">
        <v>472</v>
      </c>
      <c r="G1" s="31" t="s">
        <v>473</v>
      </c>
      <c r="H1" s="31" t="s">
        <v>448</v>
      </c>
      <c r="I1" s="31" t="s">
        <v>361</v>
      </c>
      <c r="J1" s="31" t="s">
        <v>36</v>
      </c>
      <c r="K1" s="31" t="s">
        <v>273</v>
      </c>
      <c r="L1" s="32" t="s">
        <v>446</v>
      </c>
      <c r="M1" s="33" t="s">
        <v>57</v>
      </c>
      <c r="N1" s="33" t="s">
        <v>474</v>
      </c>
      <c r="O1" s="33" t="s">
        <v>444</v>
      </c>
      <c r="P1" s="33" t="s">
        <v>67</v>
      </c>
      <c r="Q1" s="33" t="s">
        <v>445</v>
      </c>
      <c r="R1" s="33" t="s">
        <v>68</v>
      </c>
      <c r="S1" s="33" t="s">
        <v>475</v>
      </c>
      <c r="T1" s="33" t="s">
        <v>104</v>
      </c>
      <c r="U1" s="33" t="s">
        <v>476</v>
      </c>
      <c r="V1" s="33" t="s">
        <v>477</v>
      </c>
      <c r="W1" s="33" t="s">
        <v>478</v>
      </c>
      <c r="X1" s="33" t="s">
        <v>479</v>
      </c>
      <c r="Y1" s="33" t="s">
        <v>480</v>
      </c>
      <c r="Z1" s="33" t="s">
        <v>481</v>
      </c>
      <c r="AA1" s="33" t="s">
        <v>482</v>
      </c>
      <c r="AB1" s="33" t="s">
        <v>483</v>
      </c>
      <c r="AC1" s="33" t="s">
        <v>484</v>
      </c>
      <c r="AD1" s="33" t="str">
        <f>【1】定价因子!$C$35</f>
        <v>功能配置（开间）</v>
      </c>
      <c r="AE1" s="33" t="s">
        <v>485</v>
      </c>
      <c r="AF1" s="33" t="str">
        <f>【1】定价因子!$C$47</f>
        <v>功能配置（一居）</v>
      </c>
      <c r="AG1" s="33" t="s">
        <v>486</v>
      </c>
      <c r="AH1" s="33" t="str">
        <f>【1】定价因子!$C$54</f>
        <v>功能配置（二居）</v>
      </c>
      <c r="AI1" s="33" t="s">
        <v>487</v>
      </c>
      <c r="AJ1" s="33" t="s">
        <v>118</v>
      </c>
      <c r="AK1" s="33" t="s">
        <v>488</v>
      </c>
      <c r="AL1" s="34" t="s">
        <v>489</v>
      </c>
      <c r="AM1" s="35" t="s">
        <v>490</v>
      </c>
      <c r="AN1" s="36" t="s">
        <v>491</v>
      </c>
    </row>
    <row r="2" ht="16.9" customHeight="1" spans="1:41">
      <c r="A2" s="37" t="str">
        <f>'【2】运营中心填-基本信息&amp;审核标准'!$E$2</f>
        <v>兴围西4-11栋</v>
      </c>
      <c r="B2" s="13">
        <f>INT(H2/100)</f>
        <v>1</v>
      </c>
      <c r="C2" s="13">
        <f t="shared" ref="C2:C33" si="0">COUNTIF($B$2:$B$72,B2)</f>
        <v>7</v>
      </c>
      <c r="D2" s="13">
        <f t="shared" ref="D2:D33" si="1">COUNTIF(C$2:C$72,C2)</f>
        <v>7</v>
      </c>
      <c r="E2" s="13">
        <f>MAX(D2:D72)</f>
        <v>64</v>
      </c>
      <c r="F2" s="13" t="str">
        <f>IF(D2=$E$2,C2,"")</f>
        <v/>
      </c>
      <c r="G2" s="13">
        <f>MAX(F2:F72)</f>
        <v>8</v>
      </c>
      <c r="H2" s="38">
        <v>101</v>
      </c>
      <c r="I2" s="39" t="s">
        <v>492</v>
      </c>
      <c r="J2" s="39" t="s">
        <v>40</v>
      </c>
      <c r="K2" s="13" t="str">
        <f t="array" ref="K2">IFERROR(INDEX($J$2:$J$72,MATCH(0,IF(ISBLANK($J$2:$J$72),1,COUNTIF($K$1:K1,$J$2:$J$72)),0)),"")</f>
        <v>开间</v>
      </c>
      <c r="L2" s="40">
        <f>VLOOKUP(J2,'【3】大区填-楼栋基准格局定价'!B:H,7,0)</f>
        <v>1647.8784</v>
      </c>
      <c r="M2" s="41" t="str">
        <f>IF(OR(J2="开间",J2="二人宿舍"),IF(N2&lt;10,"很狭小",IF(N2&lt;13,"较狭小",IF(N2&lt;17,"适中",IF(N2&lt;20,"较宽敞","很宽敞")))),IF(OR(J2="一居室",J2="四人宿舍"),IF(N2&lt;20,"很狭小",IF(N2&lt;23,"较狭小",IF(N2&lt;26,"适中",IF(N2&lt;28,"较宽敞","很宽敞")))),IF(OR(J2="二居室",J2="六人宿舍"),IF(N2&lt;30,"很狭小",IF(N2&lt;35,"较狭小",IF(N2&lt;40,"适中",IF(N2&lt;45,"较宽敞","很宽敞")))),"")))</f>
        <v>较狭小</v>
      </c>
      <c r="N2" s="41">
        <v>12.77</v>
      </c>
      <c r="O2" s="33">
        <f>VLOOKUP($M$1&amp;M2,【1】定价因子!E:F,2,0)</f>
        <v>0.95</v>
      </c>
      <c r="P2" s="33" t="str">
        <f>IF(COUNTIFS(户型资产表!E:E,I2,户型资产表!H:H,"阳台门")&gt;0,"有","无")</f>
        <v>无</v>
      </c>
      <c r="Q2" s="33">
        <f>VLOOKUP($P$1&amp;P2,【1】定价因子!E:F,2,0)</f>
        <v>1</v>
      </c>
      <c r="R2" s="33" t="str">
        <f>IF('【2】运营中心填-基本信息&amp;审核标准'!$D$4="是","无",IF(INT(H2/100)&gt;9,"9F",INT(H2/100)&amp;"F"))</f>
        <v>无</v>
      </c>
      <c r="S2" s="33">
        <f>VLOOKUP(R2,【1】定价因子!D:F,3,0)</f>
        <v>1</v>
      </c>
      <c r="T2" s="33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1F</v>
      </c>
      <c r="U2" s="33">
        <f>VLOOKUP($T$1&amp;T2,【1】定价因子!E:F,2,0)</f>
        <v>0.87</v>
      </c>
      <c r="V2" s="33" t="str">
        <f>IF(COUNTIFS(户型资产表!E:E,I2,户型资产表!H:H,"操作台")&gt;0,"有","无")</f>
        <v>有</v>
      </c>
      <c r="W2" s="33" t="str">
        <f>IF(COUNTIFS(户型资产表!E:E,I2,户型资产表!H:H,"书桌")&gt;0,"有","无")</f>
        <v>有</v>
      </c>
      <c r="X2" s="33" t="str">
        <f t="array" ref="X2">IF(SUMPRODUCT((户型资产表!E:E=I2)*((户型资产表!I:I="沙发01单人")+(户型资产表!I:I="单人沙发02")))&gt;0,"有","无")</f>
        <v>无</v>
      </c>
      <c r="Y2" s="33" t="str">
        <f t="array" ref="Y2">IF(SUMPRODUCT((户型资产表!E:E=I2)*((户型资产表!I:I="沙发02两人")+(户型资产表!I:I="双人沙发01")))&gt;0,"有","无")</f>
        <v>无</v>
      </c>
      <c r="Z2" s="33" t="str">
        <f>IF(COUNTIFS(户型资产表!E:E,I2,户型资产表!H:H,"餐桌")&gt;0,"有","无")</f>
        <v>无</v>
      </c>
      <c r="AA2" s="33" t="str">
        <f>IF(COUNTIFS(户型资产表!E:E,I2,户型资产表!H:H,"吸油烟机")&gt;0,"有","无")</f>
        <v>无</v>
      </c>
      <c r="AB2" s="33" t="str">
        <f>IF(COUNTIFS(户型资产表!E:E,I2,户型资产表!H:H,"冰箱")&gt;0,"有","无")</f>
        <v>无</v>
      </c>
      <c r="AC2" s="33" t="str">
        <f>IF(COUNTIFS(户型资产表!E:E,I2,户型资产表!H:H,"电视柜")&gt;0,"有","无")</f>
        <v>无</v>
      </c>
      <c r="AD2" s="41" t="str">
        <f>IF(J2="开间",IF(AND(V2="无",W2="无"),"缺失",IF(AND(V2="无",W2="有"),"缺失（操作台）",IF(AND(V2="有",W2="无"),"缺失（书桌）",IF(AND(V2="有",W2="有"),IF(OR(AA2="有",Y2="有"),"充足（油烟机/双人沙发）",IF(OR(X2="有",Z2="有"),"充足（单人沙发/餐桌）",IF(AND(OR(X2="有",Y2="有"),Z2="有"),"非常充足","适中"))),"")))),"适中")</f>
        <v>适中</v>
      </c>
      <c r="AE2" s="33">
        <f>VLOOKUP($AD$1&amp;AD2,【1】定价因子!E:F,2,0)</f>
        <v>1</v>
      </c>
      <c r="AF2" s="41" t="str">
        <f>IF(J2="一居室",IF(AND(V2="无",Y2="无",Z2="无"),"缺失",IF(OR(AND(Z2="有",V2="无",Y2="无"),AND(Z2="有",V2="无",Y2="有"),AND(Z2="有",V2="有",Y2="无"),AND(Z2="无",V2="有",Y2="无"),AND(Z2="无",V2="无",Y2="有")),"缺失（操作台/双人沙发）",IF(AND(V2="有",Y2="有",Z2="无"),"缺失（餐桌）",IF(AND(V2="有",Y2="有",Z2="有"),IF(AND(W2="无",AA2="有"),"充配（油烟机）",IF(AND(W2="有",AA2="无"),"充配（书桌）",IF(AND(W2="有",AA2="有"),"非常充配","适中"))),"")))),"适中")</f>
        <v>适中</v>
      </c>
      <c r="AG2" s="33">
        <f>VLOOKUP($AF$1&amp;AF2,【1】定价因子!E:F,2,0)</f>
        <v>1</v>
      </c>
      <c r="AH2" s="41" t="str">
        <f>IF(J2="二居室",IF(AND(Y2="无",Z2="无",AC2="无",V2="无"),"缺失",IF(OR(AND(Y2="无",Z2="无",AC2="有"),AND(Y2="无",Z2="无",V2="有"),AND(Y2="无",Z2="无",AC2="有",V2="有"),AND(Y2="无",Z2="有",AC2="无"),AND(Y2="无",Z2="有",V2="无"),AND(Y2="无",Z2="有",AC2="有"),AND(Y2="无",Z2="有",V2="有"),AND(Y2="有",Z2="无",AC2="无"),AND(Y2="有",Z2="无",V2="无"),AND(Y2="有",Z2="无",AC2="有"),AND(Y2="有",Z2="无",V2="有")),"缺失（沙发/餐桌）",IF(AND(Y2="有",Z2="有",OR(AC2="无",V2="无")),"缺失（电视柜/操作台）",IF(AND(Y2="有",Z2="有",AC2="有",V2="有"),IF(OR(AA2="有",AB2="有"),"充配（油烟机/冰箱）",IF(AND(AA2="无",AB2="无"),"适中","")),"")))),"适中")</f>
        <v>适中</v>
      </c>
      <c r="AI2" s="33">
        <f>VLOOKUP($AH$1&amp;AH2,【1】定价因子!E:F,2,0)</f>
        <v>1</v>
      </c>
      <c r="AJ2" s="33" t="str">
        <f>VLOOKUP(H2,'【3-1】大区填-采光基本要素'!A:H,8,0)</f>
        <v>1</v>
      </c>
      <c r="AK2" s="33">
        <f>VLOOKUP($AJ$1&amp;AJ2,【1】定价因子!E:F,2,0)</f>
        <v>0.91</v>
      </c>
      <c r="AL2" s="34">
        <f>L2*PRODUCT(AG2,AK2,AE2,U2,S2,Q2,O2)</f>
        <v>1239.394062816</v>
      </c>
      <c r="AM2" s="42">
        <v>1320</v>
      </c>
      <c r="AN2" s="43">
        <f>AM2/AL2-1</f>
        <v>0.0650365687575241</v>
      </c>
    </row>
    <row r="3" spans="1:41">
      <c r="A3" s="37" t="str">
        <f>'【2】运营中心填-基本信息&amp;审核标准'!$E$2</f>
        <v>兴围西4-11栋</v>
      </c>
      <c r="B3" s="13">
        <f t="shared" ref="B3:B34" si="2">INT(H3/100)</f>
        <v>1</v>
      </c>
      <c r="C3" s="13">
        <f t="shared" si="0"/>
        <v>7</v>
      </c>
      <c r="D3" s="13">
        <f t="shared" si="1"/>
        <v>7</v>
      </c>
      <c r="E3" s="13"/>
      <c r="F3" s="13" t="str">
        <f t="shared" ref="F3:F34" si="3">IF(D3=$E$2,C3,"")</f>
        <v/>
      </c>
      <c r="G3" s="13"/>
      <c r="H3" s="44">
        <v>102</v>
      </c>
      <c r="I3" s="39" t="s">
        <v>493</v>
      </c>
      <c r="J3" s="39" t="s">
        <v>40</v>
      </c>
      <c r="K3" s="13" t="str">
        <f t="array" ref="K3">IFERROR(INDEX($J$2:$J$72,MATCH(0,IF(ISBLANK($J$2:$J$72),1,COUNTIF($K$1:K2,$J$2:$J$72)),0)),"")</f>
        <v>一居室</v>
      </c>
      <c r="L3" s="40">
        <f>VLOOKUP(J3,'【3】大区填-楼栋基准格局定价'!B:H,7,0)</f>
        <v>1647.8784</v>
      </c>
      <c r="M3" s="41" t="str">
        <f t="shared" ref="M3:M34" si="4">IF(OR(J3="开间",J3="二人宿舍"),IF(N3&lt;10,"很狭小",IF(N3&lt;13,"较狭小",IF(N3&lt;17,"适中",IF(N3&lt;20,"较宽敞","很宽敞")))),IF(OR(J3="一居室",J3="四人宿舍"),IF(N3&lt;20,"很狭小",IF(N3&lt;23,"较狭小",IF(N3&lt;26,"适中",IF(N3&lt;28,"较宽敞","很宽敞")))),IF(OR(J3="二居室",J3="六人宿舍"),IF(N3&lt;30,"很狭小",IF(N3&lt;35,"较狭小",IF(N3&lt;40,"适中",IF(N3&lt;45,"较宽敞","很宽敞")))),"")))</f>
        <v>较狭小</v>
      </c>
      <c r="N3" s="41">
        <v>11.15</v>
      </c>
      <c r="O3" s="33">
        <f>VLOOKUP($M$1&amp;M3,【1】定价因子!E:F,2,0)</f>
        <v>0.95</v>
      </c>
      <c r="P3" s="33" t="str">
        <f>IF(COUNTIFS(户型资产表!E:E,I3,户型资产表!H:H,"阳台门")&gt;0,"有","无")</f>
        <v>无</v>
      </c>
      <c r="Q3" s="33">
        <f>VLOOKUP($P$1&amp;P3,【1】定价因子!E:F,2,0)</f>
        <v>1</v>
      </c>
      <c r="R3" s="33" t="str">
        <f>IF('【2】运营中心填-基本信息&amp;审核标准'!$D$4="是","无",IF(INT(H3/100)&gt;9,"9F",INT(H3/100)&amp;"F"))</f>
        <v>无</v>
      </c>
      <c r="S3" s="33">
        <f>VLOOKUP(R3,【1】定价因子!D:F,3,0)</f>
        <v>1</v>
      </c>
      <c r="T3" s="33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1F</v>
      </c>
      <c r="U3" s="33">
        <f>VLOOKUP($T$1&amp;T3,【1】定价因子!E:F,2,0)</f>
        <v>0.87</v>
      </c>
      <c r="V3" s="33" t="str">
        <f>IF(COUNTIFS(户型资产表!E:E,I3,户型资产表!H:H,"操作台")&gt;0,"有","无")</f>
        <v>有</v>
      </c>
      <c r="W3" s="33" t="str">
        <f>IF(COUNTIFS(户型资产表!E:E,I3,户型资产表!H:H,"书桌")&gt;0,"有","无")</f>
        <v>有</v>
      </c>
      <c r="X3" s="33" t="str">
        <f t="array" ref="X3">IF(SUMPRODUCT((户型资产表!E:E=I3)*((户型资产表!I:I="沙发01单人")+(户型资产表!I:I="单人沙发02")))&gt;0,"有","无")</f>
        <v>无</v>
      </c>
      <c r="Y3" s="33" t="str">
        <f t="array" ref="Y3">IF(SUMPRODUCT((户型资产表!E:E=I3)*((户型资产表!I:I="沙发02两人")+(户型资产表!I:I="双人沙发01")))&gt;0,"有","无")</f>
        <v>无</v>
      </c>
      <c r="Z3" s="33" t="str">
        <f>IF(COUNTIFS(户型资产表!E:E,I3,户型资产表!H:H,"餐桌")&gt;0,"有","无")</f>
        <v>无</v>
      </c>
      <c r="AA3" s="33" t="str">
        <f>IF(COUNTIFS(户型资产表!E:E,I3,户型资产表!H:H,"吸油烟机")&gt;0,"有","无")</f>
        <v>无</v>
      </c>
      <c r="AB3" s="33" t="str">
        <f>IF(COUNTIFS(户型资产表!E:E,I3,户型资产表!H:H,"冰箱")&gt;0,"有","无")</f>
        <v>无</v>
      </c>
      <c r="AC3" s="33" t="str">
        <f>IF(COUNTIFS(户型资产表!E:E,I3,户型资产表!H:H,"电视柜")&gt;0,"有","无")</f>
        <v>无</v>
      </c>
      <c r="AD3" s="41" t="str">
        <f t="shared" ref="AD3:AD34" si="5">IF(J3="开间",IF(AND(V3="无",W3="无"),"缺失",IF(AND(V3="无",W3="有"),"缺失（操作台）",IF(AND(V3="有",W3="无"),"缺失（书桌）",IF(AND(V3="有",W3="有"),IF(OR(AA3="有",Y3="有"),"充足（油烟机/双人沙发）",IF(OR(X3="有",Z3="有"),"充足（单人沙发/餐桌）",IF(AND(OR(X3="有",Y3="有"),Z3="有"),"非常充足","适中"))),"")))),"适中")</f>
        <v>适中</v>
      </c>
      <c r="AE3" s="33">
        <f>VLOOKUP($AD$1&amp;AD3,【1】定价因子!E:F,2,0)</f>
        <v>1</v>
      </c>
      <c r="AF3" s="41" t="str">
        <f t="shared" ref="AF3:AF33" si="6">IF(J3="一居室",IF(AND(V3="无",Y3="无",Z3="无"),"缺失",IF(OR(AND(Z3="有",V3="无",Y3="无"),AND(Z3="有",V3="无",Y3="有"),AND(Z3="有",V3="有",Y3="无"),AND(Z3="无",V3="有",Y3="无"),AND(Z3="无",V3="无",Y3="有")),"缺失（操作台/双人沙发）",IF(AND(V3="有",Y3="有",Z3="无"),"缺失（餐桌）",IF(AND(V3="有",Y3="有",Z3="有"),IF(AND(W3="无",AA3="有"),"充配（油烟机）",IF(AND(W3="有",AA3="无"),"充配（书桌）",IF(AND(W3="有",AA3="有"),"非常充配","适中"))),"")))),"适中")</f>
        <v>适中</v>
      </c>
      <c r="AG3" s="33">
        <f>VLOOKUP($AF$1&amp;AF3,【1】定价因子!E:F,2,0)</f>
        <v>1</v>
      </c>
      <c r="AH3" s="41" t="str">
        <f t="shared" ref="AH3:AH34" si="7">IF(J3="二居室",IF(AND(Y3="无",Z3="无",AC3="无",V3="无"),"缺失",IF(OR(AND(Y3="无",Z3="无",AC3="有"),AND(Y3="无",Z3="无",V3="有"),AND(Y3="无",Z3="无",AC3="有",V3="有"),AND(Y3="无",Z3="有",AC3="无"),AND(Y3="无",Z3="有",V3="无"),AND(Y3="无",Z3="有",AC3="有"),AND(Y3="无",Z3="有",V3="有"),AND(Y3="有",Z3="无",AC3="无"),AND(Y3="有",Z3="无",V3="无"),AND(Y3="有",Z3="无",AC3="有"),AND(Y3="有",Z3="无",V3="有")),"缺失（沙发/餐桌）",IF(AND(Y3="有",Z3="有",OR(AC3="无",V3="无")),"缺失（电视柜/操作台）",IF(AND(Y3="有",Z3="有",AC3="有",V3="有"),IF(OR(AA3="有",AB3="有"),"充配（油烟机/冰箱）",IF(AND(AA3="无",AB3="无"),"适中","")),"")))),"适中")</f>
        <v>适中</v>
      </c>
      <c r="AI3" s="33">
        <f>VLOOKUP($AH$1&amp;AH3,【1】定价因子!E:F,2,0)</f>
        <v>1</v>
      </c>
      <c r="AJ3" s="33" t="str">
        <f>VLOOKUP(H3,'【3-1】大区填-采光基本要素'!A:H,8,0)</f>
        <v>1</v>
      </c>
      <c r="AK3" s="33">
        <f>VLOOKUP($AJ$1&amp;AJ3,【1】定价因子!E:F,2,0)</f>
        <v>0.91</v>
      </c>
      <c r="AL3" s="34">
        <f t="shared" ref="AL3:AL34" si="8">L3*PRODUCT(AG3,AK3,AE3,U3,S3,Q3,O3)</f>
        <v>1239.394062816</v>
      </c>
      <c r="AM3" s="45">
        <v>1320</v>
      </c>
      <c r="AN3" s="43">
        <f t="shared" ref="AN3:AN34" si="9">AM3/AL3-1</f>
        <v>0.0650365687575241</v>
      </c>
      <c r="AO3" s="46"/>
    </row>
    <row r="4" spans="1:41">
      <c r="A4" s="37" t="str">
        <f>'【2】运营中心填-基本信息&amp;审核标准'!$E$2</f>
        <v>兴围西4-11栋</v>
      </c>
      <c r="B4" s="13">
        <f t="shared" si="2"/>
        <v>1</v>
      </c>
      <c r="C4" s="13">
        <f t="shared" si="0"/>
        <v>7</v>
      </c>
      <c r="D4" s="13">
        <f t="shared" si="1"/>
        <v>7</v>
      </c>
      <c r="E4" s="13"/>
      <c r="F4" s="13" t="str">
        <f t="shared" si="3"/>
        <v/>
      </c>
      <c r="G4" s="13"/>
      <c r="H4" s="38">
        <v>103</v>
      </c>
      <c r="I4" s="39" t="s">
        <v>493</v>
      </c>
      <c r="J4" s="39" t="s">
        <v>40</v>
      </c>
      <c r="K4" s="13" t="str">
        <f t="array" ref="K4">IFERROR(INDEX($J$2:$J$72,MATCH(0,IF(ISBLANK($J$2:$J$72),1,COUNTIF($K$1:K3,$J$2:$J$72)),0)),"")</f>
        <v/>
      </c>
      <c r="L4" s="40">
        <f>VLOOKUP(J4,'【3】大区填-楼栋基准格局定价'!B:H,7,0)</f>
        <v>1647.8784</v>
      </c>
      <c r="M4" s="41" t="str">
        <f t="shared" si="4"/>
        <v>适中</v>
      </c>
      <c r="N4" s="41">
        <v>15.69</v>
      </c>
      <c r="O4" s="33">
        <f>VLOOKUP($M$1&amp;M4,【1】定价因子!E:F,2,0)</f>
        <v>1</v>
      </c>
      <c r="P4" s="33" t="str">
        <f>IF(COUNTIFS(户型资产表!E:E,I4,户型资产表!H:H,"阳台门")&gt;0,"有","无")</f>
        <v>无</v>
      </c>
      <c r="Q4" s="33">
        <f>VLOOKUP($P$1&amp;P4,【1】定价因子!E:F,2,0)</f>
        <v>1</v>
      </c>
      <c r="R4" s="33" t="str">
        <f>IF('【2】运营中心填-基本信息&amp;审核标准'!$D$4="是","无",IF(INT(H4/100)&gt;9,"9F",INT(H4/100)&amp;"F"))</f>
        <v>无</v>
      </c>
      <c r="S4" s="33">
        <f>VLOOKUP(R4,【1】定价因子!D:F,3,0)</f>
        <v>1</v>
      </c>
      <c r="T4" s="33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1F</v>
      </c>
      <c r="U4" s="33">
        <f>VLOOKUP($T$1&amp;T4,【1】定价因子!E:F,2,0)</f>
        <v>0.87</v>
      </c>
      <c r="V4" s="33" t="str">
        <f>IF(COUNTIFS(户型资产表!E:E,I4,户型资产表!H:H,"操作台")&gt;0,"有","无")</f>
        <v>有</v>
      </c>
      <c r="W4" s="33" t="str">
        <f>IF(COUNTIFS(户型资产表!E:E,I4,户型资产表!H:H,"书桌")&gt;0,"有","无")</f>
        <v>有</v>
      </c>
      <c r="X4" s="33" t="str">
        <f t="array" ref="X4">IF(SUMPRODUCT((户型资产表!E:E=I4)*((户型资产表!I:I="沙发01单人")+(户型资产表!I:I="单人沙发02")))&gt;0,"有","无")</f>
        <v>无</v>
      </c>
      <c r="Y4" s="33" t="str">
        <f t="array" ref="Y4">IF(SUMPRODUCT((户型资产表!E:E=I4)*((户型资产表!I:I="沙发02两人")+(户型资产表!I:I="双人沙发01")))&gt;0,"有","无")</f>
        <v>无</v>
      </c>
      <c r="Z4" s="33" t="str">
        <f>IF(COUNTIFS(户型资产表!E:E,I4,户型资产表!H:H,"餐桌")&gt;0,"有","无")</f>
        <v>无</v>
      </c>
      <c r="AA4" s="33" t="str">
        <f>IF(COUNTIFS(户型资产表!E:E,I4,户型资产表!H:H,"吸油烟机")&gt;0,"有","无")</f>
        <v>无</v>
      </c>
      <c r="AB4" s="33" t="str">
        <f>IF(COUNTIFS(户型资产表!E:E,I4,户型资产表!H:H,"冰箱")&gt;0,"有","无")</f>
        <v>无</v>
      </c>
      <c r="AC4" s="33" t="str">
        <f>IF(COUNTIFS(户型资产表!E:E,I4,户型资产表!H:H,"电视柜")&gt;0,"有","无")</f>
        <v>无</v>
      </c>
      <c r="AD4" s="41" t="str">
        <f t="shared" si="5"/>
        <v>适中</v>
      </c>
      <c r="AE4" s="33">
        <f>VLOOKUP($AD$1&amp;AD4,【1】定价因子!E:F,2,0)</f>
        <v>1</v>
      </c>
      <c r="AF4" s="41" t="str">
        <f t="shared" si="6"/>
        <v>适中</v>
      </c>
      <c r="AG4" s="33">
        <f>VLOOKUP($AF$1&amp;AF4,【1】定价因子!E:F,2,0)</f>
        <v>1</v>
      </c>
      <c r="AH4" s="41" t="str">
        <f t="shared" si="7"/>
        <v>适中</v>
      </c>
      <c r="AI4" s="33">
        <f>VLOOKUP($AH$1&amp;AH4,【1】定价因子!E:F,2,0)</f>
        <v>1</v>
      </c>
      <c r="AJ4" s="33" t="str">
        <f>VLOOKUP(H4,'【3-1】大区填-采光基本要素'!A:H,8,0)</f>
        <v>1</v>
      </c>
      <c r="AK4" s="33">
        <f>VLOOKUP($AJ$1&amp;AJ4,【1】定价因子!E:F,2,0)</f>
        <v>0.91</v>
      </c>
      <c r="AL4" s="34">
        <f t="shared" si="8"/>
        <v>1304.62532928</v>
      </c>
      <c r="AM4" s="42">
        <v>1380</v>
      </c>
      <c r="AN4" s="43">
        <f t="shared" si="9"/>
        <v>0.0577749557887228</v>
      </c>
    </row>
    <row r="5" spans="1:41">
      <c r="A5" s="37" t="str">
        <f>'【2】运营中心填-基本信息&amp;审核标准'!$E$2</f>
        <v>兴围西4-11栋</v>
      </c>
      <c r="B5" s="13">
        <f t="shared" si="2"/>
        <v>1</v>
      </c>
      <c r="C5" s="13">
        <f t="shared" si="0"/>
        <v>7</v>
      </c>
      <c r="D5" s="13">
        <f t="shared" si="1"/>
        <v>7</v>
      </c>
      <c r="E5" s="13"/>
      <c r="F5" s="13" t="str">
        <f t="shared" si="3"/>
        <v/>
      </c>
      <c r="G5" s="13"/>
      <c r="H5" s="38">
        <v>104</v>
      </c>
      <c r="I5" s="39" t="s">
        <v>494</v>
      </c>
      <c r="J5" s="39" t="s">
        <v>43</v>
      </c>
      <c r="K5" s="13" t="str">
        <f t="array" ref="K5">IFERROR(INDEX($J$2:$J$72,MATCH(0,IF(ISBLANK($J$2:$J$72),1,COUNTIF($K$1:K4,$J$2:$J$72)),0)),"")</f>
        <v/>
      </c>
      <c r="L5" s="40">
        <f>VLOOKUP(J5,'【3】大区填-楼栋基准格局定价'!B:H,7,0)</f>
        <v>2445.5088</v>
      </c>
      <c r="M5" s="41" t="str">
        <f t="shared" si="4"/>
        <v>很狭小</v>
      </c>
      <c r="N5" s="41">
        <v>18.95</v>
      </c>
      <c r="O5" s="33">
        <f>VLOOKUP($M$1&amp;M5,【1】定价因子!E:F,2,0)</f>
        <v>0.9</v>
      </c>
      <c r="P5" s="33" t="str">
        <f>IF(COUNTIFS(户型资产表!E:E,I5,户型资产表!H:H,"阳台门")&gt;0,"有","无")</f>
        <v>无</v>
      </c>
      <c r="Q5" s="33">
        <f>VLOOKUP($P$1&amp;P5,【1】定价因子!E:F,2,0)</f>
        <v>1</v>
      </c>
      <c r="R5" s="33" t="str">
        <f>IF('【2】运营中心填-基本信息&amp;审核标准'!$D$4="是","无",IF(INT(H5/100)&gt;9,"9F",INT(H5/100)&amp;"F"))</f>
        <v>无</v>
      </c>
      <c r="S5" s="33">
        <f>VLOOKUP(R5,【1】定价因子!D:F,3,0)</f>
        <v>1</v>
      </c>
      <c r="T5" s="33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1F</v>
      </c>
      <c r="U5" s="33">
        <f>VLOOKUP($T$1&amp;T5,【1】定价因子!E:F,2,0)</f>
        <v>0.87</v>
      </c>
      <c r="V5" s="33" t="str">
        <f>IF(COUNTIFS(户型资产表!E:E,I5,户型资产表!H:H,"操作台")&gt;0,"有","无")</f>
        <v>有</v>
      </c>
      <c r="W5" s="33" t="str">
        <f>IF(COUNTIFS(户型资产表!E:E,I5,户型资产表!H:H,"书桌")&gt;0,"有","无")</f>
        <v>无</v>
      </c>
      <c r="X5" s="33" t="str">
        <f t="array" ref="X5">IF(SUMPRODUCT((户型资产表!E:E=I5)*((户型资产表!I:I="沙发01单人")+(户型资产表!I:I="单人沙发02")))&gt;0,"有","无")</f>
        <v>无</v>
      </c>
      <c r="Y5" s="33" t="str">
        <f t="array" ref="Y5">IF(SUMPRODUCT((户型资产表!E:E=I5)*((户型资产表!I:I="沙发02两人")+(户型资产表!I:I="双人沙发01")))&gt;0,"有","无")</f>
        <v>无</v>
      </c>
      <c r="Z5" s="33" t="str">
        <f>IF(COUNTIFS(户型资产表!E:E,I5,户型资产表!H:H,"餐桌")&gt;0,"有","无")</f>
        <v>无</v>
      </c>
      <c r="AA5" s="33" t="str">
        <f>IF(COUNTIFS(户型资产表!E:E,I5,户型资产表!H:H,"吸油烟机")&gt;0,"有","无")</f>
        <v>无</v>
      </c>
      <c r="AB5" s="33" t="str">
        <f>IF(COUNTIFS(户型资产表!E:E,I5,户型资产表!H:H,"冰箱")&gt;0,"有","无")</f>
        <v>无</v>
      </c>
      <c r="AC5" s="33" t="str">
        <f>IF(COUNTIFS(户型资产表!E:E,I5,户型资产表!H:H,"电视柜")&gt;0,"有","无")</f>
        <v>无</v>
      </c>
      <c r="AD5" s="41" t="str">
        <f t="shared" si="5"/>
        <v>适中</v>
      </c>
      <c r="AE5" s="33">
        <f>VLOOKUP($AD$1&amp;AD5,【1】定价因子!E:F,2,0)</f>
        <v>1</v>
      </c>
      <c r="AF5" s="41" t="s">
        <v>63</v>
      </c>
      <c r="AG5" s="33">
        <f>VLOOKUP($AF$1&amp;AF5,【1】定价因子!E:F,2,0)</f>
        <v>1</v>
      </c>
      <c r="AH5" s="41" t="str">
        <f t="shared" si="7"/>
        <v>适中</v>
      </c>
      <c r="AI5" s="33">
        <f>VLOOKUP($AH$1&amp;AH5,【1】定价因子!E:F,2,0)</f>
        <v>1</v>
      </c>
      <c r="AJ5" s="33" t="str">
        <f>VLOOKUP(H5,'【3-1】大区填-采光基本要素'!A:H,8,0)</f>
        <v>1</v>
      </c>
      <c r="AK5" s="33">
        <f>VLOOKUP($AJ$1&amp;AJ5,【1】定价因子!E:F,2,0)</f>
        <v>0.91</v>
      </c>
      <c r="AL5" s="34">
        <f t="shared" si="8"/>
        <v>1742.498385264</v>
      </c>
      <c r="AM5" s="42">
        <v>1700</v>
      </c>
      <c r="AN5" s="43">
        <f t="shared" si="9"/>
        <v>-0.0243893398257361</v>
      </c>
    </row>
    <row r="6" spans="1:41">
      <c r="A6" s="37" t="str">
        <f>'【2】运营中心填-基本信息&amp;审核标准'!$E$2</f>
        <v>兴围西4-11栋</v>
      </c>
      <c r="B6" s="13">
        <f t="shared" si="2"/>
        <v>1</v>
      </c>
      <c r="C6" s="13">
        <f t="shared" si="0"/>
        <v>7</v>
      </c>
      <c r="D6" s="13">
        <f t="shared" si="1"/>
        <v>7</v>
      </c>
      <c r="E6" s="13"/>
      <c r="F6" s="13" t="str">
        <f t="shared" si="3"/>
        <v/>
      </c>
      <c r="G6" s="13"/>
      <c r="H6" s="47">
        <v>105</v>
      </c>
      <c r="I6" s="39" t="s">
        <v>495</v>
      </c>
      <c r="J6" s="39" t="s">
        <v>40</v>
      </c>
      <c r="K6" s="13" t="str">
        <f t="array" ref="K6">IFERROR(INDEX($J$2:$J$72,MATCH(0,IF(ISBLANK($J$2:$J$72),1,COUNTIF($K$1:K5,$J$2:$J$72)),0)),"")</f>
        <v/>
      </c>
      <c r="L6" s="40">
        <f>VLOOKUP(J6,'【3】大区填-楼栋基准格局定价'!B:H,7,0)</f>
        <v>1647.8784</v>
      </c>
      <c r="M6" s="41" t="str">
        <f t="shared" si="4"/>
        <v>适中</v>
      </c>
      <c r="N6" s="41">
        <v>15.52</v>
      </c>
      <c r="O6" s="33">
        <f>VLOOKUP($M$1&amp;M6,【1】定价因子!E:F,2,0)</f>
        <v>1</v>
      </c>
      <c r="P6" s="33" t="str">
        <f>IF(COUNTIFS(户型资产表!E:E,I6,户型资产表!H:H,"阳台门")&gt;0,"有","无")</f>
        <v>无</v>
      </c>
      <c r="Q6" s="33">
        <f>VLOOKUP($P$1&amp;P6,【1】定价因子!E:F,2,0)</f>
        <v>1</v>
      </c>
      <c r="R6" s="33" t="str">
        <f>IF('【2】运营中心填-基本信息&amp;审核标准'!$D$4="是","无",IF(INT(H6/100)&gt;9,"9F",INT(H6/100)&amp;"F"))</f>
        <v>无</v>
      </c>
      <c r="S6" s="33">
        <f>VLOOKUP(R6,【1】定价因子!D:F,3,0)</f>
        <v>1</v>
      </c>
      <c r="T6" s="33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1F</v>
      </c>
      <c r="U6" s="33">
        <f>VLOOKUP($T$1&amp;T6,【1】定价因子!E:F,2,0)</f>
        <v>0.87</v>
      </c>
      <c r="V6" s="33" t="str">
        <f>IF(COUNTIFS(户型资产表!E:E,I6,户型资产表!H:H,"操作台")&gt;0,"有","无")</f>
        <v>有</v>
      </c>
      <c r="W6" s="33" t="str">
        <f>IF(COUNTIFS(户型资产表!E:E,I6,户型资产表!H:H,"书桌")&gt;0,"有","无")</f>
        <v>有</v>
      </c>
      <c r="X6" s="33" t="str">
        <f t="array" ref="X6">IF(SUMPRODUCT((户型资产表!E:E=I6)*((户型资产表!I:I="沙发01单人")+(户型资产表!I:I="单人沙发02")))&gt;0,"有","无")</f>
        <v>无</v>
      </c>
      <c r="Y6" s="33" t="str">
        <f t="array" ref="Y6">IF(SUMPRODUCT((户型资产表!E:E=I6)*((户型资产表!I:I="沙发02两人")+(户型资产表!I:I="双人沙发01")))&gt;0,"有","无")</f>
        <v>无</v>
      </c>
      <c r="Z6" s="33" t="str">
        <f>IF(COUNTIFS(户型资产表!E:E,I6,户型资产表!H:H,"餐桌")&gt;0,"有","无")</f>
        <v>无</v>
      </c>
      <c r="AA6" s="33" t="str">
        <f>IF(COUNTIFS(户型资产表!E:E,I6,户型资产表!H:H,"吸油烟机")&gt;0,"有","无")</f>
        <v>无</v>
      </c>
      <c r="AB6" s="33" t="str">
        <f>IF(COUNTIFS(户型资产表!E:E,I6,户型资产表!H:H,"冰箱")&gt;0,"有","无")</f>
        <v>无</v>
      </c>
      <c r="AC6" s="33" t="str">
        <f>IF(COUNTIFS(户型资产表!E:E,I6,户型资产表!H:H,"电视柜")&gt;0,"有","无")</f>
        <v>无</v>
      </c>
      <c r="AD6" s="41" t="str">
        <f t="shared" si="5"/>
        <v>适中</v>
      </c>
      <c r="AE6" s="33">
        <f>VLOOKUP($AD$1&amp;AD6,【1】定价因子!E:F,2,0)</f>
        <v>1</v>
      </c>
      <c r="AF6" s="41" t="str">
        <f t="shared" si="6"/>
        <v>适中</v>
      </c>
      <c r="AG6" s="33">
        <f>VLOOKUP($AF$1&amp;AF6,【1】定价因子!E:F,2,0)</f>
        <v>1</v>
      </c>
      <c r="AH6" s="41" t="str">
        <f t="shared" si="7"/>
        <v>适中</v>
      </c>
      <c r="AI6" s="33">
        <f>VLOOKUP($AH$1&amp;AH6,【1】定价因子!E:F,2,0)</f>
        <v>1</v>
      </c>
      <c r="AJ6" s="33" t="str">
        <f>VLOOKUP(H6,'【3-1】大区填-采光基本要素'!A:H,8,0)</f>
        <v>1</v>
      </c>
      <c r="AK6" s="33">
        <f>VLOOKUP($AJ$1&amp;AJ6,【1】定价因子!E:F,2,0)</f>
        <v>0.91</v>
      </c>
      <c r="AL6" s="34">
        <f t="shared" si="8"/>
        <v>1304.62532928</v>
      </c>
      <c r="AM6" s="48">
        <v>1280</v>
      </c>
      <c r="AN6" s="43">
        <f t="shared" si="9"/>
        <v>-0.0188754033264019</v>
      </c>
      <c r="AO6" s="46"/>
    </row>
    <row r="7" spans="1:41">
      <c r="A7" s="37" t="str">
        <f>'【2】运营中心填-基本信息&amp;审核标准'!$E$2</f>
        <v>兴围西4-11栋</v>
      </c>
      <c r="B7" s="13">
        <f t="shared" si="2"/>
        <v>1</v>
      </c>
      <c r="C7" s="13">
        <f t="shared" si="0"/>
        <v>7</v>
      </c>
      <c r="D7" s="13">
        <f t="shared" si="1"/>
        <v>7</v>
      </c>
      <c r="E7" s="13"/>
      <c r="F7" s="13" t="str">
        <f t="shared" si="3"/>
        <v/>
      </c>
      <c r="G7" s="13"/>
      <c r="H7" s="44">
        <v>106</v>
      </c>
      <c r="I7" s="39" t="s">
        <v>496</v>
      </c>
      <c r="J7" s="39" t="s">
        <v>40</v>
      </c>
      <c r="K7" s="13" t="str">
        <f t="array" ref="K7">IFERROR(INDEX($J$2:$J$72,MATCH(0,IF(ISBLANK($J$2:$J$72),1,COUNTIF($K$1:K6,$J$2:$J$72)),0)),"")</f>
        <v/>
      </c>
      <c r="L7" s="40">
        <f>VLOOKUP(J7,'【3】大区填-楼栋基准格局定价'!B:H,7,0)</f>
        <v>1647.8784</v>
      </c>
      <c r="M7" s="41" t="str">
        <f t="shared" si="4"/>
        <v>较狭小</v>
      </c>
      <c r="N7" s="41">
        <v>12.03</v>
      </c>
      <c r="O7" s="33">
        <f>VLOOKUP($M$1&amp;M7,【1】定价因子!E:F,2,0)</f>
        <v>0.95</v>
      </c>
      <c r="P7" s="33" t="str">
        <f>IF(COUNTIFS(户型资产表!E:E,I7,户型资产表!H:H,"阳台门")&gt;0,"有","无")</f>
        <v>无</v>
      </c>
      <c r="Q7" s="33">
        <f>VLOOKUP($P$1&amp;P7,【1】定价因子!E:F,2,0)</f>
        <v>1</v>
      </c>
      <c r="R7" s="33" t="str">
        <f>IF('【2】运营中心填-基本信息&amp;审核标准'!$D$4="是","无",IF(INT(H7/100)&gt;9,"9F",INT(H7/100)&amp;"F"))</f>
        <v>无</v>
      </c>
      <c r="S7" s="33">
        <f>VLOOKUP(R7,【1】定价因子!D:F,3,0)</f>
        <v>1</v>
      </c>
      <c r="T7" s="33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1F</v>
      </c>
      <c r="U7" s="33">
        <f>VLOOKUP($T$1&amp;T7,【1】定价因子!E:F,2,0)</f>
        <v>0.87</v>
      </c>
      <c r="V7" s="33" t="str">
        <f>IF(COUNTIFS(户型资产表!E:E,I7,户型资产表!H:H,"操作台")&gt;0,"有","无")</f>
        <v>有</v>
      </c>
      <c r="W7" s="33" t="str">
        <f>IF(COUNTIFS(户型资产表!E:E,I7,户型资产表!H:H,"书桌")&gt;0,"有","无")</f>
        <v>有</v>
      </c>
      <c r="X7" s="33" t="str">
        <f t="array" ref="X7">IF(SUMPRODUCT((户型资产表!E:E=I7)*((户型资产表!I:I="沙发01单人")+(户型资产表!I:I="单人沙发02")))&gt;0,"有","无")</f>
        <v>无</v>
      </c>
      <c r="Y7" s="33" t="str">
        <f t="array" ref="Y7">IF(SUMPRODUCT((户型资产表!E:E=I7)*((户型资产表!I:I="沙发02两人")+(户型资产表!I:I="双人沙发01")))&gt;0,"有","无")</f>
        <v>无</v>
      </c>
      <c r="Z7" s="33" t="str">
        <f>IF(COUNTIFS(户型资产表!E:E,I7,户型资产表!H:H,"餐桌")&gt;0,"有","无")</f>
        <v>无</v>
      </c>
      <c r="AA7" s="33" t="str">
        <f>IF(COUNTIFS(户型资产表!E:E,I7,户型资产表!H:H,"吸油烟机")&gt;0,"有","无")</f>
        <v>无</v>
      </c>
      <c r="AB7" s="33" t="str">
        <f>IF(COUNTIFS(户型资产表!E:E,I7,户型资产表!H:H,"冰箱")&gt;0,"有","无")</f>
        <v>无</v>
      </c>
      <c r="AC7" s="33" t="str">
        <f>IF(COUNTIFS(户型资产表!E:E,I7,户型资产表!H:H,"电视柜")&gt;0,"有","无")</f>
        <v>无</v>
      </c>
      <c r="AD7" s="41" t="str">
        <f t="shared" si="5"/>
        <v>适中</v>
      </c>
      <c r="AE7" s="33">
        <f>VLOOKUP($AD$1&amp;AD7,【1】定价因子!E:F,2,0)</f>
        <v>1</v>
      </c>
      <c r="AF7" s="41" t="str">
        <f t="shared" si="6"/>
        <v>适中</v>
      </c>
      <c r="AG7" s="33">
        <f>VLOOKUP($AF$1&amp;AF7,【1】定价因子!E:F,2,0)</f>
        <v>1</v>
      </c>
      <c r="AH7" s="41" t="str">
        <f t="shared" si="7"/>
        <v>适中</v>
      </c>
      <c r="AI7" s="33">
        <f>VLOOKUP($AH$1&amp;AH7,【1】定价因子!E:F,2,0)</f>
        <v>1</v>
      </c>
      <c r="AJ7" s="33" t="str">
        <f>VLOOKUP(H7,'【3-1】大区填-采光基本要素'!A:H,8,0)</f>
        <v>2</v>
      </c>
      <c r="AK7" s="33">
        <f>VLOOKUP($AJ$1&amp;AJ7,【1】定价因子!E:F,2,0)</f>
        <v>0.96</v>
      </c>
      <c r="AL7" s="34">
        <f t="shared" si="8"/>
        <v>1307.492637696</v>
      </c>
      <c r="AM7" s="45">
        <v>1380</v>
      </c>
      <c r="AN7" s="43">
        <f t="shared" si="9"/>
        <v>0.0554552738681335</v>
      </c>
      <c r="AO7" s="46"/>
    </row>
    <row r="8" spans="1:41">
      <c r="A8" s="37" t="str">
        <f>'【2】运营中心填-基本信息&amp;审核标准'!$E$2</f>
        <v>兴围西4-11栋</v>
      </c>
      <c r="B8" s="13">
        <f t="shared" si="2"/>
        <v>1</v>
      </c>
      <c r="C8" s="13">
        <f t="shared" si="0"/>
        <v>7</v>
      </c>
      <c r="D8" s="13">
        <f t="shared" si="1"/>
        <v>7</v>
      </c>
      <c r="E8" s="13"/>
      <c r="F8" s="13" t="str">
        <f t="shared" si="3"/>
        <v/>
      </c>
      <c r="G8" s="13"/>
      <c r="H8" s="44">
        <v>107</v>
      </c>
      <c r="I8" s="39" t="s">
        <v>497</v>
      </c>
      <c r="J8" s="39" t="s">
        <v>40</v>
      </c>
      <c r="K8" s="13" t="str">
        <f t="array" ref="K8">IFERROR(INDEX($J$2:$J$72,MATCH(0,IF(ISBLANK($J$2:$J$72),1,COUNTIF($K$1:K7,$J$2:$J$72)),0)),"")</f>
        <v/>
      </c>
      <c r="L8" s="40">
        <f>VLOOKUP(J8,'【3】大区填-楼栋基准格局定价'!B:H,7,0)</f>
        <v>1647.8784</v>
      </c>
      <c r="M8" s="41" t="str">
        <f t="shared" si="4"/>
        <v>适中</v>
      </c>
      <c r="N8" s="41">
        <v>14.29</v>
      </c>
      <c r="O8" s="33">
        <f>VLOOKUP($M$1&amp;M8,【1】定价因子!E:F,2,0)</f>
        <v>1</v>
      </c>
      <c r="P8" s="33" t="str">
        <f>IF(COUNTIFS(户型资产表!E:E,I8,户型资产表!H:H,"阳台门")&gt;0,"有","无")</f>
        <v>无</v>
      </c>
      <c r="Q8" s="33">
        <f>VLOOKUP($P$1&amp;P8,【1】定价因子!E:F,2,0)</f>
        <v>1</v>
      </c>
      <c r="R8" s="33" t="str">
        <f>IF('【2】运营中心填-基本信息&amp;审核标准'!$D$4="是","无",IF(INT(H8/100)&gt;9,"9F",INT(H8/100)&amp;"F"))</f>
        <v>无</v>
      </c>
      <c r="S8" s="33">
        <f>VLOOKUP(R8,【1】定价因子!D:F,3,0)</f>
        <v>1</v>
      </c>
      <c r="T8" s="33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1F</v>
      </c>
      <c r="U8" s="33">
        <f>VLOOKUP($T$1&amp;T8,【1】定价因子!E:F,2,0)</f>
        <v>0.87</v>
      </c>
      <c r="V8" s="33" t="str">
        <f>IF(COUNTIFS(户型资产表!E:E,I8,户型资产表!H:H,"操作台")&gt;0,"有","无")</f>
        <v>有</v>
      </c>
      <c r="W8" s="33" t="str">
        <f>IF(COUNTIFS(户型资产表!E:E,I8,户型资产表!H:H,"书桌")&gt;0,"有","无")</f>
        <v>有</v>
      </c>
      <c r="X8" s="33" t="str">
        <f t="array" ref="X8">IF(SUMPRODUCT((户型资产表!E:E=I8)*((户型资产表!I:I="沙发01单人")+(户型资产表!I:I="单人沙发02")))&gt;0,"有","无")</f>
        <v>无</v>
      </c>
      <c r="Y8" s="33" t="str">
        <f t="array" ref="Y8">IF(SUMPRODUCT((户型资产表!E:E=I8)*((户型资产表!I:I="沙发02两人")+(户型资产表!I:I="双人沙发01")))&gt;0,"有","无")</f>
        <v>无</v>
      </c>
      <c r="Z8" s="33" t="str">
        <f>IF(COUNTIFS(户型资产表!E:E,I8,户型资产表!H:H,"餐桌")&gt;0,"有","无")</f>
        <v>无</v>
      </c>
      <c r="AA8" s="33" t="str">
        <f>IF(COUNTIFS(户型资产表!E:E,I8,户型资产表!H:H,"吸油烟机")&gt;0,"有","无")</f>
        <v>无</v>
      </c>
      <c r="AB8" s="33" t="str">
        <f>IF(COUNTIFS(户型资产表!E:E,I8,户型资产表!H:H,"冰箱")&gt;0,"有","无")</f>
        <v>无</v>
      </c>
      <c r="AC8" s="33" t="str">
        <f>IF(COUNTIFS(户型资产表!E:E,I8,户型资产表!H:H,"电视柜")&gt;0,"有","无")</f>
        <v>无</v>
      </c>
      <c r="AD8" s="41" t="str">
        <f t="shared" si="5"/>
        <v>适中</v>
      </c>
      <c r="AE8" s="33">
        <f>VLOOKUP($AD$1&amp;AD8,【1】定价因子!E:F,2,0)</f>
        <v>1</v>
      </c>
      <c r="AF8" s="41" t="str">
        <f t="shared" si="6"/>
        <v>适中</v>
      </c>
      <c r="AG8" s="33">
        <f>VLOOKUP($AF$1&amp;AF8,【1】定价因子!E:F,2,0)</f>
        <v>1</v>
      </c>
      <c r="AH8" s="41" t="str">
        <f t="shared" si="7"/>
        <v>适中</v>
      </c>
      <c r="AI8" s="33">
        <f>VLOOKUP($AH$1&amp;AH8,【1】定价因子!E:F,2,0)</f>
        <v>1</v>
      </c>
      <c r="AJ8" s="33" t="str">
        <f>VLOOKUP(H8,'【3-1】大区填-采光基本要素'!A:H,8,0)</f>
        <v>1</v>
      </c>
      <c r="AK8" s="33">
        <f>VLOOKUP($AJ$1&amp;AJ8,【1】定价因子!E:F,2,0)</f>
        <v>0.91</v>
      </c>
      <c r="AL8" s="34">
        <f t="shared" si="8"/>
        <v>1304.62532928</v>
      </c>
      <c r="AM8" s="45">
        <v>1380</v>
      </c>
      <c r="AN8" s="43">
        <f t="shared" si="9"/>
        <v>0.0577749557887228</v>
      </c>
      <c r="AO8" s="46"/>
    </row>
    <row r="9" spans="1:41">
      <c r="A9" s="37" t="str">
        <f>'【2】运营中心填-基本信息&amp;审核标准'!$E$2</f>
        <v>兴围西4-11栋</v>
      </c>
      <c r="B9" s="13">
        <f t="shared" si="2"/>
        <v>2</v>
      </c>
      <c r="C9" s="13">
        <f t="shared" si="0"/>
        <v>8</v>
      </c>
      <c r="D9" s="13">
        <f t="shared" si="1"/>
        <v>64</v>
      </c>
      <c r="E9" s="13"/>
      <c r="F9" s="13">
        <f t="shared" si="3"/>
        <v>8</v>
      </c>
      <c r="G9" s="13"/>
      <c r="H9" s="38">
        <v>201</v>
      </c>
      <c r="I9" s="39" t="s">
        <v>498</v>
      </c>
      <c r="J9" s="39" t="s">
        <v>40</v>
      </c>
      <c r="K9" s="13" t="str">
        <f t="array" ref="K9">IFERROR(INDEX($J$2:$J$72,MATCH(0,IF(ISBLANK($J$2:$J$72),1,COUNTIF($K$1:K8,$J$2:$J$72)),0)),"")</f>
        <v/>
      </c>
      <c r="L9" s="40">
        <f>VLOOKUP(J9,'【3】大区填-楼栋基准格局定价'!B:H,7,0)</f>
        <v>1647.8784</v>
      </c>
      <c r="M9" s="41" t="str">
        <f t="shared" si="4"/>
        <v>较狭小</v>
      </c>
      <c r="N9" s="41">
        <v>10.46</v>
      </c>
      <c r="O9" s="33">
        <f>VLOOKUP($M$1&amp;M9,【1】定价因子!E:F,2,0)</f>
        <v>0.95</v>
      </c>
      <c r="P9" s="33" t="str">
        <f>IF(COUNTIFS(户型资产表!E:E,I9,户型资产表!H:H,"阳台门")&gt;0,"有","无")</f>
        <v>无</v>
      </c>
      <c r="Q9" s="33">
        <f>VLOOKUP($P$1&amp;P9,【1】定价因子!E:F,2,0)</f>
        <v>1</v>
      </c>
      <c r="R9" s="33" t="str">
        <f>IF('【2】运营中心填-基本信息&amp;审核标准'!$D$4="是","无",IF(INT(H9/100)&gt;9,"9F",INT(H9/100)&amp;"F"))</f>
        <v>无</v>
      </c>
      <c r="S9" s="33">
        <f>VLOOKUP(R9,【1】定价因子!D:F,3,0)</f>
        <v>1</v>
      </c>
      <c r="T9" s="33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2-3F</v>
      </c>
      <c r="U9" s="33">
        <f>VLOOKUP($T$1&amp;T9,【1】定价因子!E:F,2,0)</f>
        <v>0.99</v>
      </c>
      <c r="V9" s="33" t="str">
        <f>IF(COUNTIFS(户型资产表!E:E,I9,户型资产表!H:H,"操作台")&gt;0,"有","无")</f>
        <v>有</v>
      </c>
      <c r="W9" s="33" t="str">
        <f>IF(COUNTIFS(户型资产表!E:E,I9,户型资产表!H:H,"书桌")&gt;0,"有","无")</f>
        <v>有</v>
      </c>
      <c r="X9" s="33" t="str">
        <f t="array" ref="X9">IF(SUMPRODUCT((户型资产表!E:E=I9)*((户型资产表!I:I="沙发01单人")+(户型资产表!I:I="单人沙发02")))&gt;0,"有","无")</f>
        <v>无</v>
      </c>
      <c r="Y9" s="33" t="str">
        <f t="array" ref="Y9">IF(SUMPRODUCT((户型资产表!E:E=I9)*((户型资产表!I:I="沙发02两人")+(户型资产表!I:I="双人沙发01")))&gt;0,"有","无")</f>
        <v>无</v>
      </c>
      <c r="Z9" s="33" t="str">
        <f>IF(COUNTIFS(户型资产表!E:E,I9,户型资产表!H:H,"餐桌")&gt;0,"有","无")</f>
        <v>无</v>
      </c>
      <c r="AA9" s="33" t="str">
        <f>IF(COUNTIFS(户型资产表!E:E,I9,户型资产表!H:H,"吸油烟机")&gt;0,"有","无")</f>
        <v>无</v>
      </c>
      <c r="AB9" s="33" t="str">
        <f>IF(COUNTIFS(户型资产表!E:E,I9,户型资产表!H:H,"冰箱")&gt;0,"有","无")</f>
        <v>无</v>
      </c>
      <c r="AC9" s="33" t="str">
        <f>IF(COUNTIFS(户型资产表!E:E,I9,户型资产表!H:H,"电视柜")&gt;0,"有","无")</f>
        <v>无</v>
      </c>
      <c r="AD9" s="41" t="str">
        <f t="shared" si="5"/>
        <v>适中</v>
      </c>
      <c r="AE9" s="33">
        <f>VLOOKUP($AD$1&amp;AD9,【1】定价因子!E:F,2,0)</f>
        <v>1</v>
      </c>
      <c r="AF9" s="41" t="str">
        <f t="shared" si="6"/>
        <v>适中</v>
      </c>
      <c r="AG9" s="33">
        <f>VLOOKUP($AF$1&amp;AF9,【1】定价因子!E:F,2,0)</f>
        <v>1</v>
      </c>
      <c r="AH9" s="41" t="str">
        <f t="shared" si="7"/>
        <v>适中</v>
      </c>
      <c r="AI9" s="33">
        <f>VLOOKUP($AH$1&amp;AH9,【1】定价因子!E:F,2,0)</f>
        <v>1</v>
      </c>
      <c r="AJ9" s="33" t="str">
        <f>VLOOKUP(H9,'【3-1】大区填-采光基本要素'!A:H,8,0)</f>
        <v>5</v>
      </c>
      <c r="AK9" s="33">
        <f>VLOOKUP($AJ$1&amp;AJ9,【1】定价因子!E:F,2,0)</f>
        <v>1.06</v>
      </c>
      <c r="AL9" s="34">
        <f t="shared" si="8"/>
        <v>1642.819413312</v>
      </c>
      <c r="AM9" s="42">
        <v>1500</v>
      </c>
      <c r="AN9" s="43">
        <f t="shared" si="9"/>
        <v>-0.0869355524744314</v>
      </c>
    </row>
    <row r="10" spans="1:41">
      <c r="A10" s="37" t="str">
        <f>'【2】运营中心填-基本信息&amp;审核标准'!$E$2</f>
        <v>兴围西4-11栋</v>
      </c>
      <c r="B10" s="13">
        <f t="shared" si="2"/>
        <v>2</v>
      </c>
      <c r="C10" s="13">
        <f t="shared" si="0"/>
        <v>8</v>
      </c>
      <c r="D10" s="13">
        <f t="shared" si="1"/>
        <v>64</v>
      </c>
      <c r="E10" s="13"/>
      <c r="F10" s="13">
        <f t="shared" si="3"/>
        <v>8</v>
      </c>
      <c r="G10" s="13"/>
      <c r="H10" s="38">
        <v>202</v>
      </c>
      <c r="I10" s="39" t="s">
        <v>499</v>
      </c>
      <c r="J10" s="39" t="s">
        <v>43</v>
      </c>
      <c r="K10" s="13" t="str">
        <f t="array" ref="K10">IFERROR(INDEX($J$2:$J$72,MATCH(0,IF(ISBLANK($J$2:$J$72),1,COUNTIF($K$1:K9,$J$2:$J$72)),0)),"")</f>
        <v/>
      </c>
      <c r="L10" s="40">
        <f>VLOOKUP(J10,'【3】大区填-楼栋基准格局定价'!B:H,7,0)</f>
        <v>2445.5088</v>
      </c>
      <c r="M10" s="41" t="str">
        <f t="shared" si="4"/>
        <v>很狭小</v>
      </c>
      <c r="N10" s="41">
        <v>18.44</v>
      </c>
      <c r="O10" s="33">
        <f>VLOOKUP($M$1&amp;M10,【1】定价因子!E:F,2,0)</f>
        <v>0.9</v>
      </c>
      <c r="P10" s="33" t="str">
        <f>IF(COUNTIFS(户型资产表!E:E,I10,户型资产表!H:H,"阳台门")&gt;0,"有","无")</f>
        <v>无</v>
      </c>
      <c r="Q10" s="33">
        <f>VLOOKUP($P$1&amp;P10,【1】定价因子!E:F,2,0)</f>
        <v>1</v>
      </c>
      <c r="R10" s="33" t="str">
        <f>IF('【2】运营中心填-基本信息&amp;审核标准'!$D$4="是","无",IF(INT(H10/100)&gt;9,"9F",INT(H10/100)&amp;"F"))</f>
        <v>无</v>
      </c>
      <c r="S10" s="33">
        <f>VLOOKUP(R10,【1】定价因子!D:F,3,0)</f>
        <v>1</v>
      </c>
      <c r="T10" s="33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2-3F</v>
      </c>
      <c r="U10" s="33">
        <f>VLOOKUP($T$1&amp;T10,【1】定价因子!E:F,2,0)</f>
        <v>0.99</v>
      </c>
      <c r="V10" s="33" t="str">
        <f>IF(COUNTIFS(户型资产表!E:E,I10,户型资产表!H:H,"操作台")&gt;0,"有","无")</f>
        <v>有</v>
      </c>
      <c r="W10" s="33" t="str">
        <f>IF(COUNTIFS(户型资产表!E:E,I10,户型资产表!H:H,"书桌")&gt;0,"有","无")</f>
        <v>有</v>
      </c>
      <c r="X10" s="33" t="str">
        <f t="array" ref="X10">IF(SUMPRODUCT((户型资产表!E:E=I10)*((户型资产表!I:I="沙发01单人")+(户型资产表!I:I="单人沙发02")))&gt;0,"有","无")</f>
        <v>无</v>
      </c>
      <c r="Y10" s="33" t="str">
        <f t="array" ref="Y10">IF(SUMPRODUCT((户型资产表!E:E=I10)*((户型资产表!I:I="沙发02两人")+(户型资产表!I:I="双人沙发01")))&gt;0,"有","无")</f>
        <v>有</v>
      </c>
      <c r="Z10" s="33" t="str">
        <f>IF(COUNTIFS(户型资产表!E:E,I10,户型资产表!H:H,"餐桌")&gt;0,"有","无")</f>
        <v>有</v>
      </c>
      <c r="AA10" s="33" t="str">
        <f>IF(COUNTIFS(户型资产表!E:E,I10,户型资产表!H:H,"吸油烟机")&gt;0,"有","无")</f>
        <v>无</v>
      </c>
      <c r="AB10" s="33" t="str">
        <f>IF(COUNTIFS(户型资产表!E:E,I10,户型资产表!H:H,"冰箱")&gt;0,"有","无")</f>
        <v>无</v>
      </c>
      <c r="AC10" s="33" t="str">
        <f>IF(COUNTIFS(户型资产表!E:E,I10,户型资产表!H:H,"电视柜")&gt;0,"有","无")</f>
        <v>无</v>
      </c>
      <c r="AD10" s="41" t="str">
        <f t="shared" si="5"/>
        <v>适中</v>
      </c>
      <c r="AE10" s="33">
        <f>VLOOKUP($AD$1&amp;AD10,【1】定价因子!E:F,2,0)</f>
        <v>1</v>
      </c>
      <c r="AF10" s="41" t="s">
        <v>63</v>
      </c>
      <c r="AG10" s="33">
        <f>VLOOKUP($AF$1&amp;AF10,【1】定价因子!E:F,2,0)</f>
        <v>1</v>
      </c>
      <c r="AH10" s="41" t="str">
        <f t="shared" si="7"/>
        <v>适中</v>
      </c>
      <c r="AI10" s="33">
        <f>VLOOKUP($AH$1&amp;AH10,【1】定价因子!E:F,2,0)</f>
        <v>1</v>
      </c>
      <c r="AJ10" s="33" t="str">
        <f>VLOOKUP(H10,'【3-1】大区填-采光基本要素'!A:H,8,0)</f>
        <v>1</v>
      </c>
      <c r="AK10" s="33">
        <f>VLOOKUP($AJ$1&amp;AJ10,【1】定价因子!E:F,2,0)</f>
        <v>0.91</v>
      </c>
      <c r="AL10" s="34">
        <f t="shared" si="8"/>
        <v>1982.842990128</v>
      </c>
      <c r="AM10" s="42">
        <v>1980</v>
      </c>
      <c r="AN10" s="43">
        <f t="shared" si="9"/>
        <v>-0.00143379488045925</v>
      </c>
    </row>
    <row r="11" spans="1:41">
      <c r="A11" s="37" t="str">
        <f>'【2】运营中心填-基本信息&amp;审核标准'!$E$2</f>
        <v>兴围西4-11栋</v>
      </c>
      <c r="B11" s="13">
        <f t="shared" si="2"/>
        <v>2</v>
      </c>
      <c r="C11" s="13">
        <f t="shared" si="0"/>
        <v>8</v>
      </c>
      <c r="D11" s="13">
        <f t="shared" si="1"/>
        <v>64</v>
      </c>
      <c r="E11" s="13"/>
      <c r="F11" s="13">
        <f t="shared" si="3"/>
        <v>8</v>
      </c>
      <c r="G11" s="13"/>
      <c r="H11" s="38">
        <v>203</v>
      </c>
      <c r="I11" s="39" t="s">
        <v>500</v>
      </c>
      <c r="J11" s="39" t="s">
        <v>40</v>
      </c>
      <c r="K11" s="13"/>
      <c r="L11" s="40">
        <f>VLOOKUP(J11,'【3】大区填-楼栋基准格局定价'!B:H,7,0)</f>
        <v>1647.8784</v>
      </c>
      <c r="M11" s="41" t="str">
        <f t="shared" si="4"/>
        <v>适中</v>
      </c>
      <c r="N11" s="41">
        <v>13.87</v>
      </c>
      <c r="O11" s="33">
        <f>VLOOKUP($M$1&amp;M11,【1】定价因子!E:F,2,0)</f>
        <v>1</v>
      </c>
      <c r="P11" s="33" t="str">
        <f>IF(COUNTIFS(户型资产表!E:E,I11,户型资产表!H:H,"阳台门")&gt;0,"有","无")</f>
        <v>无</v>
      </c>
      <c r="Q11" s="33">
        <f>VLOOKUP($P$1&amp;P11,【1】定价因子!E:F,2,0)</f>
        <v>1</v>
      </c>
      <c r="R11" s="33" t="str">
        <f>IF('【2】运营中心填-基本信息&amp;审核标准'!$D$4="是","无",IF(INT(H11/100)&gt;9,"9F",INT(H11/100)&amp;"F"))</f>
        <v>无</v>
      </c>
      <c r="S11" s="33">
        <f>VLOOKUP(R11,【1】定价因子!D:F,3,0)</f>
        <v>1</v>
      </c>
      <c r="T11" s="33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2-3F</v>
      </c>
      <c r="U11" s="33">
        <f>VLOOKUP($T$1&amp;T11,【1】定价因子!E:F,2,0)</f>
        <v>0.99</v>
      </c>
      <c r="V11" s="33" t="str">
        <f>IF(COUNTIFS(户型资产表!E:E,I11,户型资产表!H:H,"操作台")&gt;0,"有","无")</f>
        <v>有</v>
      </c>
      <c r="W11" s="33" t="str">
        <f>IF(COUNTIFS(户型资产表!E:E,I11,户型资产表!H:H,"书桌")&gt;0,"有","无")</f>
        <v>有</v>
      </c>
      <c r="X11" s="33" t="str">
        <f t="array" ref="X11">IF(SUMPRODUCT((户型资产表!E:E=I11)*((户型资产表!I:I="沙发01单人")+(户型资产表!I:I="单人沙发02")))&gt;0,"有","无")</f>
        <v>无</v>
      </c>
      <c r="Y11" s="33" t="str">
        <f t="array" ref="Y11">IF(SUMPRODUCT((户型资产表!E:E=I11)*((户型资产表!I:I="沙发02两人")+(户型资产表!I:I="双人沙发01")))&gt;0,"有","无")</f>
        <v>无</v>
      </c>
      <c r="Z11" s="33" t="str">
        <f>IF(COUNTIFS(户型资产表!E:E,I11,户型资产表!H:H,"餐桌")&gt;0,"有","无")</f>
        <v>无</v>
      </c>
      <c r="AA11" s="33" t="str">
        <f>IF(COUNTIFS(户型资产表!E:E,I11,户型资产表!H:H,"吸油烟机")&gt;0,"有","无")</f>
        <v>无</v>
      </c>
      <c r="AB11" s="33" t="str">
        <f>IF(COUNTIFS(户型资产表!E:E,I11,户型资产表!H:H,"冰箱")&gt;0,"有","无")</f>
        <v>无</v>
      </c>
      <c r="AC11" s="33" t="str">
        <f>IF(COUNTIFS(户型资产表!E:E,I11,户型资产表!H:H,"电视柜")&gt;0,"有","无")</f>
        <v>无</v>
      </c>
      <c r="AD11" s="41" t="str">
        <f t="shared" si="5"/>
        <v>适中</v>
      </c>
      <c r="AE11" s="33">
        <f>VLOOKUP($AD$1&amp;AD11,【1】定价因子!E:F,2,0)</f>
        <v>1</v>
      </c>
      <c r="AF11" s="41" t="str">
        <f t="shared" si="6"/>
        <v>适中</v>
      </c>
      <c r="AG11" s="33">
        <f>VLOOKUP($AF$1&amp;AF11,【1】定价因子!E:F,2,0)</f>
        <v>1</v>
      </c>
      <c r="AH11" s="41" t="str">
        <f t="shared" si="7"/>
        <v>适中</v>
      </c>
      <c r="AI11" s="33">
        <f>VLOOKUP($AH$1&amp;AH11,【1】定价因子!E:F,2,0)</f>
        <v>1</v>
      </c>
      <c r="AJ11" s="33" t="str">
        <f>VLOOKUP(H11,'【3-1】大区填-采光基本要素'!A:H,8,0)</f>
        <v>1</v>
      </c>
      <c r="AK11" s="33">
        <f>VLOOKUP($AJ$1&amp;AJ11,【1】定价因子!E:F,2,0)</f>
        <v>0.91</v>
      </c>
      <c r="AL11" s="34">
        <f t="shared" si="8"/>
        <v>1484.57365056</v>
      </c>
      <c r="AM11" s="42">
        <v>1430</v>
      </c>
      <c r="AN11" s="43">
        <f t="shared" si="9"/>
        <v>-0.0367604871199312</v>
      </c>
    </row>
    <row r="12" spans="1:41">
      <c r="A12" s="37" t="str">
        <f>'【2】运营中心填-基本信息&amp;审核标准'!$E$2</f>
        <v>兴围西4-11栋</v>
      </c>
      <c r="B12" s="13">
        <f t="shared" si="2"/>
        <v>2</v>
      </c>
      <c r="C12" s="13">
        <f t="shared" si="0"/>
        <v>8</v>
      </c>
      <c r="D12" s="13">
        <f t="shared" si="1"/>
        <v>64</v>
      </c>
      <c r="E12" s="13"/>
      <c r="F12" s="13">
        <f t="shared" si="3"/>
        <v>8</v>
      </c>
      <c r="G12" s="13"/>
      <c r="H12" s="47">
        <v>204</v>
      </c>
      <c r="I12" s="39" t="s">
        <v>501</v>
      </c>
      <c r="J12" s="39" t="s">
        <v>40</v>
      </c>
      <c r="K12" s="13"/>
      <c r="L12" s="40">
        <f>VLOOKUP(J12,'【3】大区填-楼栋基准格局定价'!B:H,7,0)</f>
        <v>1647.8784</v>
      </c>
      <c r="M12" s="41" t="s">
        <v>63</v>
      </c>
      <c r="N12" s="41">
        <v>19.76</v>
      </c>
      <c r="O12" s="33">
        <f>VLOOKUP($M$1&amp;M12,【1】定价因子!E:F,2,0)</f>
        <v>1</v>
      </c>
      <c r="P12" s="33" t="str">
        <f>IF(COUNTIFS(户型资产表!E:E,I12,户型资产表!H:H,"阳台门")&gt;0,"有","无")</f>
        <v>无</v>
      </c>
      <c r="Q12" s="33">
        <f>VLOOKUP($P$1&amp;P12,【1】定价因子!E:F,2,0)</f>
        <v>1</v>
      </c>
      <c r="R12" s="33" t="str">
        <f>IF('【2】运营中心填-基本信息&amp;审核标准'!$D$4="是","无",IF(INT(H12/100)&gt;9,"9F",INT(H12/100)&amp;"F"))</f>
        <v>无</v>
      </c>
      <c r="S12" s="33">
        <f>VLOOKUP(R12,【1】定价因子!D:F,3,0)</f>
        <v>1</v>
      </c>
      <c r="T12" s="33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2-3F</v>
      </c>
      <c r="U12" s="33">
        <f>VLOOKUP($T$1&amp;T12,【1】定价因子!E:F,2,0)</f>
        <v>0.99</v>
      </c>
      <c r="V12" s="33" t="str">
        <f>IF(COUNTIFS(户型资产表!E:E,I12,户型资产表!H:H,"操作台")&gt;0,"有","无")</f>
        <v>有</v>
      </c>
      <c r="W12" s="33" t="str">
        <f>IF(COUNTIFS(户型资产表!E:E,I12,户型资产表!H:H,"书桌")&gt;0,"有","无")</f>
        <v>有</v>
      </c>
      <c r="X12" s="33" t="str">
        <f t="array" ref="X12">IF(SUMPRODUCT((户型资产表!E:E=I12)*((户型资产表!I:I="沙发01单人")+(户型资产表!I:I="单人沙发02")))&gt;0,"有","无")</f>
        <v>无</v>
      </c>
      <c r="Y12" s="33" t="str">
        <f t="array" ref="Y12">IF(SUMPRODUCT((户型资产表!E:E=I12)*((户型资产表!I:I="沙发02两人")+(户型资产表!I:I="双人沙发01")))&gt;0,"有","无")</f>
        <v>无</v>
      </c>
      <c r="Z12" s="33" t="str">
        <f>IF(COUNTIFS(户型资产表!E:E,I12,户型资产表!H:H,"餐桌")&gt;0,"有","无")</f>
        <v>无</v>
      </c>
      <c r="AA12" s="33" t="str">
        <f>IF(COUNTIFS(户型资产表!E:E,I12,户型资产表!H:H,"吸油烟机")&gt;0,"有","无")</f>
        <v>无</v>
      </c>
      <c r="AB12" s="33" t="str">
        <f>IF(COUNTIFS(户型资产表!E:E,I12,户型资产表!H:H,"冰箱")&gt;0,"有","无")</f>
        <v>无</v>
      </c>
      <c r="AC12" s="33" t="str">
        <f>IF(COUNTIFS(户型资产表!E:E,I12,户型资产表!H:H,"电视柜")&gt;0,"有","无")</f>
        <v>无</v>
      </c>
      <c r="AD12" s="41" t="str">
        <f t="shared" si="5"/>
        <v>适中</v>
      </c>
      <c r="AE12" s="33">
        <f>VLOOKUP($AD$1&amp;AD12,【1】定价因子!E:F,2,0)</f>
        <v>1</v>
      </c>
      <c r="AF12" s="41" t="str">
        <f t="shared" si="6"/>
        <v>适中</v>
      </c>
      <c r="AG12" s="33">
        <f>VLOOKUP($AF$1&amp;AF12,【1】定价因子!E:F,2,0)</f>
        <v>1</v>
      </c>
      <c r="AH12" s="41" t="str">
        <f t="shared" si="7"/>
        <v>适中</v>
      </c>
      <c r="AI12" s="33">
        <f>VLOOKUP($AH$1&amp;AH12,【1】定价因子!E:F,2,0)</f>
        <v>1</v>
      </c>
      <c r="AJ12" s="33" t="str">
        <f>VLOOKUP(H12,'【3-1】大区填-采光基本要素'!A:H,8,0)</f>
        <v>1</v>
      </c>
      <c r="AK12" s="33">
        <f>VLOOKUP($AJ$1&amp;AJ12,【1】定价因子!E:F,2,0)</f>
        <v>0.91</v>
      </c>
      <c r="AL12" s="34">
        <f t="shared" si="8"/>
        <v>1484.57365056</v>
      </c>
      <c r="AM12" s="48">
        <v>1340</v>
      </c>
      <c r="AN12" s="43">
        <f t="shared" si="9"/>
        <v>-0.0973839529655299</v>
      </c>
      <c r="AO12" s="46"/>
    </row>
    <row r="13" spans="1:41">
      <c r="A13" s="37" t="str">
        <f>'【2】运营中心填-基本信息&amp;审核标准'!$E$2</f>
        <v>兴围西4-11栋</v>
      </c>
      <c r="B13" s="13">
        <f t="shared" si="2"/>
        <v>2</v>
      </c>
      <c r="C13" s="13">
        <f t="shared" si="0"/>
        <v>8</v>
      </c>
      <c r="D13" s="13">
        <f t="shared" si="1"/>
        <v>64</v>
      </c>
      <c r="E13" s="13"/>
      <c r="F13" s="13">
        <f t="shared" si="3"/>
        <v>8</v>
      </c>
      <c r="G13" s="13"/>
      <c r="H13" s="38">
        <v>205</v>
      </c>
      <c r="I13" s="39" t="s">
        <v>502</v>
      </c>
      <c r="J13" s="39" t="s">
        <v>40</v>
      </c>
      <c r="K13" s="13"/>
      <c r="L13" s="40">
        <f>VLOOKUP(J13,'【3】大区填-楼栋基准格局定价'!B:H,7,0)</f>
        <v>1647.8784</v>
      </c>
      <c r="M13" s="41" t="str">
        <f t="shared" si="4"/>
        <v>适中</v>
      </c>
      <c r="N13" s="41">
        <v>13.43</v>
      </c>
      <c r="O13" s="33">
        <f>VLOOKUP($M$1&amp;M13,【1】定价因子!E:F,2,0)</f>
        <v>1</v>
      </c>
      <c r="P13" s="33" t="str">
        <f>IF(COUNTIFS(户型资产表!E:E,I13,户型资产表!H:H,"阳台门")&gt;0,"有","无")</f>
        <v>无</v>
      </c>
      <c r="Q13" s="33">
        <f>VLOOKUP($P$1&amp;P13,【1】定价因子!E:F,2,0)</f>
        <v>1</v>
      </c>
      <c r="R13" s="33" t="str">
        <f>IF('【2】运营中心填-基本信息&amp;审核标准'!$D$4="是","无",IF(INT(H13/100)&gt;9,"9F",INT(H13/100)&amp;"F"))</f>
        <v>无</v>
      </c>
      <c r="S13" s="33">
        <f>VLOOKUP(R13,【1】定价因子!D:F,3,0)</f>
        <v>1</v>
      </c>
      <c r="T13" s="33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2-3F</v>
      </c>
      <c r="U13" s="33">
        <f>VLOOKUP($T$1&amp;T13,【1】定价因子!E:F,2,0)</f>
        <v>0.99</v>
      </c>
      <c r="V13" s="33" t="str">
        <f>IF(COUNTIFS(户型资产表!E:E,I13,户型资产表!H:H,"操作台")&gt;0,"有","无")</f>
        <v>有</v>
      </c>
      <c r="W13" s="33" t="str">
        <f>IF(COUNTIFS(户型资产表!E:E,I13,户型资产表!H:H,"书桌")&gt;0,"有","无")</f>
        <v>有</v>
      </c>
      <c r="X13" s="33" t="str">
        <f t="array" ref="X13">IF(SUMPRODUCT((户型资产表!E:E=I13)*((户型资产表!I:I="沙发01单人")+(户型资产表!I:I="单人沙发02")))&gt;0,"有","无")</f>
        <v>无</v>
      </c>
      <c r="Y13" s="33" t="str">
        <f t="array" ref="Y13">IF(SUMPRODUCT((户型资产表!E:E=I13)*((户型资产表!I:I="沙发02两人")+(户型资产表!I:I="双人沙发01")))&gt;0,"有","无")</f>
        <v>无</v>
      </c>
      <c r="Z13" s="33" t="str">
        <f>IF(COUNTIFS(户型资产表!E:E,I13,户型资产表!H:H,"餐桌")&gt;0,"有","无")</f>
        <v>无</v>
      </c>
      <c r="AA13" s="33" t="str">
        <f>IF(COUNTIFS(户型资产表!E:E,I13,户型资产表!H:H,"吸油烟机")&gt;0,"有","无")</f>
        <v>无</v>
      </c>
      <c r="AB13" s="33" t="str">
        <f>IF(COUNTIFS(户型资产表!E:E,I13,户型资产表!H:H,"冰箱")&gt;0,"有","无")</f>
        <v>无</v>
      </c>
      <c r="AC13" s="33" t="str">
        <f>IF(COUNTIFS(户型资产表!E:E,I13,户型资产表!H:H,"电视柜")&gt;0,"有","无")</f>
        <v>无</v>
      </c>
      <c r="AD13" s="41" t="str">
        <f t="shared" si="5"/>
        <v>适中</v>
      </c>
      <c r="AE13" s="33">
        <f>VLOOKUP($AD$1&amp;AD13,【1】定价因子!E:F,2,0)</f>
        <v>1</v>
      </c>
      <c r="AF13" s="41" t="str">
        <f t="shared" si="6"/>
        <v>适中</v>
      </c>
      <c r="AG13" s="33">
        <f>VLOOKUP($AF$1&amp;AF13,【1】定价因子!E:F,2,0)</f>
        <v>1</v>
      </c>
      <c r="AH13" s="41" t="str">
        <f t="shared" si="7"/>
        <v>适中</v>
      </c>
      <c r="AI13" s="33">
        <f>VLOOKUP($AH$1&amp;AH13,【1】定价因子!E:F,2,0)</f>
        <v>1</v>
      </c>
      <c r="AJ13" s="33" t="str">
        <f>VLOOKUP(H13,'【3-1】大区填-采光基本要素'!A:H,8,0)</f>
        <v>2</v>
      </c>
      <c r="AK13" s="33">
        <f>VLOOKUP($AJ$1&amp;AJ13,【1】定价因子!E:F,2,0)</f>
        <v>0.96</v>
      </c>
      <c r="AL13" s="34">
        <f t="shared" si="8"/>
        <v>1566.14363136</v>
      </c>
      <c r="AM13" s="42">
        <v>1430</v>
      </c>
      <c r="AN13" s="43">
        <f t="shared" si="9"/>
        <v>-0.0869292117491014</v>
      </c>
    </row>
    <row r="14" spans="1:41">
      <c r="A14" s="37" t="str">
        <f>'【2】运营中心填-基本信息&amp;审核标准'!$E$2</f>
        <v>兴围西4-11栋</v>
      </c>
      <c r="B14" s="13">
        <f t="shared" si="2"/>
        <v>2</v>
      </c>
      <c r="C14" s="13">
        <f t="shared" si="0"/>
        <v>8</v>
      </c>
      <c r="D14" s="13">
        <f t="shared" si="1"/>
        <v>64</v>
      </c>
      <c r="E14" s="13"/>
      <c r="F14" s="13">
        <f t="shared" si="3"/>
        <v>8</v>
      </c>
      <c r="G14" s="13"/>
      <c r="H14" s="38">
        <v>206</v>
      </c>
      <c r="I14" s="39" t="s">
        <v>503</v>
      </c>
      <c r="J14" s="39" t="s">
        <v>43</v>
      </c>
      <c r="K14" s="13"/>
      <c r="L14" s="40">
        <f>VLOOKUP(J14,'【3】大区填-楼栋基准格局定价'!B:H,7,0)</f>
        <v>2445.5088</v>
      </c>
      <c r="M14" s="41" t="str">
        <f t="shared" si="4"/>
        <v>很狭小</v>
      </c>
      <c r="N14" s="41">
        <v>11.18</v>
      </c>
      <c r="O14" s="33">
        <f>VLOOKUP($M$1&amp;M14,【1】定价因子!E:F,2,0)</f>
        <v>0.9</v>
      </c>
      <c r="P14" s="33" t="str">
        <f>IF(COUNTIFS(户型资产表!E:E,I14,户型资产表!H:H,"阳台门")&gt;0,"有","无")</f>
        <v>无</v>
      </c>
      <c r="Q14" s="33">
        <f>VLOOKUP($P$1&amp;P14,【1】定价因子!E:F,2,0)</f>
        <v>1</v>
      </c>
      <c r="R14" s="33" t="str">
        <f>IF('【2】运营中心填-基本信息&amp;审核标准'!$D$4="是","无",IF(INT(H14/100)&gt;9,"9F",INT(H14/100)&amp;"F"))</f>
        <v>无</v>
      </c>
      <c r="S14" s="33">
        <f>VLOOKUP(R14,【1】定价因子!D:F,3,0)</f>
        <v>1</v>
      </c>
      <c r="T14" s="33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2-3F</v>
      </c>
      <c r="U14" s="33">
        <f>VLOOKUP($T$1&amp;T14,【1】定价因子!E:F,2,0)</f>
        <v>0.99</v>
      </c>
      <c r="V14" s="33" t="str">
        <f>IF(COUNTIFS(户型资产表!E:E,I14,户型资产表!H:H,"操作台")&gt;0,"有","无")</f>
        <v>有</v>
      </c>
      <c r="W14" s="33" t="str">
        <f>IF(COUNTIFS(户型资产表!E:E,I14,户型资产表!H:H,"书桌")&gt;0,"有","无")</f>
        <v>无</v>
      </c>
      <c r="X14" s="33" t="str">
        <f t="array" ref="X14">IF(SUMPRODUCT((户型资产表!E:E=I14)*((户型资产表!I:I="沙发01单人")+(户型资产表!I:I="单人沙发02")))&gt;0,"有","无")</f>
        <v>无</v>
      </c>
      <c r="Y14" s="33" t="str">
        <f t="array" ref="Y14">IF(SUMPRODUCT((户型资产表!E:E=I14)*((户型资产表!I:I="沙发02两人")+(户型资产表!I:I="双人沙发01")))&gt;0,"有","无")</f>
        <v>有</v>
      </c>
      <c r="Z14" s="33" t="str">
        <f>IF(COUNTIFS(户型资产表!E:E,I14,户型资产表!H:H,"餐桌")&gt;0,"有","无")</f>
        <v>有</v>
      </c>
      <c r="AA14" s="33" t="str">
        <f>IF(COUNTIFS(户型资产表!E:E,I14,户型资产表!H:H,"吸油烟机")&gt;0,"有","无")</f>
        <v>无</v>
      </c>
      <c r="AB14" s="33" t="str">
        <f>IF(COUNTIFS(户型资产表!E:E,I14,户型资产表!H:H,"冰箱")&gt;0,"有","无")</f>
        <v>无</v>
      </c>
      <c r="AC14" s="33" t="str">
        <f>IF(COUNTIFS(户型资产表!E:E,I14,户型资产表!H:H,"电视柜")&gt;0,"有","无")</f>
        <v>无</v>
      </c>
      <c r="AD14" s="41" t="str">
        <f t="shared" si="5"/>
        <v>适中</v>
      </c>
      <c r="AE14" s="33">
        <f>VLOOKUP($AD$1&amp;AD14,【1】定价因子!E:F,2,0)</f>
        <v>1</v>
      </c>
      <c r="AF14" s="41" t="str">
        <f t="shared" si="6"/>
        <v>适中</v>
      </c>
      <c r="AG14" s="33">
        <f>VLOOKUP($AF$1&amp;AF14,【1】定价因子!E:F,2,0)</f>
        <v>1</v>
      </c>
      <c r="AH14" s="41" t="str">
        <f t="shared" si="7"/>
        <v>适中</v>
      </c>
      <c r="AI14" s="33">
        <f>VLOOKUP($AH$1&amp;AH14,【1】定价因子!E:F,2,0)</f>
        <v>1</v>
      </c>
      <c r="AJ14" s="33" t="str">
        <f>VLOOKUP(H14,'【3-1】大区填-采光基本要素'!A:H,8,0)</f>
        <v>1</v>
      </c>
      <c r="AK14" s="33">
        <f>VLOOKUP($AJ$1&amp;AJ14,【1】定价因子!E:F,2,0)</f>
        <v>0.91</v>
      </c>
      <c r="AL14" s="34">
        <f t="shared" si="8"/>
        <v>1982.842990128</v>
      </c>
      <c r="AM14" s="42">
        <v>1980</v>
      </c>
      <c r="AN14" s="43">
        <f t="shared" si="9"/>
        <v>-0.00143379488045925</v>
      </c>
    </row>
    <row r="15" spans="1:41">
      <c r="A15" s="37" t="str">
        <f>'【2】运营中心填-基本信息&amp;审核标准'!$E$2</f>
        <v>兴围西4-11栋</v>
      </c>
      <c r="B15" s="13">
        <f t="shared" si="2"/>
        <v>2</v>
      </c>
      <c r="C15" s="13">
        <f t="shared" si="0"/>
        <v>8</v>
      </c>
      <c r="D15" s="13">
        <f t="shared" si="1"/>
        <v>64</v>
      </c>
      <c r="E15" s="13"/>
      <c r="F15" s="13">
        <f t="shared" si="3"/>
        <v>8</v>
      </c>
      <c r="G15" s="13"/>
      <c r="H15" s="38">
        <v>207</v>
      </c>
      <c r="I15" s="39" t="s">
        <v>501</v>
      </c>
      <c r="J15" s="39" t="s">
        <v>40</v>
      </c>
      <c r="K15" s="13"/>
      <c r="L15" s="40">
        <f>VLOOKUP(J15,'【3】大区填-楼栋基准格局定价'!B:H,7,0)</f>
        <v>1647.8784</v>
      </c>
      <c r="M15" s="41" t="str">
        <f t="shared" si="4"/>
        <v>适中</v>
      </c>
      <c r="N15" s="41">
        <v>13.81</v>
      </c>
      <c r="O15" s="33">
        <f>VLOOKUP($M$1&amp;M15,【1】定价因子!E:F,2,0)</f>
        <v>1</v>
      </c>
      <c r="P15" s="33" t="str">
        <f>IF(COUNTIFS(户型资产表!E:E,I15,户型资产表!H:H,"阳台门")&gt;0,"有","无")</f>
        <v>无</v>
      </c>
      <c r="Q15" s="33">
        <f>VLOOKUP($P$1&amp;P15,【1】定价因子!E:F,2,0)</f>
        <v>1</v>
      </c>
      <c r="R15" s="33" t="str">
        <f>IF('【2】运营中心填-基本信息&amp;审核标准'!$D$4="是","无",IF(INT(H15/100)&gt;9,"9F",INT(H15/100)&amp;"F"))</f>
        <v>无</v>
      </c>
      <c r="S15" s="33">
        <f>VLOOKUP(R15,【1】定价因子!D:F,3,0)</f>
        <v>1</v>
      </c>
      <c r="T15" s="33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2-3F</v>
      </c>
      <c r="U15" s="33">
        <f>VLOOKUP($T$1&amp;T15,【1】定价因子!E:F,2,0)</f>
        <v>0.99</v>
      </c>
      <c r="V15" s="33" t="str">
        <f>IF(COUNTIFS(户型资产表!E:E,I15,户型资产表!H:H,"操作台")&gt;0,"有","无")</f>
        <v>有</v>
      </c>
      <c r="W15" s="33" t="str">
        <f>IF(COUNTIFS(户型资产表!E:E,I15,户型资产表!H:H,"书桌")&gt;0,"有","无")</f>
        <v>有</v>
      </c>
      <c r="X15" s="33" t="str">
        <f t="array" ref="X15">IF(SUMPRODUCT((户型资产表!E:E=I15)*((户型资产表!I:I="沙发01单人")+(户型资产表!I:I="单人沙发02")))&gt;0,"有","无")</f>
        <v>无</v>
      </c>
      <c r="Y15" s="33" t="str">
        <f t="array" ref="Y15">IF(SUMPRODUCT((户型资产表!E:E=I15)*((户型资产表!I:I="沙发02两人")+(户型资产表!I:I="双人沙发01")))&gt;0,"有","无")</f>
        <v>无</v>
      </c>
      <c r="Z15" s="33" t="str">
        <f>IF(COUNTIFS(户型资产表!E:E,I15,户型资产表!H:H,"餐桌")&gt;0,"有","无")</f>
        <v>无</v>
      </c>
      <c r="AA15" s="33" t="str">
        <f>IF(COUNTIFS(户型资产表!E:E,I15,户型资产表!H:H,"吸油烟机")&gt;0,"有","无")</f>
        <v>无</v>
      </c>
      <c r="AB15" s="33" t="str">
        <f>IF(COUNTIFS(户型资产表!E:E,I15,户型资产表!H:H,"冰箱")&gt;0,"有","无")</f>
        <v>无</v>
      </c>
      <c r="AC15" s="33" t="str">
        <f>IF(COUNTIFS(户型资产表!E:E,I15,户型资产表!H:H,"电视柜")&gt;0,"有","无")</f>
        <v>无</v>
      </c>
      <c r="AD15" s="41" t="str">
        <f t="shared" si="5"/>
        <v>适中</v>
      </c>
      <c r="AE15" s="33">
        <f>VLOOKUP($AD$1&amp;AD15,【1】定价因子!E:F,2,0)</f>
        <v>1</v>
      </c>
      <c r="AF15" s="41" t="str">
        <f t="shared" si="6"/>
        <v>适中</v>
      </c>
      <c r="AG15" s="33">
        <f>VLOOKUP($AF$1&amp;AF15,【1】定价因子!E:F,2,0)</f>
        <v>1</v>
      </c>
      <c r="AH15" s="41" t="str">
        <f t="shared" si="7"/>
        <v>适中</v>
      </c>
      <c r="AI15" s="33">
        <f>VLOOKUP($AH$1&amp;AH15,【1】定价因子!E:F,2,0)</f>
        <v>1</v>
      </c>
      <c r="AJ15" s="33" t="str">
        <f>VLOOKUP(H15,'【3-1】大区填-采光基本要素'!A:H,8,0)</f>
        <v>1</v>
      </c>
      <c r="AK15" s="33">
        <f>VLOOKUP($AJ$1&amp;AJ15,【1】定价因子!E:F,2,0)</f>
        <v>0.91</v>
      </c>
      <c r="AL15" s="34">
        <f t="shared" si="8"/>
        <v>1484.57365056</v>
      </c>
      <c r="AM15" s="42">
        <v>1430</v>
      </c>
      <c r="AN15" s="43">
        <f t="shared" si="9"/>
        <v>-0.0367604871199312</v>
      </c>
    </row>
    <row r="16" spans="1:41">
      <c r="A16" s="37" t="str">
        <f>'【2】运营中心填-基本信息&amp;审核标准'!$E$2</f>
        <v>兴围西4-11栋</v>
      </c>
      <c r="B16" s="13">
        <f t="shared" si="2"/>
        <v>2</v>
      </c>
      <c r="C16" s="13">
        <f t="shared" si="0"/>
        <v>8</v>
      </c>
      <c r="D16" s="13">
        <f t="shared" si="1"/>
        <v>64</v>
      </c>
      <c r="E16" s="13"/>
      <c r="F16" s="13">
        <f t="shared" si="3"/>
        <v>8</v>
      </c>
      <c r="G16" s="13"/>
      <c r="H16" s="38">
        <v>208</v>
      </c>
      <c r="I16" s="39" t="s">
        <v>504</v>
      </c>
      <c r="J16" s="39" t="s">
        <v>43</v>
      </c>
      <c r="K16" s="13"/>
      <c r="L16" s="40">
        <f>VLOOKUP(J16,'【3】大区填-楼栋基准格局定价'!B:H,7,0)</f>
        <v>2445.5088</v>
      </c>
      <c r="M16" s="41" t="str">
        <f t="shared" si="4"/>
        <v>很狭小</v>
      </c>
      <c r="N16" s="41">
        <v>19.88</v>
      </c>
      <c r="O16" s="33">
        <f>VLOOKUP($M$1&amp;M16,【1】定价因子!E:F,2,0)</f>
        <v>0.9</v>
      </c>
      <c r="P16" s="33" t="str">
        <f>IF(COUNTIFS(户型资产表!E:E,I16,户型资产表!H:H,"阳台门")&gt;0,"有","无")</f>
        <v>无</v>
      </c>
      <c r="Q16" s="33">
        <f>VLOOKUP($P$1&amp;P16,【1】定价因子!E:F,2,0)</f>
        <v>1</v>
      </c>
      <c r="R16" s="33" t="str">
        <f>IF('【2】运营中心填-基本信息&amp;审核标准'!$D$4="是","无",IF(INT(H16/100)&gt;9,"9F",INT(H16/100)&amp;"F"))</f>
        <v>无</v>
      </c>
      <c r="S16" s="33">
        <f>VLOOKUP(R16,【1】定价因子!D:F,3,0)</f>
        <v>1</v>
      </c>
      <c r="T16" s="33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2-3F</v>
      </c>
      <c r="U16" s="33">
        <f>VLOOKUP($T$1&amp;T16,【1】定价因子!E:F,2,0)</f>
        <v>0.99</v>
      </c>
      <c r="V16" s="33" t="str">
        <f>IF(COUNTIFS(户型资产表!E:E,I16,户型资产表!H:H,"操作台")&gt;0,"有","无")</f>
        <v>有</v>
      </c>
      <c r="W16" s="33" t="str">
        <f>IF(COUNTIFS(户型资产表!E:E,I16,户型资产表!H:H,"书桌")&gt;0,"有","无")</f>
        <v>无</v>
      </c>
      <c r="X16" s="33" t="str">
        <f t="array" ref="X16">IF(SUMPRODUCT((户型资产表!E:E=I16)*((户型资产表!I:I="沙发01单人")+(户型资产表!I:I="单人沙发02")))&gt;0,"有","无")</f>
        <v>无</v>
      </c>
      <c r="Y16" s="33" t="str">
        <f t="array" ref="Y16">IF(SUMPRODUCT((户型资产表!E:E=I16)*((户型资产表!I:I="沙发02两人")+(户型资产表!I:I="双人沙发01")))&gt;0,"有","无")</f>
        <v>有</v>
      </c>
      <c r="Z16" s="33" t="str">
        <f>IF(COUNTIFS(户型资产表!E:E,I16,户型资产表!H:H,"餐桌")&gt;0,"有","无")</f>
        <v>有</v>
      </c>
      <c r="AA16" s="33" t="str">
        <f>IF(COUNTIFS(户型资产表!E:E,I16,户型资产表!H:H,"吸油烟机")&gt;0,"有","无")</f>
        <v>有</v>
      </c>
      <c r="AB16" s="33" t="str">
        <f>IF(COUNTIFS(户型资产表!E:E,I16,户型资产表!H:H,"冰箱")&gt;0,"有","无")</f>
        <v>无</v>
      </c>
      <c r="AC16" s="33" t="str">
        <f>IF(COUNTIFS(户型资产表!E:E,I16,户型资产表!H:H,"电视柜")&gt;0,"有","无")</f>
        <v>无</v>
      </c>
      <c r="AD16" s="41" t="str">
        <f t="shared" si="5"/>
        <v>适中</v>
      </c>
      <c r="AE16" s="33">
        <f>VLOOKUP($AD$1&amp;AD16,【1】定价因子!E:F,2,0)</f>
        <v>1</v>
      </c>
      <c r="AF16" s="41" t="s">
        <v>63</v>
      </c>
      <c r="AG16" s="33">
        <f>VLOOKUP($AF$1&amp;AF16,【1】定价因子!E:F,2,0)</f>
        <v>1</v>
      </c>
      <c r="AH16" s="41" t="str">
        <f t="shared" si="7"/>
        <v>适中</v>
      </c>
      <c r="AI16" s="33">
        <f>VLOOKUP($AH$1&amp;AH16,【1】定价因子!E:F,2,0)</f>
        <v>1</v>
      </c>
      <c r="AJ16" s="33" t="str">
        <f>VLOOKUP(H16,'【3-1】大区填-采光基本要素'!A:H,8,0)</f>
        <v>2</v>
      </c>
      <c r="AK16" s="33">
        <f>VLOOKUP($AJ$1&amp;AJ16,【1】定价因子!E:F,2,0)</f>
        <v>0.96</v>
      </c>
      <c r="AL16" s="34">
        <f t="shared" si="8"/>
        <v>2091.790407168</v>
      </c>
      <c r="AM16" s="42">
        <v>2080</v>
      </c>
      <c r="AN16" s="43">
        <f t="shared" si="9"/>
        <v>-0.00563651459897585</v>
      </c>
    </row>
    <row r="17" spans="1:40">
      <c r="A17" s="37" t="str">
        <f>'【2】运营中心填-基本信息&amp;审核标准'!$E$2</f>
        <v>兴围西4-11栋</v>
      </c>
      <c r="B17" s="13">
        <f t="shared" si="2"/>
        <v>3</v>
      </c>
      <c r="C17" s="13">
        <f t="shared" si="0"/>
        <v>8</v>
      </c>
      <c r="D17" s="13">
        <f t="shared" si="1"/>
        <v>64</v>
      </c>
      <c r="E17" s="13"/>
      <c r="F17" s="13">
        <f t="shared" si="3"/>
        <v>8</v>
      </c>
      <c r="G17" s="13"/>
      <c r="H17" s="38">
        <v>301</v>
      </c>
      <c r="I17" s="39" t="s">
        <v>505</v>
      </c>
      <c r="J17" s="39" t="s">
        <v>40</v>
      </c>
      <c r="K17" s="13"/>
      <c r="L17" s="40">
        <f>VLOOKUP(J17,'【3】大区填-楼栋基准格局定价'!B:H,7,0)</f>
        <v>1647.8784</v>
      </c>
      <c r="M17" s="41" t="str">
        <f t="shared" si="4"/>
        <v>较狭小</v>
      </c>
      <c r="N17" s="41">
        <v>10.96</v>
      </c>
      <c r="O17" s="33">
        <f>VLOOKUP($M$1&amp;M17,【1】定价因子!E:F,2,0)</f>
        <v>0.95</v>
      </c>
      <c r="P17" s="33" t="str">
        <f>IF(COUNTIFS(户型资产表!E:E,I17,户型资产表!H:H,"阳台门")&gt;0,"有","无")</f>
        <v>无</v>
      </c>
      <c r="Q17" s="33">
        <f>VLOOKUP($P$1&amp;P17,【1】定价因子!E:F,2,0)</f>
        <v>1</v>
      </c>
      <c r="R17" s="33" t="str">
        <f>IF('【2】运营中心填-基本信息&amp;审核标准'!$D$4="是","无",IF(INT(H17/100)&gt;9,"9F",INT(H17/100)&amp;"F"))</f>
        <v>无</v>
      </c>
      <c r="S17" s="33">
        <f>VLOOKUP(R17,【1】定价因子!D:F,3,0)</f>
        <v>1</v>
      </c>
      <c r="T17" s="33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2-3F</v>
      </c>
      <c r="U17" s="33">
        <f>VLOOKUP($T$1&amp;T17,【1】定价因子!E:F,2,0)</f>
        <v>0.99</v>
      </c>
      <c r="V17" s="33" t="str">
        <f>IF(COUNTIFS(户型资产表!E:E,I17,户型资产表!H:H,"操作台")&gt;0,"有","无")</f>
        <v>有</v>
      </c>
      <c r="W17" s="33" t="str">
        <f>IF(COUNTIFS(户型资产表!E:E,I17,户型资产表!H:H,"书桌")&gt;0,"有","无")</f>
        <v>有</v>
      </c>
      <c r="X17" s="33" t="str">
        <f t="array" ref="X17">IF(SUMPRODUCT((户型资产表!E:E=I17)*((户型资产表!I:I="沙发01单人")+(户型资产表!I:I="单人沙发02")))&gt;0,"有","无")</f>
        <v>无</v>
      </c>
      <c r="Y17" s="33" t="str">
        <f t="array" ref="Y17">IF(SUMPRODUCT((户型资产表!E:E=I17)*((户型资产表!I:I="沙发02两人")+(户型资产表!I:I="双人沙发01")))&gt;0,"有","无")</f>
        <v>无</v>
      </c>
      <c r="Z17" s="33" t="str">
        <f>IF(COUNTIFS(户型资产表!E:E,I17,户型资产表!H:H,"餐桌")&gt;0,"有","无")</f>
        <v>无</v>
      </c>
      <c r="AA17" s="33" t="str">
        <f>IF(COUNTIFS(户型资产表!E:E,I17,户型资产表!H:H,"吸油烟机")&gt;0,"有","无")</f>
        <v>无</v>
      </c>
      <c r="AB17" s="33" t="str">
        <f>IF(COUNTIFS(户型资产表!E:E,I17,户型资产表!H:H,"冰箱")&gt;0,"有","无")</f>
        <v>无</v>
      </c>
      <c r="AC17" s="33" t="str">
        <f>IF(COUNTIFS(户型资产表!E:E,I17,户型资产表!H:H,"电视柜")&gt;0,"有","无")</f>
        <v>无</v>
      </c>
      <c r="AD17" s="41" t="str">
        <f t="shared" si="5"/>
        <v>适中</v>
      </c>
      <c r="AE17" s="33">
        <f>VLOOKUP($AD$1&amp;AD17,【1】定价因子!E:F,2,0)</f>
        <v>1</v>
      </c>
      <c r="AF17" s="41" t="str">
        <f t="shared" si="6"/>
        <v>适中</v>
      </c>
      <c r="AG17" s="33">
        <f>VLOOKUP($AF$1&amp;AF17,【1】定价因子!E:F,2,0)</f>
        <v>1</v>
      </c>
      <c r="AH17" s="41" t="str">
        <f t="shared" si="7"/>
        <v>适中</v>
      </c>
      <c r="AI17" s="33">
        <f>VLOOKUP($AH$1&amp;AH17,【1】定价因子!E:F,2,0)</f>
        <v>1</v>
      </c>
      <c r="AJ17" s="33" t="str">
        <f>VLOOKUP(H17,'【3-1】大区填-采光基本要素'!A:H,8,0)</f>
        <v>5</v>
      </c>
      <c r="AK17" s="33">
        <f>VLOOKUP($AJ$1&amp;AJ17,【1】定价因子!E:F,2,0)</f>
        <v>1.06</v>
      </c>
      <c r="AL17" s="34">
        <f t="shared" si="8"/>
        <v>1642.819413312</v>
      </c>
      <c r="AM17" s="42">
        <v>1500</v>
      </c>
      <c r="AN17" s="43">
        <f t="shared" si="9"/>
        <v>-0.0869355524744314</v>
      </c>
    </row>
    <row r="18" spans="1:40">
      <c r="A18" s="37" t="str">
        <f>'【2】运营中心填-基本信息&amp;审核标准'!$E$2</f>
        <v>兴围西4-11栋</v>
      </c>
      <c r="B18" s="13">
        <f t="shared" si="2"/>
        <v>3</v>
      </c>
      <c r="C18" s="13">
        <f t="shared" si="0"/>
        <v>8</v>
      </c>
      <c r="D18" s="13">
        <f t="shared" si="1"/>
        <v>64</v>
      </c>
      <c r="E18" s="13"/>
      <c r="F18" s="13">
        <f t="shared" si="3"/>
        <v>8</v>
      </c>
      <c r="G18" s="13"/>
      <c r="H18" s="38">
        <v>302</v>
      </c>
      <c r="I18" s="39" t="s">
        <v>499</v>
      </c>
      <c r="J18" s="39" t="s">
        <v>43</v>
      </c>
      <c r="K18" s="13"/>
      <c r="L18" s="40">
        <f>VLOOKUP(J18,'【3】大区填-楼栋基准格局定价'!B:H,7,0)</f>
        <v>2445.5088</v>
      </c>
      <c r="M18" s="41" t="str">
        <f t="shared" si="4"/>
        <v>很狭小</v>
      </c>
      <c r="N18" s="41">
        <v>18.86</v>
      </c>
      <c r="O18" s="33">
        <f>VLOOKUP($M$1&amp;M18,【1】定价因子!E:F,2,0)</f>
        <v>0.9</v>
      </c>
      <c r="P18" s="33" t="str">
        <f>IF(COUNTIFS(户型资产表!E:E,I18,户型资产表!H:H,"阳台门")&gt;0,"有","无")</f>
        <v>无</v>
      </c>
      <c r="Q18" s="33">
        <f>VLOOKUP($P$1&amp;P18,【1】定价因子!E:F,2,0)</f>
        <v>1</v>
      </c>
      <c r="R18" s="33" t="str">
        <f>IF('【2】运营中心填-基本信息&amp;审核标准'!$D$4="是","无",IF(INT(H18/100)&gt;9,"9F",INT(H18/100)&amp;"F"))</f>
        <v>无</v>
      </c>
      <c r="S18" s="33">
        <f>VLOOKUP(R18,【1】定价因子!D:F,3,0)</f>
        <v>1</v>
      </c>
      <c r="T18" s="33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2-3F</v>
      </c>
      <c r="U18" s="33">
        <f>VLOOKUP($T$1&amp;T18,【1】定价因子!E:F,2,0)</f>
        <v>0.99</v>
      </c>
      <c r="V18" s="33" t="str">
        <f>IF(COUNTIFS(户型资产表!E:E,I18,户型资产表!H:H,"操作台")&gt;0,"有","无")</f>
        <v>有</v>
      </c>
      <c r="W18" s="33" t="str">
        <f>IF(COUNTIFS(户型资产表!E:E,I18,户型资产表!H:H,"书桌")&gt;0,"有","无")</f>
        <v>有</v>
      </c>
      <c r="X18" s="33" t="str">
        <f t="array" ref="X18">IF(SUMPRODUCT((户型资产表!E:E=I18)*((户型资产表!I:I="沙发01单人")+(户型资产表!I:I="单人沙发02")))&gt;0,"有","无")</f>
        <v>无</v>
      </c>
      <c r="Y18" s="33" t="str">
        <f t="array" ref="Y18">IF(SUMPRODUCT((户型资产表!E:E=I18)*((户型资产表!I:I="沙发02两人")+(户型资产表!I:I="双人沙发01")))&gt;0,"有","无")</f>
        <v>有</v>
      </c>
      <c r="Z18" s="33" t="str">
        <f>IF(COUNTIFS(户型资产表!E:E,I18,户型资产表!H:H,"餐桌")&gt;0,"有","无")</f>
        <v>有</v>
      </c>
      <c r="AA18" s="33" t="str">
        <f>IF(COUNTIFS(户型资产表!E:E,I18,户型资产表!H:H,"吸油烟机")&gt;0,"有","无")</f>
        <v>无</v>
      </c>
      <c r="AB18" s="33" t="str">
        <f>IF(COUNTIFS(户型资产表!E:E,I18,户型资产表!H:H,"冰箱")&gt;0,"有","无")</f>
        <v>无</v>
      </c>
      <c r="AC18" s="33" t="str">
        <f>IF(COUNTIFS(户型资产表!E:E,I18,户型资产表!H:H,"电视柜")&gt;0,"有","无")</f>
        <v>无</v>
      </c>
      <c r="AD18" s="41" t="str">
        <f t="shared" si="5"/>
        <v>适中</v>
      </c>
      <c r="AE18" s="33">
        <f>VLOOKUP($AD$1&amp;AD18,【1】定价因子!E:F,2,0)</f>
        <v>1</v>
      </c>
      <c r="AF18" s="41" t="s">
        <v>63</v>
      </c>
      <c r="AG18" s="33">
        <f>VLOOKUP($AF$1&amp;AF18,【1】定价因子!E:F,2,0)</f>
        <v>1</v>
      </c>
      <c r="AH18" s="41" t="str">
        <f t="shared" si="7"/>
        <v>适中</v>
      </c>
      <c r="AI18" s="33">
        <f>VLOOKUP($AH$1&amp;AH18,【1】定价因子!E:F,2,0)</f>
        <v>1</v>
      </c>
      <c r="AJ18" s="33" t="str">
        <f>VLOOKUP(H18,'【3-1】大区填-采光基本要素'!A:H,8,0)</f>
        <v>2</v>
      </c>
      <c r="AK18" s="33">
        <f>VLOOKUP($AJ$1&amp;AJ18,【1】定价因子!E:F,2,0)</f>
        <v>0.96</v>
      </c>
      <c r="AL18" s="34">
        <f t="shared" si="8"/>
        <v>2091.790407168</v>
      </c>
      <c r="AM18" s="42">
        <v>1980</v>
      </c>
      <c r="AN18" s="43">
        <f t="shared" si="9"/>
        <v>-0.053442451397102</v>
      </c>
    </row>
    <row r="19" spans="1:40">
      <c r="A19" s="37" t="str">
        <f>'【2】运营中心填-基本信息&amp;审核标准'!$E$2</f>
        <v>兴围西4-11栋</v>
      </c>
      <c r="B19" s="13">
        <f t="shared" si="2"/>
        <v>3</v>
      </c>
      <c r="C19" s="13">
        <f t="shared" si="0"/>
        <v>8</v>
      </c>
      <c r="D19" s="13">
        <f t="shared" si="1"/>
        <v>64</v>
      </c>
      <c r="E19" s="13"/>
      <c r="F19" s="13">
        <f t="shared" si="3"/>
        <v>8</v>
      </c>
      <c r="G19" s="13"/>
      <c r="H19" s="38">
        <v>303</v>
      </c>
      <c r="I19" s="39" t="s">
        <v>506</v>
      </c>
      <c r="J19" s="39" t="s">
        <v>40</v>
      </c>
      <c r="K19" s="13"/>
      <c r="L19" s="40">
        <f>VLOOKUP(J19,'【3】大区填-楼栋基准格局定价'!B:H,7,0)</f>
        <v>1647.8784</v>
      </c>
      <c r="M19" s="41" t="str">
        <f t="shared" si="4"/>
        <v>适中</v>
      </c>
      <c r="N19" s="41">
        <v>13.87</v>
      </c>
      <c r="O19" s="33">
        <f>VLOOKUP($M$1&amp;M19,【1】定价因子!E:F,2,0)</f>
        <v>1</v>
      </c>
      <c r="P19" s="33" t="str">
        <f>IF(COUNTIFS(户型资产表!E:E,I19,户型资产表!H:H,"阳台门")&gt;0,"有","无")</f>
        <v>有</v>
      </c>
      <c r="Q19" s="33">
        <f>VLOOKUP($P$1&amp;P19,【1】定价因子!E:F,2,0)</f>
        <v>1.07</v>
      </c>
      <c r="R19" s="33" t="str">
        <f>IF('【2】运营中心填-基本信息&amp;审核标准'!$D$4="是","无",IF(INT(H19/100)&gt;9,"9F",INT(H19/100)&amp;"F"))</f>
        <v>无</v>
      </c>
      <c r="S19" s="33">
        <f>VLOOKUP(R19,【1】定价因子!D:F,3,0)</f>
        <v>1</v>
      </c>
      <c r="T19" s="33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2-3F</v>
      </c>
      <c r="U19" s="33">
        <f>VLOOKUP($T$1&amp;T19,【1】定价因子!E:F,2,0)</f>
        <v>0.99</v>
      </c>
      <c r="V19" s="33" t="str">
        <f>IF(COUNTIFS(户型资产表!E:E,I19,户型资产表!H:H,"操作台")&gt;0,"有","无")</f>
        <v>有</v>
      </c>
      <c r="W19" s="33" t="str">
        <f>IF(COUNTIFS(户型资产表!E:E,I19,户型资产表!H:H,"书桌")&gt;0,"有","无")</f>
        <v>有</v>
      </c>
      <c r="X19" s="33" t="str">
        <f t="array" ref="X19">IF(SUMPRODUCT((户型资产表!E:E=I19)*((户型资产表!I:I="沙发01单人")+(户型资产表!I:I="单人沙发02")))&gt;0,"有","无")</f>
        <v>无</v>
      </c>
      <c r="Y19" s="33" t="str">
        <f t="array" ref="Y19">IF(SUMPRODUCT((户型资产表!E:E=I19)*((户型资产表!I:I="沙发02两人")+(户型资产表!I:I="双人沙发01")))&gt;0,"有","无")</f>
        <v>无</v>
      </c>
      <c r="Z19" s="33" t="str">
        <f>IF(COUNTIFS(户型资产表!E:E,I19,户型资产表!H:H,"餐桌")&gt;0,"有","无")</f>
        <v>无</v>
      </c>
      <c r="AA19" s="33" t="str">
        <f>IF(COUNTIFS(户型资产表!E:E,I19,户型资产表!H:H,"吸油烟机")&gt;0,"有","无")</f>
        <v>无</v>
      </c>
      <c r="AB19" s="33" t="str">
        <f>IF(COUNTIFS(户型资产表!E:E,I19,户型资产表!H:H,"冰箱")&gt;0,"有","无")</f>
        <v>无</v>
      </c>
      <c r="AC19" s="33" t="str">
        <f>IF(COUNTIFS(户型资产表!E:E,I19,户型资产表!H:H,"电视柜")&gt;0,"有","无")</f>
        <v>无</v>
      </c>
      <c r="AD19" s="41" t="str">
        <f t="shared" si="5"/>
        <v>适中</v>
      </c>
      <c r="AE19" s="33">
        <f>VLOOKUP($AD$1&amp;AD19,【1】定价因子!E:F,2,0)</f>
        <v>1</v>
      </c>
      <c r="AF19" s="41" t="str">
        <f t="shared" si="6"/>
        <v>适中</v>
      </c>
      <c r="AG19" s="33">
        <f>VLOOKUP($AF$1&amp;AF19,【1】定价因子!E:F,2,0)</f>
        <v>1</v>
      </c>
      <c r="AH19" s="41" t="str">
        <f t="shared" si="7"/>
        <v>适中</v>
      </c>
      <c r="AI19" s="33">
        <f>VLOOKUP($AH$1&amp;AH19,【1】定价因子!E:F,2,0)</f>
        <v>1</v>
      </c>
      <c r="AJ19" s="33" t="str">
        <f>VLOOKUP(H19,'【3-1】大区填-采光基本要素'!A:H,8,0)</f>
        <v>2</v>
      </c>
      <c r="AK19" s="33">
        <f>VLOOKUP($AJ$1&amp;AJ19,【1】定价因子!E:F,2,0)</f>
        <v>0.96</v>
      </c>
      <c r="AL19" s="34">
        <f t="shared" si="8"/>
        <v>1675.7736855552</v>
      </c>
      <c r="AM19" s="42">
        <v>1520</v>
      </c>
      <c r="AN19" s="43">
        <f t="shared" si="9"/>
        <v>-0.0929562785822065</v>
      </c>
    </row>
    <row r="20" spans="1:40">
      <c r="A20" s="37" t="str">
        <f>'【2】运营中心填-基本信息&amp;审核标准'!$E$2</f>
        <v>兴围西4-11栋</v>
      </c>
      <c r="B20" s="13">
        <f t="shared" si="2"/>
        <v>3</v>
      </c>
      <c r="C20" s="13">
        <f t="shared" si="0"/>
        <v>8</v>
      </c>
      <c r="D20" s="13">
        <f t="shared" si="1"/>
        <v>64</v>
      </c>
      <c r="E20" s="13"/>
      <c r="F20" s="13">
        <f t="shared" si="3"/>
        <v>8</v>
      </c>
      <c r="G20" s="13"/>
      <c r="H20" s="38">
        <v>304</v>
      </c>
      <c r="I20" s="39" t="s">
        <v>507</v>
      </c>
      <c r="J20" s="39" t="s">
        <v>40</v>
      </c>
      <c r="K20" s="13"/>
      <c r="L20" s="40">
        <f>VLOOKUP(J20,'【3】大区填-楼栋基准格局定价'!B:H,7,0)</f>
        <v>1647.8784</v>
      </c>
      <c r="M20" s="41" t="s">
        <v>63</v>
      </c>
      <c r="N20" s="41">
        <v>19.76</v>
      </c>
      <c r="O20" s="33">
        <f>VLOOKUP($M$1&amp;M20,【1】定价因子!E:F,2,0)</f>
        <v>1</v>
      </c>
      <c r="P20" s="33" t="str">
        <f>IF(COUNTIFS(户型资产表!E:E,I20,户型资产表!H:H,"阳台门")&gt;0,"有","无")</f>
        <v>无</v>
      </c>
      <c r="Q20" s="33">
        <f>VLOOKUP($P$1&amp;P20,【1】定价因子!E:F,2,0)</f>
        <v>1</v>
      </c>
      <c r="R20" s="33" t="str">
        <f>IF('【2】运营中心填-基本信息&amp;审核标准'!$D$4="是","无",IF(INT(H20/100)&gt;9,"9F",INT(H20/100)&amp;"F"))</f>
        <v>无</v>
      </c>
      <c r="S20" s="33">
        <f>VLOOKUP(R20,【1】定价因子!D:F,3,0)</f>
        <v>1</v>
      </c>
      <c r="T20" s="33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2-3F</v>
      </c>
      <c r="U20" s="33">
        <f>VLOOKUP($T$1&amp;T20,【1】定价因子!E:F,2,0)</f>
        <v>0.99</v>
      </c>
      <c r="V20" s="33" t="str">
        <f>IF(COUNTIFS(户型资产表!E:E,I20,户型资产表!H:H,"操作台")&gt;0,"有","无")</f>
        <v>有</v>
      </c>
      <c r="W20" s="33" t="str">
        <f>IF(COUNTIFS(户型资产表!E:E,I20,户型资产表!H:H,"书桌")&gt;0,"有","无")</f>
        <v>有</v>
      </c>
      <c r="X20" s="33" t="str">
        <f t="array" ref="X20">IF(SUMPRODUCT((户型资产表!E:E=I20)*((户型资产表!I:I="沙发01单人")+(户型资产表!I:I="单人沙发02")))&gt;0,"有","无")</f>
        <v>无</v>
      </c>
      <c r="Y20" s="33" t="str">
        <f t="array" ref="Y20">IF(SUMPRODUCT((户型资产表!E:E=I20)*((户型资产表!I:I="沙发02两人")+(户型资产表!I:I="双人沙发01")))&gt;0,"有","无")</f>
        <v>无</v>
      </c>
      <c r="Z20" s="33" t="str">
        <f>IF(COUNTIFS(户型资产表!E:E,I20,户型资产表!H:H,"餐桌")&gt;0,"有","无")</f>
        <v>无</v>
      </c>
      <c r="AA20" s="33" t="str">
        <f>IF(COUNTIFS(户型资产表!E:E,I20,户型资产表!H:H,"吸油烟机")&gt;0,"有","无")</f>
        <v>无</v>
      </c>
      <c r="AB20" s="33" t="str">
        <f>IF(COUNTIFS(户型资产表!E:E,I20,户型资产表!H:H,"冰箱")&gt;0,"有","无")</f>
        <v>无</v>
      </c>
      <c r="AC20" s="33" t="str">
        <f>IF(COUNTIFS(户型资产表!E:E,I20,户型资产表!H:H,"电视柜")&gt;0,"有","无")</f>
        <v>无</v>
      </c>
      <c r="AD20" s="41" t="str">
        <f t="shared" si="5"/>
        <v>适中</v>
      </c>
      <c r="AE20" s="33">
        <f>VLOOKUP($AD$1&amp;AD20,【1】定价因子!E:F,2,0)</f>
        <v>1</v>
      </c>
      <c r="AF20" s="41" t="str">
        <f t="shared" si="6"/>
        <v>适中</v>
      </c>
      <c r="AG20" s="33">
        <f>VLOOKUP($AF$1&amp;AF20,【1】定价因子!E:F,2,0)</f>
        <v>1</v>
      </c>
      <c r="AH20" s="41" t="str">
        <f t="shared" si="7"/>
        <v>适中</v>
      </c>
      <c r="AI20" s="33">
        <f>VLOOKUP($AH$1&amp;AH20,【1】定价因子!E:F,2,0)</f>
        <v>1</v>
      </c>
      <c r="AJ20" s="33" t="str">
        <f>VLOOKUP(H20,'【3-1】大区填-采光基本要素'!A:H,8,0)</f>
        <v>1</v>
      </c>
      <c r="AK20" s="33">
        <f>VLOOKUP($AJ$1&amp;AJ20,【1】定价因子!E:F,2,0)</f>
        <v>0.91</v>
      </c>
      <c r="AL20" s="34">
        <f t="shared" si="8"/>
        <v>1484.57365056</v>
      </c>
      <c r="AM20" s="42">
        <v>1430</v>
      </c>
      <c r="AN20" s="43">
        <f t="shared" si="9"/>
        <v>-0.0367604871199312</v>
      </c>
    </row>
    <row r="21" spans="1:40">
      <c r="A21" s="37" t="str">
        <f>'【2】运营中心填-基本信息&amp;审核标准'!$E$2</f>
        <v>兴围西4-11栋</v>
      </c>
      <c r="B21" s="13">
        <f t="shared" si="2"/>
        <v>3</v>
      </c>
      <c r="C21" s="13">
        <f t="shared" si="0"/>
        <v>8</v>
      </c>
      <c r="D21" s="13">
        <f t="shared" si="1"/>
        <v>64</v>
      </c>
      <c r="E21" s="13"/>
      <c r="F21" s="13">
        <f t="shared" si="3"/>
        <v>8</v>
      </c>
      <c r="G21" s="13"/>
      <c r="H21" s="38">
        <v>305</v>
      </c>
      <c r="I21" s="39" t="s">
        <v>502</v>
      </c>
      <c r="J21" s="39" t="s">
        <v>40</v>
      </c>
      <c r="K21" s="13"/>
      <c r="L21" s="40">
        <f>VLOOKUP(J21,'【3】大区填-楼栋基准格局定价'!B:H,7,0)</f>
        <v>1647.8784</v>
      </c>
      <c r="M21" s="41" t="str">
        <f t="shared" si="4"/>
        <v>适中</v>
      </c>
      <c r="N21" s="41">
        <v>13.79</v>
      </c>
      <c r="O21" s="33">
        <f>VLOOKUP($M$1&amp;M21,【1】定价因子!E:F,2,0)</f>
        <v>1</v>
      </c>
      <c r="P21" s="33" t="str">
        <f>IF(COUNTIFS(户型资产表!E:E,I21,户型资产表!H:H,"阳台门")&gt;0,"有","无")</f>
        <v>无</v>
      </c>
      <c r="Q21" s="33">
        <f>VLOOKUP($P$1&amp;P21,【1】定价因子!E:F,2,0)</f>
        <v>1</v>
      </c>
      <c r="R21" s="33" t="str">
        <f>IF('【2】运营中心填-基本信息&amp;审核标准'!$D$4="是","无",IF(INT(H21/100)&gt;9,"9F",INT(H21/100)&amp;"F"))</f>
        <v>无</v>
      </c>
      <c r="S21" s="33">
        <f>VLOOKUP(R21,【1】定价因子!D:F,3,0)</f>
        <v>1</v>
      </c>
      <c r="T21" s="33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2-3F</v>
      </c>
      <c r="U21" s="33">
        <f>VLOOKUP($T$1&amp;T21,【1】定价因子!E:F,2,0)</f>
        <v>0.99</v>
      </c>
      <c r="V21" s="33" t="str">
        <f>IF(COUNTIFS(户型资产表!E:E,I21,户型资产表!H:H,"操作台")&gt;0,"有","无")</f>
        <v>有</v>
      </c>
      <c r="W21" s="33" t="str">
        <f>IF(COUNTIFS(户型资产表!E:E,I21,户型资产表!H:H,"书桌")&gt;0,"有","无")</f>
        <v>有</v>
      </c>
      <c r="X21" s="33" t="str">
        <f t="array" ref="X21">IF(SUMPRODUCT((户型资产表!E:E=I21)*((户型资产表!I:I="沙发01单人")+(户型资产表!I:I="单人沙发02")))&gt;0,"有","无")</f>
        <v>无</v>
      </c>
      <c r="Y21" s="33" t="str">
        <f t="array" ref="Y21">IF(SUMPRODUCT((户型资产表!E:E=I21)*((户型资产表!I:I="沙发02两人")+(户型资产表!I:I="双人沙发01")))&gt;0,"有","无")</f>
        <v>无</v>
      </c>
      <c r="Z21" s="33" t="str">
        <f>IF(COUNTIFS(户型资产表!E:E,I21,户型资产表!H:H,"餐桌")&gt;0,"有","无")</f>
        <v>无</v>
      </c>
      <c r="AA21" s="33" t="str">
        <f>IF(COUNTIFS(户型资产表!E:E,I21,户型资产表!H:H,"吸油烟机")&gt;0,"有","无")</f>
        <v>无</v>
      </c>
      <c r="AB21" s="33" t="str">
        <f>IF(COUNTIFS(户型资产表!E:E,I21,户型资产表!H:H,"冰箱")&gt;0,"有","无")</f>
        <v>无</v>
      </c>
      <c r="AC21" s="33" t="str">
        <f>IF(COUNTIFS(户型资产表!E:E,I21,户型资产表!H:H,"电视柜")&gt;0,"有","无")</f>
        <v>无</v>
      </c>
      <c r="AD21" s="41" t="str">
        <f t="shared" si="5"/>
        <v>适中</v>
      </c>
      <c r="AE21" s="33">
        <f>VLOOKUP($AD$1&amp;AD21,【1】定价因子!E:F,2,0)</f>
        <v>1</v>
      </c>
      <c r="AF21" s="41" t="str">
        <f t="shared" si="6"/>
        <v>适中</v>
      </c>
      <c r="AG21" s="33">
        <f>VLOOKUP($AF$1&amp;AF21,【1】定价因子!E:F,2,0)</f>
        <v>1</v>
      </c>
      <c r="AH21" s="41" t="str">
        <f t="shared" si="7"/>
        <v>适中</v>
      </c>
      <c r="AI21" s="33">
        <f>VLOOKUP($AH$1&amp;AH21,【1】定价因子!E:F,2,0)</f>
        <v>1</v>
      </c>
      <c r="AJ21" s="33" t="str">
        <f>VLOOKUP(H21,'【3-1】大区填-采光基本要素'!A:H,8,0)</f>
        <v>2</v>
      </c>
      <c r="AK21" s="33">
        <f>VLOOKUP($AJ$1&amp;AJ21,【1】定价因子!E:F,2,0)</f>
        <v>0.96</v>
      </c>
      <c r="AL21" s="34">
        <f t="shared" si="8"/>
        <v>1566.14363136</v>
      </c>
      <c r="AM21" s="42">
        <v>1430</v>
      </c>
      <c r="AN21" s="43">
        <f t="shared" si="9"/>
        <v>-0.0869292117491014</v>
      </c>
    </row>
    <row r="22" spans="1:40">
      <c r="A22" s="37" t="str">
        <f>'【2】运营中心填-基本信息&amp;审核标准'!$E$2</f>
        <v>兴围西4-11栋</v>
      </c>
      <c r="B22" s="13">
        <f t="shared" si="2"/>
        <v>3</v>
      </c>
      <c r="C22" s="13">
        <f t="shared" si="0"/>
        <v>8</v>
      </c>
      <c r="D22" s="13">
        <f t="shared" si="1"/>
        <v>64</v>
      </c>
      <c r="E22" s="13"/>
      <c r="F22" s="13">
        <f t="shared" si="3"/>
        <v>8</v>
      </c>
      <c r="G22" s="13"/>
      <c r="H22" s="38">
        <v>306</v>
      </c>
      <c r="I22" s="39" t="s">
        <v>503</v>
      </c>
      <c r="J22" s="39" t="s">
        <v>43</v>
      </c>
      <c r="K22" s="13"/>
      <c r="L22" s="40">
        <f>VLOOKUP(J22,'【3】大区填-楼栋基准格局定价'!B:H,7,0)</f>
        <v>2445.5088</v>
      </c>
      <c r="M22" s="41" t="str">
        <f t="shared" si="4"/>
        <v>很狭小</v>
      </c>
      <c r="N22" s="41">
        <v>11.35</v>
      </c>
      <c r="O22" s="33">
        <f>VLOOKUP($M$1&amp;M22,【1】定价因子!E:F,2,0)</f>
        <v>0.9</v>
      </c>
      <c r="P22" s="33" t="str">
        <f>IF(COUNTIFS(户型资产表!E:E,I22,户型资产表!H:H,"阳台门")&gt;0,"有","无")</f>
        <v>无</v>
      </c>
      <c r="Q22" s="33">
        <f>VLOOKUP($P$1&amp;P22,【1】定价因子!E:F,2,0)</f>
        <v>1</v>
      </c>
      <c r="R22" s="33" t="str">
        <f>IF('【2】运营中心填-基本信息&amp;审核标准'!$D$4="是","无",IF(INT(H22/100)&gt;9,"9F",INT(H22/100)&amp;"F"))</f>
        <v>无</v>
      </c>
      <c r="S22" s="33">
        <f>VLOOKUP(R22,【1】定价因子!D:F,3,0)</f>
        <v>1</v>
      </c>
      <c r="T22" s="33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2-3F</v>
      </c>
      <c r="U22" s="33">
        <f>VLOOKUP($T$1&amp;T22,【1】定价因子!E:F,2,0)</f>
        <v>0.99</v>
      </c>
      <c r="V22" s="33" t="str">
        <f>IF(COUNTIFS(户型资产表!E:E,I22,户型资产表!H:H,"操作台")&gt;0,"有","无")</f>
        <v>有</v>
      </c>
      <c r="W22" s="33" t="str">
        <f>IF(COUNTIFS(户型资产表!E:E,I22,户型资产表!H:H,"书桌")&gt;0,"有","无")</f>
        <v>无</v>
      </c>
      <c r="X22" s="33" t="str">
        <f t="array" ref="X22">IF(SUMPRODUCT((户型资产表!E:E=I22)*((户型资产表!I:I="沙发01单人")+(户型资产表!I:I="单人沙发02")))&gt;0,"有","无")</f>
        <v>无</v>
      </c>
      <c r="Y22" s="33" t="str">
        <f t="array" ref="Y22">IF(SUMPRODUCT((户型资产表!E:E=I22)*((户型资产表!I:I="沙发02两人")+(户型资产表!I:I="双人沙发01")))&gt;0,"有","无")</f>
        <v>有</v>
      </c>
      <c r="Z22" s="33" t="str">
        <f>IF(COUNTIFS(户型资产表!E:E,I22,户型资产表!H:H,"餐桌")&gt;0,"有","无")</f>
        <v>有</v>
      </c>
      <c r="AA22" s="33" t="str">
        <f>IF(COUNTIFS(户型资产表!E:E,I22,户型资产表!H:H,"吸油烟机")&gt;0,"有","无")</f>
        <v>无</v>
      </c>
      <c r="AB22" s="33" t="str">
        <f>IF(COUNTIFS(户型资产表!E:E,I22,户型资产表!H:H,"冰箱")&gt;0,"有","无")</f>
        <v>无</v>
      </c>
      <c r="AC22" s="33" t="str">
        <f>IF(COUNTIFS(户型资产表!E:E,I22,户型资产表!H:H,"电视柜")&gt;0,"有","无")</f>
        <v>无</v>
      </c>
      <c r="AD22" s="41" t="str">
        <f t="shared" si="5"/>
        <v>适中</v>
      </c>
      <c r="AE22" s="33">
        <f>VLOOKUP($AD$1&amp;AD22,【1】定价因子!E:F,2,0)</f>
        <v>1</v>
      </c>
      <c r="AF22" s="41" t="str">
        <f t="shared" si="6"/>
        <v>适中</v>
      </c>
      <c r="AG22" s="33">
        <f>VLOOKUP($AF$1&amp;AF22,【1】定价因子!E:F,2,0)</f>
        <v>1</v>
      </c>
      <c r="AH22" s="41" t="str">
        <f t="shared" si="7"/>
        <v>适中</v>
      </c>
      <c r="AI22" s="33">
        <f>VLOOKUP($AH$1&amp;AH22,【1】定价因子!E:F,2,0)</f>
        <v>1</v>
      </c>
      <c r="AJ22" s="33" t="str">
        <f>VLOOKUP(H22,'【3-1】大区填-采光基本要素'!A:H,8,0)</f>
        <v>1</v>
      </c>
      <c r="AK22" s="33">
        <f>VLOOKUP($AJ$1&amp;AJ22,【1】定价因子!E:F,2,0)</f>
        <v>0.91</v>
      </c>
      <c r="AL22" s="34">
        <f t="shared" si="8"/>
        <v>1982.842990128</v>
      </c>
      <c r="AM22" s="42">
        <v>1980</v>
      </c>
      <c r="AN22" s="43">
        <f t="shared" si="9"/>
        <v>-0.00143379488045925</v>
      </c>
    </row>
    <row r="23" spans="1:40">
      <c r="A23" s="37" t="str">
        <f>'【2】运营中心填-基本信息&amp;审核标准'!$E$2</f>
        <v>兴围西4-11栋</v>
      </c>
      <c r="B23" s="13">
        <f t="shared" si="2"/>
        <v>3</v>
      </c>
      <c r="C23" s="13">
        <f t="shared" si="0"/>
        <v>8</v>
      </c>
      <c r="D23" s="13">
        <f t="shared" si="1"/>
        <v>64</v>
      </c>
      <c r="E23" s="13"/>
      <c r="F23" s="13">
        <f t="shared" si="3"/>
        <v>8</v>
      </c>
      <c r="G23" s="13"/>
      <c r="H23" s="38">
        <v>307</v>
      </c>
      <c r="I23" s="39" t="s">
        <v>501</v>
      </c>
      <c r="J23" s="39" t="s">
        <v>40</v>
      </c>
      <c r="K23" s="13"/>
      <c r="L23" s="40">
        <f>VLOOKUP(J23,'【3】大区填-楼栋基准格局定价'!B:H,7,0)</f>
        <v>1647.8784</v>
      </c>
      <c r="M23" s="41" t="str">
        <f t="shared" si="4"/>
        <v>适中</v>
      </c>
      <c r="N23" s="41">
        <v>13.81</v>
      </c>
      <c r="O23" s="33">
        <f>VLOOKUP($M$1&amp;M23,【1】定价因子!E:F,2,0)</f>
        <v>1</v>
      </c>
      <c r="P23" s="33" t="str">
        <f>IF(COUNTIFS(户型资产表!E:E,I23,户型资产表!H:H,"阳台门")&gt;0,"有","无")</f>
        <v>无</v>
      </c>
      <c r="Q23" s="33">
        <f>VLOOKUP($P$1&amp;P23,【1】定价因子!E:F,2,0)</f>
        <v>1</v>
      </c>
      <c r="R23" s="33" t="str">
        <f>IF('【2】运营中心填-基本信息&amp;审核标准'!$D$4="是","无",IF(INT(H23/100)&gt;9,"9F",INT(H23/100)&amp;"F"))</f>
        <v>无</v>
      </c>
      <c r="S23" s="33">
        <f>VLOOKUP(R23,【1】定价因子!D:F,3,0)</f>
        <v>1</v>
      </c>
      <c r="T23" s="33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2-3F</v>
      </c>
      <c r="U23" s="33">
        <f>VLOOKUP($T$1&amp;T23,【1】定价因子!E:F,2,0)</f>
        <v>0.99</v>
      </c>
      <c r="V23" s="33" t="str">
        <f>IF(COUNTIFS(户型资产表!E:E,I23,户型资产表!H:H,"操作台")&gt;0,"有","无")</f>
        <v>有</v>
      </c>
      <c r="W23" s="33" t="str">
        <f>IF(COUNTIFS(户型资产表!E:E,I23,户型资产表!H:H,"书桌")&gt;0,"有","无")</f>
        <v>有</v>
      </c>
      <c r="X23" s="33" t="str">
        <f t="array" ref="X23">IF(SUMPRODUCT((户型资产表!E:E=I23)*((户型资产表!I:I="沙发01单人")+(户型资产表!I:I="单人沙发02")))&gt;0,"有","无")</f>
        <v>无</v>
      </c>
      <c r="Y23" s="33" t="str">
        <f t="array" ref="Y23">IF(SUMPRODUCT((户型资产表!E:E=I23)*((户型资产表!I:I="沙发02两人")+(户型资产表!I:I="双人沙发01")))&gt;0,"有","无")</f>
        <v>无</v>
      </c>
      <c r="Z23" s="33" t="str">
        <f>IF(COUNTIFS(户型资产表!E:E,I23,户型资产表!H:H,"餐桌")&gt;0,"有","无")</f>
        <v>无</v>
      </c>
      <c r="AA23" s="33" t="str">
        <f>IF(COUNTIFS(户型资产表!E:E,I23,户型资产表!H:H,"吸油烟机")&gt;0,"有","无")</f>
        <v>无</v>
      </c>
      <c r="AB23" s="33" t="str">
        <f>IF(COUNTIFS(户型资产表!E:E,I23,户型资产表!H:H,"冰箱")&gt;0,"有","无")</f>
        <v>无</v>
      </c>
      <c r="AC23" s="33" t="str">
        <f>IF(COUNTIFS(户型资产表!E:E,I23,户型资产表!H:H,"电视柜")&gt;0,"有","无")</f>
        <v>无</v>
      </c>
      <c r="AD23" s="41" t="str">
        <f t="shared" si="5"/>
        <v>适中</v>
      </c>
      <c r="AE23" s="33">
        <f>VLOOKUP($AD$1&amp;AD23,【1】定价因子!E:F,2,0)</f>
        <v>1</v>
      </c>
      <c r="AF23" s="41" t="str">
        <f t="shared" si="6"/>
        <v>适中</v>
      </c>
      <c r="AG23" s="33">
        <f>VLOOKUP($AF$1&amp;AF23,【1】定价因子!E:F,2,0)</f>
        <v>1</v>
      </c>
      <c r="AH23" s="41" t="str">
        <f t="shared" si="7"/>
        <v>适中</v>
      </c>
      <c r="AI23" s="33">
        <f>VLOOKUP($AH$1&amp;AH23,【1】定价因子!E:F,2,0)</f>
        <v>1</v>
      </c>
      <c r="AJ23" s="33" t="str">
        <f>VLOOKUP(H23,'【3-1】大区填-采光基本要素'!A:H,8,0)</f>
        <v>1</v>
      </c>
      <c r="AK23" s="33">
        <f>VLOOKUP($AJ$1&amp;AJ23,【1】定价因子!E:F,2,0)</f>
        <v>0.91</v>
      </c>
      <c r="AL23" s="34">
        <f t="shared" si="8"/>
        <v>1484.57365056</v>
      </c>
      <c r="AM23" s="42">
        <v>1430</v>
      </c>
      <c r="AN23" s="43">
        <f t="shared" si="9"/>
        <v>-0.0367604871199312</v>
      </c>
    </row>
    <row r="24" spans="1:40">
      <c r="A24" s="37" t="str">
        <f>'【2】运营中心填-基本信息&amp;审核标准'!$E$2</f>
        <v>兴围西4-11栋</v>
      </c>
      <c r="B24" s="13">
        <f t="shared" si="2"/>
        <v>3</v>
      </c>
      <c r="C24" s="13">
        <f t="shared" si="0"/>
        <v>8</v>
      </c>
      <c r="D24" s="13">
        <f t="shared" si="1"/>
        <v>64</v>
      </c>
      <c r="E24" s="13"/>
      <c r="F24" s="13">
        <f t="shared" si="3"/>
        <v>8</v>
      </c>
      <c r="G24" s="13"/>
      <c r="H24" s="38">
        <v>308</v>
      </c>
      <c r="I24" s="39" t="s">
        <v>508</v>
      </c>
      <c r="J24" s="39" t="s">
        <v>43</v>
      </c>
      <c r="K24" s="13"/>
      <c r="L24" s="40">
        <f>VLOOKUP(J24,'【3】大区填-楼栋基准格局定价'!B:H,7,0)</f>
        <v>2445.5088</v>
      </c>
      <c r="M24" s="41" t="str">
        <f t="shared" si="4"/>
        <v>较狭小</v>
      </c>
      <c r="N24" s="41">
        <v>20.04</v>
      </c>
      <c r="O24" s="33">
        <f>VLOOKUP($M$1&amp;M24,【1】定价因子!E:F,2,0)</f>
        <v>0.95</v>
      </c>
      <c r="P24" s="33" t="str">
        <f>IF(COUNTIFS(户型资产表!E:E,I24,户型资产表!H:H,"阳台门")&gt;0,"有","无")</f>
        <v>无</v>
      </c>
      <c r="Q24" s="33">
        <f>VLOOKUP($P$1&amp;P24,【1】定价因子!E:F,2,0)</f>
        <v>1</v>
      </c>
      <c r="R24" s="33" t="str">
        <f>IF('【2】运营中心填-基本信息&amp;审核标准'!$D$4="是","无",IF(INT(H24/100)&gt;9,"9F",INT(H24/100)&amp;"F"))</f>
        <v>无</v>
      </c>
      <c r="S24" s="33">
        <f>VLOOKUP(R24,【1】定价因子!D:F,3,0)</f>
        <v>1</v>
      </c>
      <c r="T24" s="33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2-3F</v>
      </c>
      <c r="U24" s="33">
        <f>VLOOKUP($T$1&amp;T24,【1】定价因子!E:F,2,0)</f>
        <v>0.99</v>
      </c>
      <c r="V24" s="33" t="str">
        <f>IF(COUNTIFS(户型资产表!E:E,I24,户型资产表!H:H,"操作台")&gt;0,"有","无")</f>
        <v>有</v>
      </c>
      <c r="W24" s="33" t="str">
        <f>IF(COUNTIFS(户型资产表!E:E,I24,户型资产表!H:H,"书桌")&gt;0,"有","无")</f>
        <v>无</v>
      </c>
      <c r="X24" s="33" t="str">
        <f t="array" ref="X24">IF(SUMPRODUCT((户型资产表!E:E=I24)*((户型资产表!I:I="沙发01单人")+(户型资产表!I:I="单人沙发02")))&gt;0,"有","无")</f>
        <v>无</v>
      </c>
      <c r="Y24" s="33" t="str">
        <f t="array" ref="Y24">IF(SUMPRODUCT((户型资产表!E:E=I24)*((户型资产表!I:I="沙发02两人")+(户型资产表!I:I="双人沙发01")))&gt;0,"有","无")</f>
        <v>有</v>
      </c>
      <c r="Z24" s="33" t="str">
        <f>IF(COUNTIFS(户型资产表!E:E,I24,户型资产表!H:H,"餐桌")&gt;0,"有","无")</f>
        <v>有</v>
      </c>
      <c r="AA24" s="33" t="str">
        <f>IF(COUNTIFS(户型资产表!E:E,I24,户型资产表!H:H,"吸油烟机")&gt;0,"有","无")</f>
        <v>有</v>
      </c>
      <c r="AB24" s="33" t="str">
        <f>IF(COUNTIFS(户型资产表!E:E,I24,户型资产表!H:H,"冰箱")&gt;0,"有","无")</f>
        <v>无</v>
      </c>
      <c r="AC24" s="33" t="str">
        <f>IF(COUNTIFS(户型资产表!E:E,I24,户型资产表!H:H,"电视柜")&gt;0,"有","无")</f>
        <v>无</v>
      </c>
      <c r="AD24" s="41" t="str">
        <f t="shared" si="5"/>
        <v>适中</v>
      </c>
      <c r="AE24" s="33">
        <f>VLOOKUP($AD$1&amp;AD24,【1】定价因子!E:F,2,0)</f>
        <v>1</v>
      </c>
      <c r="AF24" s="41" t="s">
        <v>63</v>
      </c>
      <c r="AG24" s="33">
        <f>VLOOKUP($AF$1&amp;AF24,【1】定价因子!E:F,2,0)</f>
        <v>1</v>
      </c>
      <c r="AH24" s="41" t="str">
        <f t="shared" si="7"/>
        <v>适中</v>
      </c>
      <c r="AI24" s="33">
        <f>VLOOKUP($AH$1&amp;AH24,【1】定价因子!E:F,2,0)</f>
        <v>1</v>
      </c>
      <c r="AJ24" s="33" t="str">
        <f>VLOOKUP(H24,'【3-1】大区填-采光基本要素'!A:H,8,0)</f>
        <v>2</v>
      </c>
      <c r="AK24" s="33">
        <f>VLOOKUP($AJ$1&amp;AJ24,【1】定价因子!E:F,2,0)</f>
        <v>0.96</v>
      </c>
      <c r="AL24" s="34">
        <f t="shared" si="8"/>
        <v>2208.000985344</v>
      </c>
      <c r="AM24" s="42">
        <v>2080</v>
      </c>
      <c r="AN24" s="43">
        <f t="shared" si="9"/>
        <v>-0.0579714348832403</v>
      </c>
    </row>
    <row r="25" spans="1:40">
      <c r="A25" s="37" t="str">
        <f>'【2】运营中心填-基本信息&amp;审核标准'!$E$2</f>
        <v>兴围西4-11栋</v>
      </c>
      <c r="B25" s="13">
        <f t="shared" si="2"/>
        <v>4</v>
      </c>
      <c r="C25" s="13">
        <f t="shared" si="0"/>
        <v>8</v>
      </c>
      <c r="D25" s="13">
        <f t="shared" si="1"/>
        <v>64</v>
      </c>
      <c r="E25" s="13"/>
      <c r="F25" s="13">
        <f t="shared" si="3"/>
        <v>8</v>
      </c>
      <c r="G25" s="13"/>
      <c r="H25" s="38">
        <v>401</v>
      </c>
      <c r="I25" s="39" t="s">
        <v>505</v>
      </c>
      <c r="J25" s="39" t="s">
        <v>40</v>
      </c>
      <c r="K25" s="13"/>
      <c r="L25" s="40">
        <f>VLOOKUP(J25,'【3】大区填-楼栋基准格局定价'!B:H,7,0)</f>
        <v>1647.8784</v>
      </c>
      <c r="M25" s="41" t="str">
        <f t="shared" si="4"/>
        <v>较狭小</v>
      </c>
      <c r="N25" s="41">
        <v>10.96</v>
      </c>
      <c r="O25" s="33">
        <f>VLOOKUP($M$1&amp;M25,【1】定价因子!E:F,2,0)</f>
        <v>0.95</v>
      </c>
      <c r="P25" s="33" t="str">
        <f>IF(COUNTIFS(户型资产表!E:E,I25,户型资产表!H:H,"阳台门")&gt;0,"有","无")</f>
        <v>无</v>
      </c>
      <c r="Q25" s="33">
        <f>VLOOKUP($P$1&amp;P25,【1】定价因子!E:F,2,0)</f>
        <v>1</v>
      </c>
      <c r="R25" s="33" t="str">
        <f>IF('【2】运营中心填-基本信息&amp;审核标准'!$D$4="是","无",IF(INT(H25/100)&gt;9,"9F",INT(H25/100)&amp;"F"))</f>
        <v>无</v>
      </c>
      <c r="S25" s="33">
        <f>VLOOKUP(R25,【1】定价因子!D:F,3,0)</f>
        <v>1</v>
      </c>
      <c r="T25" s="33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4F</v>
      </c>
      <c r="U25" s="33">
        <f>VLOOKUP($T$1&amp;T25,【1】定价因子!E:F,2,0)</f>
        <v>1</v>
      </c>
      <c r="V25" s="33" t="str">
        <f>IF(COUNTIFS(户型资产表!E:E,I25,户型资产表!H:H,"操作台")&gt;0,"有","无")</f>
        <v>有</v>
      </c>
      <c r="W25" s="33" t="str">
        <f>IF(COUNTIFS(户型资产表!E:E,I25,户型资产表!H:H,"书桌")&gt;0,"有","无")</f>
        <v>有</v>
      </c>
      <c r="X25" s="33" t="str">
        <f t="array" ref="X25">IF(SUMPRODUCT((户型资产表!E:E=I25)*((户型资产表!I:I="沙发01单人")+(户型资产表!I:I="单人沙发02")))&gt;0,"有","无")</f>
        <v>无</v>
      </c>
      <c r="Y25" s="33" t="str">
        <f t="array" ref="Y25">IF(SUMPRODUCT((户型资产表!E:E=I25)*((户型资产表!I:I="沙发02两人")+(户型资产表!I:I="双人沙发01")))&gt;0,"有","无")</f>
        <v>无</v>
      </c>
      <c r="Z25" s="33" t="str">
        <f>IF(COUNTIFS(户型资产表!E:E,I25,户型资产表!H:H,"餐桌")&gt;0,"有","无")</f>
        <v>无</v>
      </c>
      <c r="AA25" s="33" t="str">
        <f>IF(COUNTIFS(户型资产表!E:E,I25,户型资产表!H:H,"吸油烟机")&gt;0,"有","无")</f>
        <v>无</v>
      </c>
      <c r="AB25" s="33" t="str">
        <f>IF(COUNTIFS(户型资产表!E:E,I25,户型资产表!H:H,"冰箱")&gt;0,"有","无")</f>
        <v>无</v>
      </c>
      <c r="AC25" s="33" t="str">
        <f>IF(COUNTIFS(户型资产表!E:E,I25,户型资产表!H:H,"电视柜")&gt;0,"有","无")</f>
        <v>无</v>
      </c>
      <c r="AD25" s="41" t="str">
        <f t="shared" si="5"/>
        <v>适中</v>
      </c>
      <c r="AE25" s="33">
        <f>VLOOKUP($AD$1&amp;AD25,【1】定价因子!E:F,2,0)</f>
        <v>1</v>
      </c>
      <c r="AF25" s="41" t="str">
        <f t="shared" si="6"/>
        <v>适中</v>
      </c>
      <c r="AG25" s="33">
        <f>VLOOKUP($AF$1&amp;AF25,【1】定价因子!E:F,2,0)</f>
        <v>1</v>
      </c>
      <c r="AH25" s="41" t="str">
        <f t="shared" si="7"/>
        <v>适中</v>
      </c>
      <c r="AI25" s="33">
        <f>VLOOKUP($AH$1&amp;AH25,【1】定价因子!E:F,2,0)</f>
        <v>1</v>
      </c>
      <c r="AJ25" s="33" t="str">
        <f>VLOOKUP(H25,'【3-1】大区填-采光基本要素'!A:H,8,0)</f>
        <v>5</v>
      </c>
      <c r="AK25" s="33">
        <f>VLOOKUP($AJ$1&amp;AJ25,【1】定价因子!E:F,2,0)</f>
        <v>1.06</v>
      </c>
      <c r="AL25" s="34">
        <f t="shared" si="8"/>
        <v>1659.4135488</v>
      </c>
      <c r="AM25" s="42">
        <v>1530</v>
      </c>
      <c r="AN25" s="43">
        <f t="shared" si="9"/>
        <v>-0.0779875208886808</v>
      </c>
    </row>
    <row r="26" spans="1:40">
      <c r="A26" s="37" t="str">
        <f>'【2】运营中心填-基本信息&amp;审核标准'!$E$2</f>
        <v>兴围西4-11栋</v>
      </c>
      <c r="B26" s="13">
        <f t="shared" si="2"/>
        <v>4</v>
      </c>
      <c r="C26" s="13">
        <f t="shared" si="0"/>
        <v>8</v>
      </c>
      <c r="D26" s="13">
        <f t="shared" si="1"/>
        <v>64</v>
      </c>
      <c r="E26" s="13"/>
      <c r="F26" s="13">
        <f t="shared" si="3"/>
        <v>8</v>
      </c>
      <c r="G26" s="13"/>
      <c r="H26" s="38">
        <v>402</v>
      </c>
      <c r="I26" s="39" t="s">
        <v>499</v>
      </c>
      <c r="J26" s="39" t="s">
        <v>43</v>
      </c>
      <c r="K26" s="13"/>
      <c r="L26" s="40">
        <f>VLOOKUP(J26,'【3】大区填-楼栋基准格局定价'!B:H,7,0)</f>
        <v>2445.5088</v>
      </c>
      <c r="M26" s="41" t="str">
        <f t="shared" si="4"/>
        <v>很狭小</v>
      </c>
      <c r="N26" s="41">
        <v>18.86</v>
      </c>
      <c r="O26" s="33">
        <f>VLOOKUP($M$1&amp;M26,【1】定价因子!E:F,2,0)</f>
        <v>0.9</v>
      </c>
      <c r="P26" s="33" t="str">
        <f>IF(COUNTIFS(户型资产表!E:E,I26,户型资产表!H:H,"阳台门")&gt;0,"有","无")</f>
        <v>无</v>
      </c>
      <c r="Q26" s="33">
        <f>VLOOKUP($P$1&amp;P26,【1】定价因子!E:F,2,0)</f>
        <v>1</v>
      </c>
      <c r="R26" s="33" t="str">
        <f>IF('【2】运营中心填-基本信息&amp;审核标准'!$D$4="是","无",IF(INT(H26/100)&gt;9,"9F",INT(H26/100)&amp;"F"))</f>
        <v>无</v>
      </c>
      <c r="S26" s="33">
        <f>VLOOKUP(R26,【1】定价因子!D:F,3,0)</f>
        <v>1</v>
      </c>
      <c r="T26" s="33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4F</v>
      </c>
      <c r="U26" s="33">
        <f>VLOOKUP($T$1&amp;T26,【1】定价因子!E:F,2,0)</f>
        <v>1</v>
      </c>
      <c r="V26" s="33" t="str">
        <f>IF(COUNTIFS(户型资产表!E:E,I26,户型资产表!H:H,"操作台")&gt;0,"有","无")</f>
        <v>有</v>
      </c>
      <c r="W26" s="33" t="str">
        <f>IF(COUNTIFS(户型资产表!E:E,I26,户型资产表!H:H,"书桌")&gt;0,"有","无")</f>
        <v>有</v>
      </c>
      <c r="X26" s="33" t="str">
        <f t="array" ref="X26">IF(SUMPRODUCT((户型资产表!E:E=I26)*((户型资产表!I:I="沙发01单人")+(户型资产表!I:I="单人沙发02")))&gt;0,"有","无")</f>
        <v>无</v>
      </c>
      <c r="Y26" s="33" t="str">
        <f t="array" ref="Y26">IF(SUMPRODUCT((户型资产表!E:E=I26)*((户型资产表!I:I="沙发02两人")+(户型资产表!I:I="双人沙发01")))&gt;0,"有","无")</f>
        <v>有</v>
      </c>
      <c r="Z26" s="33" t="str">
        <f>IF(COUNTIFS(户型资产表!E:E,I26,户型资产表!H:H,"餐桌")&gt;0,"有","无")</f>
        <v>有</v>
      </c>
      <c r="AA26" s="33" t="str">
        <f>IF(COUNTIFS(户型资产表!E:E,I26,户型资产表!H:H,"吸油烟机")&gt;0,"有","无")</f>
        <v>无</v>
      </c>
      <c r="AB26" s="33" t="str">
        <f>IF(COUNTIFS(户型资产表!E:E,I26,户型资产表!H:H,"冰箱")&gt;0,"有","无")</f>
        <v>无</v>
      </c>
      <c r="AC26" s="33" t="str">
        <f>IF(COUNTIFS(户型资产表!E:E,I26,户型资产表!H:H,"电视柜")&gt;0,"有","无")</f>
        <v>无</v>
      </c>
      <c r="AD26" s="41" t="str">
        <f t="shared" si="5"/>
        <v>适中</v>
      </c>
      <c r="AE26" s="33">
        <f>VLOOKUP($AD$1&amp;AD26,【1】定价因子!E:F,2,0)</f>
        <v>1</v>
      </c>
      <c r="AF26" s="41" t="s">
        <v>63</v>
      </c>
      <c r="AG26" s="33">
        <f>VLOOKUP($AF$1&amp;AF26,【1】定价因子!E:F,2,0)</f>
        <v>1</v>
      </c>
      <c r="AH26" s="41" t="str">
        <f t="shared" si="7"/>
        <v>适中</v>
      </c>
      <c r="AI26" s="33">
        <f>VLOOKUP($AH$1&amp;AH26,【1】定价因子!E:F,2,0)</f>
        <v>1</v>
      </c>
      <c r="AJ26" s="33" t="str">
        <f>VLOOKUP(H26,'【3-1】大区填-采光基本要素'!A:H,8,0)</f>
        <v>2</v>
      </c>
      <c r="AK26" s="33">
        <f>VLOOKUP($AJ$1&amp;AJ26,【1】定价因子!E:F,2,0)</f>
        <v>0.96</v>
      </c>
      <c r="AL26" s="34">
        <f t="shared" si="8"/>
        <v>2112.9196032</v>
      </c>
      <c r="AM26" s="42">
        <v>2080</v>
      </c>
      <c r="AN26" s="43">
        <f t="shared" si="9"/>
        <v>-0.015580149452986</v>
      </c>
    </row>
    <row r="27" spans="1:40">
      <c r="A27" s="37" t="str">
        <f>'【2】运营中心填-基本信息&amp;审核标准'!$E$2</f>
        <v>兴围西4-11栋</v>
      </c>
      <c r="B27" s="13">
        <f t="shared" si="2"/>
        <v>4</v>
      </c>
      <c r="C27" s="13">
        <f t="shared" si="0"/>
        <v>8</v>
      </c>
      <c r="D27" s="13">
        <f t="shared" si="1"/>
        <v>64</v>
      </c>
      <c r="E27" s="13"/>
      <c r="F27" s="13">
        <f t="shared" si="3"/>
        <v>8</v>
      </c>
      <c r="G27" s="13"/>
      <c r="H27" s="38">
        <v>403</v>
      </c>
      <c r="I27" s="39" t="s">
        <v>506</v>
      </c>
      <c r="J27" s="39" t="s">
        <v>40</v>
      </c>
      <c r="K27" s="13"/>
      <c r="L27" s="40">
        <f>VLOOKUP(J27,'【3】大区填-楼栋基准格局定价'!B:H,7,0)</f>
        <v>1647.8784</v>
      </c>
      <c r="M27" s="41" t="str">
        <f t="shared" si="4"/>
        <v>适中</v>
      </c>
      <c r="N27" s="41">
        <v>13.87</v>
      </c>
      <c r="O27" s="33">
        <f>VLOOKUP($M$1&amp;M27,【1】定价因子!E:F,2,0)</f>
        <v>1</v>
      </c>
      <c r="P27" s="33" t="str">
        <f>IF(COUNTIFS(户型资产表!E:E,I27,户型资产表!H:H,"阳台门")&gt;0,"有","无")</f>
        <v>有</v>
      </c>
      <c r="Q27" s="33">
        <f>VLOOKUP($P$1&amp;P27,【1】定价因子!E:F,2,0)</f>
        <v>1.07</v>
      </c>
      <c r="R27" s="33" t="str">
        <f>IF('【2】运营中心填-基本信息&amp;审核标准'!$D$4="是","无",IF(INT(H27/100)&gt;9,"9F",INT(H27/100)&amp;"F"))</f>
        <v>无</v>
      </c>
      <c r="S27" s="33">
        <f>VLOOKUP(R27,【1】定价因子!D:F,3,0)</f>
        <v>1</v>
      </c>
      <c r="T27" s="33" t="str">
        <f>IF('【2】运营中心填-基本信息&amp;审核标准'!$D$4="否","无",IF(INT(H27/100)=1,"1F",IF(AND(INT(H27/100)&gt;=2,INT(H27/100)&lt;=3),"2-3F",IF(INT(H27/100)=4,"4F",IF(AND(INT(H27/100)&gt;=5,INT(H27/100)&lt;=6),"5-6F",IF(AND(INT(H27/100)&gt;=7,INT(H27/100)&lt;=8),"7-8F",IF(AND(INT(H27/100)&gt;=9,INT(H27/100)&lt;=10),"9-10F",IF(AND(INT(H27/100)&gt;=11,INT(H27/100)&lt;=12),"11-12F",IF(INT(H27/100)&gt;=13,"13以上F","")))))))))</f>
        <v>4F</v>
      </c>
      <c r="U27" s="33">
        <f>VLOOKUP($T$1&amp;T27,【1】定价因子!E:F,2,0)</f>
        <v>1</v>
      </c>
      <c r="V27" s="33" t="str">
        <f>IF(COUNTIFS(户型资产表!E:E,I27,户型资产表!H:H,"操作台")&gt;0,"有","无")</f>
        <v>有</v>
      </c>
      <c r="W27" s="33" t="str">
        <f>IF(COUNTIFS(户型资产表!E:E,I27,户型资产表!H:H,"书桌")&gt;0,"有","无")</f>
        <v>有</v>
      </c>
      <c r="X27" s="33" t="str">
        <f t="array" ref="X27">IF(SUMPRODUCT((户型资产表!E:E=I27)*((户型资产表!I:I="沙发01单人")+(户型资产表!I:I="单人沙发02")))&gt;0,"有","无")</f>
        <v>无</v>
      </c>
      <c r="Y27" s="33" t="str">
        <f t="array" ref="Y27">IF(SUMPRODUCT((户型资产表!E:E=I27)*((户型资产表!I:I="沙发02两人")+(户型资产表!I:I="双人沙发01")))&gt;0,"有","无")</f>
        <v>无</v>
      </c>
      <c r="Z27" s="33" t="str">
        <f>IF(COUNTIFS(户型资产表!E:E,I27,户型资产表!H:H,"餐桌")&gt;0,"有","无")</f>
        <v>无</v>
      </c>
      <c r="AA27" s="33" t="str">
        <f>IF(COUNTIFS(户型资产表!E:E,I27,户型资产表!H:H,"吸油烟机")&gt;0,"有","无")</f>
        <v>无</v>
      </c>
      <c r="AB27" s="33" t="str">
        <f>IF(COUNTIFS(户型资产表!E:E,I27,户型资产表!H:H,"冰箱")&gt;0,"有","无")</f>
        <v>无</v>
      </c>
      <c r="AC27" s="33" t="str">
        <f>IF(COUNTIFS(户型资产表!E:E,I27,户型资产表!H:H,"电视柜")&gt;0,"有","无")</f>
        <v>无</v>
      </c>
      <c r="AD27" s="41" t="str">
        <f t="shared" si="5"/>
        <v>适中</v>
      </c>
      <c r="AE27" s="33">
        <f>VLOOKUP($AD$1&amp;AD27,【1】定价因子!E:F,2,0)</f>
        <v>1</v>
      </c>
      <c r="AF27" s="41" t="str">
        <f t="shared" si="6"/>
        <v>适中</v>
      </c>
      <c r="AG27" s="33">
        <f>VLOOKUP($AF$1&amp;AF27,【1】定价因子!E:F,2,0)</f>
        <v>1</v>
      </c>
      <c r="AH27" s="41" t="str">
        <f t="shared" si="7"/>
        <v>适中</v>
      </c>
      <c r="AI27" s="33">
        <f>VLOOKUP($AH$1&amp;AH27,【1】定价因子!E:F,2,0)</f>
        <v>1</v>
      </c>
      <c r="AJ27" s="33" t="str">
        <f>VLOOKUP(H27,'【3-1】大区填-采光基本要素'!A:H,8,0)</f>
        <v>4</v>
      </c>
      <c r="AK27" s="33">
        <f>VLOOKUP($AJ$1&amp;AJ27,【1】定价因子!E:F,2,0)</f>
        <v>1.03</v>
      </c>
      <c r="AL27" s="34">
        <f t="shared" si="8"/>
        <v>1816.12678464</v>
      </c>
      <c r="AM27" s="42">
        <v>1640</v>
      </c>
      <c r="AN27" s="43">
        <f t="shared" si="9"/>
        <v>-0.0969793442449078</v>
      </c>
    </row>
    <row r="28" spans="1:40">
      <c r="A28" s="37" t="str">
        <f>'【2】运营中心填-基本信息&amp;审核标准'!$E$2</f>
        <v>兴围西4-11栋</v>
      </c>
      <c r="B28" s="13">
        <f t="shared" si="2"/>
        <v>4</v>
      </c>
      <c r="C28" s="13">
        <f t="shared" si="0"/>
        <v>8</v>
      </c>
      <c r="D28" s="13">
        <f t="shared" si="1"/>
        <v>64</v>
      </c>
      <c r="E28" s="13"/>
      <c r="F28" s="13">
        <f t="shared" si="3"/>
        <v>8</v>
      </c>
      <c r="G28" s="13"/>
      <c r="H28" s="38">
        <v>404</v>
      </c>
      <c r="I28" s="39" t="s">
        <v>507</v>
      </c>
      <c r="J28" s="39" t="s">
        <v>40</v>
      </c>
      <c r="K28" s="13"/>
      <c r="L28" s="40">
        <f>VLOOKUP(J28,'【3】大区填-楼栋基准格局定价'!B:H,7,0)</f>
        <v>1647.8784</v>
      </c>
      <c r="M28" s="41" t="s">
        <v>63</v>
      </c>
      <c r="N28" s="41">
        <v>19.76</v>
      </c>
      <c r="O28" s="33">
        <f>VLOOKUP($M$1&amp;M28,【1】定价因子!E:F,2,0)</f>
        <v>1</v>
      </c>
      <c r="P28" s="33" t="str">
        <f>IF(COUNTIFS(户型资产表!E:E,I28,户型资产表!H:H,"阳台门")&gt;0,"有","无")</f>
        <v>无</v>
      </c>
      <c r="Q28" s="33">
        <f>VLOOKUP($P$1&amp;P28,【1】定价因子!E:F,2,0)</f>
        <v>1</v>
      </c>
      <c r="R28" s="33" t="str">
        <f>IF('【2】运营中心填-基本信息&amp;审核标准'!$D$4="是","无",IF(INT(H28/100)&gt;9,"9F",INT(H28/100)&amp;"F"))</f>
        <v>无</v>
      </c>
      <c r="S28" s="33">
        <f>VLOOKUP(R28,【1】定价因子!D:F,3,0)</f>
        <v>1</v>
      </c>
      <c r="T28" s="33" t="str">
        <f>IF('【2】运营中心填-基本信息&amp;审核标准'!$D$4="否","无",IF(INT(H28/100)=1,"1F",IF(AND(INT(H28/100)&gt;=2,INT(H28/100)&lt;=3),"2-3F",IF(INT(H28/100)=4,"4F",IF(AND(INT(H28/100)&gt;=5,INT(H28/100)&lt;=6),"5-6F",IF(AND(INT(H28/100)&gt;=7,INT(H28/100)&lt;=8),"7-8F",IF(AND(INT(H28/100)&gt;=9,INT(H28/100)&lt;=10),"9-10F",IF(AND(INT(H28/100)&gt;=11,INT(H28/100)&lt;=12),"11-12F",IF(INT(H28/100)&gt;=13,"13以上F","")))))))))</f>
        <v>4F</v>
      </c>
      <c r="U28" s="33">
        <f>VLOOKUP($T$1&amp;T28,【1】定价因子!E:F,2,0)</f>
        <v>1</v>
      </c>
      <c r="V28" s="33" t="str">
        <f>IF(COUNTIFS(户型资产表!E:E,I28,户型资产表!H:H,"操作台")&gt;0,"有","无")</f>
        <v>有</v>
      </c>
      <c r="W28" s="33" t="str">
        <f>IF(COUNTIFS(户型资产表!E:E,I28,户型资产表!H:H,"书桌")&gt;0,"有","无")</f>
        <v>有</v>
      </c>
      <c r="X28" s="33" t="str">
        <f t="array" ref="X28">IF(SUMPRODUCT((户型资产表!E:E=I28)*((户型资产表!I:I="沙发01单人")+(户型资产表!I:I="单人沙发02")))&gt;0,"有","无")</f>
        <v>无</v>
      </c>
      <c r="Y28" s="33" t="str">
        <f t="array" ref="Y28">IF(SUMPRODUCT((户型资产表!E:E=I28)*((户型资产表!I:I="沙发02两人")+(户型资产表!I:I="双人沙发01")))&gt;0,"有","无")</f>
        <v>无</v>
      </c>
      <c r="Z28" s="33" t="str">
        <f>IF(COUNTIFS(户型资产表!E:E,I28,户型资产表!H:H,"餐桌")&gt;0,"有","无")</f>
        <v>无</v>
      </c>
      <c r="AA28" s="33" t="str">
        <f>IF(COUNTIFS(户型资产表!E:E,I28,户型资产表!H:H,"吸油烟机")&gt;0,"有","无")</f>
        <v>无</v>
      </c>
      <c r="AB28" s="33" t="str">
        <f>IF(COUNTIFS(户型资产表!E:E,I28,户型资产表!H:H,"冰箱")&gt;0,"有","无")</f>
        <v>无</v>
      </c>
      <c r="AC28" s="33" t="str">
        <f>IF(COUNTIFS(户型资产表!E:E,I28,户型资产表!H:H,"电视柜")&gt;0,"有","无")</f>
        <v>无</v>
      </c>
      <c r="AD28" s="41" t="str">
        <f t="shared" si="5"/>
        <v>适中</v>
      </c>
      <c r="AE28" s="33">
        <f>VLOOKUP($AD$1&amp;AD28,【1】定价因子!E:F,2,0)</f>
        <v>1</v>
      </c>
      <c r="AF28" s="41" t="str">
        <f t="shared" si="6"/>
        <v>适中</v>
      </c>
      <c r="AG28" s="33">
        <f>VLOOKUP($AF$1&amp;AF28,【1】定价因子!E:F,2,0)</f>
        <v>1</v>
      </c>
      <c r="AH28" s="41" t="str">
        <f t="shared" si="7"/>
        <v>适中</v>
      </c>
      <c r="AI28" s="33">
        <f>VLOOKUP($AH$1&amp;AH28,【1】定价因子!E:F,2,0)</f>
        <v>1</v>
      </c>
      <c r="AJ28" s="33" t="str">
        <f>VLOOKUP(H28,'【3-1】大区填-采光基本要素'!A:H,8,0)</f>
        <v>1</v>
      </c>
      <c r="AK28" s="33">
        <f>VLOOKUP($AJ$1&amp;AJ28,【1】定价因子!E:F,2,0)</f>
        <v>0.91</v>
      </c>
      <c r="AL28" s="34">
        <f t="shared" si="8"/>
        <v>1499.569344</v>
      </c>
      <c r="AM28" s="42">
        <v>1450</v>
      </c>
      <c r="AN28" s="43">
        <f t="shared" si="9"/>
        <v>-0.0330557197627001</v>
      </c>
    </row>
    <row r="29" spans="1:40">
      <c r="A29" s="37" t="str">
        <f>'【2】运营中心填-基本信息&amp;审核标准'!$E$2</f>
        <v>兴围西4-11栋</v>
      </c>
      <c r="B29" s="13">
        <f t="shared" si="2"/>
        <v>4</v>
      </c>
      <c r="C29" s="13">
        <f t="shared" si="0"/>
        <v>8</v>
      </c>
      <c r="D29" s="13">
        <f t="shared" si="1"/>
        <v>64</v>
      </c>
      <c r="E29" s="13"/>
      <c r="F29" s="13">
        <f t="shared" si="3"/>
        <v>8</v>
      </c>
      <c r="G29" s="13"/>
      <c r="H29" s="38">
        <v>405</v>
      </c>
      <c r="I29" s="39" t="s">
        <v>502</v>
      </c>
      <c r="J29" s="39" t="s">
        <v>40</v>
      </c>
      <c r="K29" s="13"/>
      <c r="L29" s="40">
        <f>VLOOKUP(J29,'【3】大区填-楼栋基准格局定价'!B:H,7,0)</f>
        <v>1647.8784</v>
      </c>
      <c r="M29" s="41" t="str">
        <f t="shared" si="4"/>
        <v>适中</v>
      </c>
      <c r="N29" s="41">
        <v>13.79</v>
      </c>
      <c r="O29" s="33">
        <f>VLOOKUP($M$1&amp;M29,【1】定价因子!E:F,2,0)</f>
        <v>1</v>
      </c>
      <c r="P29" s="33" t="str">
        <f>IF(COUNTIFS(户型资产表!E:E,I29,户型资产表!H:H,"阳台门")&gt;0,"有","无")</f>
        <v>无</v>
      </c>
      <c r="Q29" s="33">
        <f>VLOOKUP($P$1&amp;P29,【1】定价因子!E:F,2,0)</f>
        <v>1</v>
      </c>
      <c r="R29" s="33" t="str">
        <f>IF('【2】运营中心填-基本信息&amp;审核标准'!$D$4="是","无",IF(INT(H29/100)&gt;9,"9F",INT(H29/100)&amp;"F"))</f>
        <v>无</v>
      </c>
      <c r="S29" s="33">
        <f>VLOOKUP(R29,【1】定价因子!D:F,3,0)</f>
        <v>1</v>
      </c>
      <c r="T29" s="33" t="str">
        <f>IF('【2】运营中心填-基本信息&amp;审核标准'!$D$4="否","无",IF(INT(H29/100)=1,"1F",IF(AND(INT(H29/100)&gt;=2,INT(H29/100)&lt;=3),"2-3F",IF(INT(H29/100)=4,"4F",IF(AND(INT(H29/100)&gt;=5,INT(H29/100)&lt;=6),"5-6F",IF(AND(INT(H29/100)&gt;=7,INT(H29/100)&lt;=8),"7-8F",IF(AND(INT(H29/100)&gt;=9,INT(H29/100)&lt;=10),"9-10F",IF(AND(INT(H29/100)&gt;=11,INT(H29/100)&lt;=12),"11-12F",IF(INT(H29/100)&gt;=13,"13以上F","")))))))))</f>
        <v>4F</v>
      </c>
      <c r="U29" s="33">
        <f>VLOOKUP($T$1&amp;T29,【1】定价因子!E:F,2,0)</f>
        <v>1</v>
      </c>
      <c r="V29" s="33" t="str">
        <f>IF(COUNTIFS(户型资产表!E:E,I29,户型资产表!H:H,"操作台")&gt;0,"有","无")</f>
        <v>有</v>
      </c>
      <c r="W29" s="33" t="str">
        <f>IF(COUNTIFS(户型资产表!E:E,I29,户型资产表!H:H,"书桌")&gt;0,"有","无")</f>
        <v>有</v>
      </c>
      <c r="X29" s="33" t="str">
        <f t="array" ref="X29">IF(SUMPRODUCT((户型资产表!E:E=I29)*((户型资产表!I:I="沙发01单人")+(户型资产表!I:I="单人沙发02")))&gt;0,"有","无")</f>
        <v>无</v>
      </c>
      <c r="Y29" s="33" t="str">
        <f t="array" ref="Y29">IF(SUMPRODUCT((户型资产表!E:E=I29)*((户型资产表!I:I="沙发02两人")+(户型资产表!I:I="双人沙发01")))&gt;0,"有","无")</f>
        <v>无</v>
      </c>
      <c r="Z29" s="33" t="str">
        <f>IF(COUNTIFS(户型资产表!E:E,I29,户型资产表!H:H,"餐桌")&gt;0,"有","无")</f>
        <v>无</v>
      </c>
      <c r="AA29" s="33" t="str">
        <f>IF(COUNTIFS(户型资产表!E:E,I29,户型资产表!H:H,"吸油烟机")&gt;0,"有","无")</f>
        <v>无</v>
      </c>
      <c r="AB29" s="33" t="str">
        <f>IF(COUNTIFS(户型资产表!E:E,I29,户型资产表!H:H,"冰箱")&gt;0,"有","无")</f>
        <v>无</v>
      </c>
      <c r="AC29" s="33" t="str">
        <f>IF(COUNTIFS(户型资产表!E:E,I29,户型资产表!H:H,"电视柜")&gt;0,"有","无")</f>
        <v>无</v>
      </c>
      <c r="AD29" s="41" t="str">
        <f t="shared" si="5"/>
        <v>适中</v>
      </c>
      <c r="AE29" s="33">
        <f>VLOOKUP($AD$1&amp;AD29,【1】定价因子!E:F,2,0)</f>
        <v>1</v>
      </c>
      <c r="AF29" s="41" t="str">
        <f t="shared" si="6"/>
        <v>适中</v>
      </c>
      <c r="AG29" s="33">
        <f>VLOOKUP($AF$1&amp;AF29,【1】定价因子!E:F,2,0)</f>
        <v>1</v>
      </c>
      <c r="AH29" s="41" t="str">
        <f t="shared" si="7"/>
        <v>适中</v>
      </c>
      <c r="AI29" s="33">
        <f>VLOOKUP($AH$1&amp;AH29,【1】定价因子!E:F,2,0)</f>
        <v>1</v>
      </c>
      <c r="AJ29" s="33" t="str">
        <f>VLOOKUP(H29,'【3-1】大区填-采光基本要素'!A:H,8,0)</f>
        <v>3</v>
      </c>
      <c r="AK29" s="33">
        <f>VLOOKUP($AJ$1&amp;AJ29,【1】定价因子!E:F,2,0)</f>
        <v>1</v>
      </c>
      <c r="AL29" s="34">
        <f t="shared" si="8"/>
        <v>1647.8784</v>
      </c>
      <c r="AM29" s="42">
        <v>1560</v>
      </c>
      <c r="AN29" s="43">
        <f t="shared" si="9"/>
        <v>-0.0533282067414683</v>
      </c>
    </row>
    <row r="30" spans="1:40">
      <c r="A30" s="37" t="str">
        <f>'【2】运营中心填-基本信息&amp;审核标准'!$E$2</f>
        <v>兴围西4-11栋</v>
      </c>
      <c r="B30" s="13">
        <f t="shared" si="2"/>
        <v>4</v>
      </c>
      <c r="C30" s="13">
        <f t="shared" si="0"/>
        <v>8</v>
      </c>
      <c r="D30" s="13">
        <f t="shared" si="1"/>
        <v>64</v>
      </c>
      <c r="E30" s="13"/>
      <c r="F30" s="13">
        <f t="shared" si="3"/>
        <v>8</v>
      </c>
      <c r="G30" s="13"/>
      <c r="H30" s="38">
        <v>406</v>
      </c>
      <c r="I30" s="39" t="s">
        <v>503</v>
      </c>
      <c r="J30" s="39" t="s">
        <v>43</v>
      </c>
      <c r="K30" s="13"/>
      <c r="L30" s="40">
        <f>VLOOKUP(J30,'【3】大区填-楼栋基准格局定价'!B:H,7,0)</f>
        <v>2445.5088</v>
      </c>
      <c r="M30" s="41" t="str">
        <f t="shared" si="4"/>
        <v>很狭小</v>
      </c>
      <c r="N30" s="41">
        <v>11.35</v>
      </c>
      <c r="O30" s="33">
        <f>VLOOKUP($M$1&amp;M30,【1】定价因子!E:F,2,0)</f>
        <v>0.9</v>
      </c>
      <c r="P30" s="33" t="str">
        <f>IF(COUNTIFS(户型资产表!E:E,I30,户型资产表!H:H,"阳台门")&gt;0,"有","无")</f>
        <v>无</v>
      </c>
      <c r="Q30" s="33">
        <f>VLOOKUP($P$1&amp;P30,【1】定价因子!E:F,2,0)</f>
        <v>1</v>
      </c>
      <c r="R30" s="33" t="str">
        <f>IF('【2】运营中心填-基本信息&amp;审核标准'!$D$4="是","无",IF(INT(H30/100)&gt;9,"9F",INT(H30/100)&amp;"F"))</f>
        <v>无</v>
      </c>
      <c r="S30" s="33">
        <f>VLOOKUP(R30,【1】定价因子!D:F,3,0)</f>
        <v>1</v>
      </c>
      <c r="T30" s="33" t="str">
        <f>IF('【2】运营中心填-基本信息&amp;审核标准'!$D$4="否","无",IF(INT(H30/100)=1,"1F",IF(AND(INT(H30/100)&gt;=2,INT(H30/100)&lt;=3),"2-3F",IF(INT(H30/100)=4,"4F",IF(AND(INT(H30/100)&gt;=5,INT(H30/100)&lt;=6),"5-6F",IF(AND(INT(H30/100)&gt;=7,INT(H30/100)&lt;=8),"7-8F",IF(AND(INT(H30/100)&gt;=9,INT(H30/100)&lt;=10),"9-10F",IF(AND(INT(H30/100)&gt;=11,INT(H30/100)&lt;=12),"11-12F",IF(INT(H30/100)&gt;=13,"13以上F","")))))))))</f>
        <v>4F</v>
      </c>
      <c r="U30" s="33">
        <f>VLOOKUP($T$1&amp;T30,【1】定价因子!E:F,2,0)</f>
        <v>1</v>
      </c>
      <c r="V30" s="33" t="str">
        <f>IF(COUNTIFS(户型资产表!E:E,I30,户型资产表!H:H,"操作台")&gt;0,"有","无")</f>
        <v>有</v>
      </c>
      <c r="W30" s="33" t="str">
        <f>IF(COUNTIFS(户型资产表!E:E,I30,户型资产表!H:H,"书桌")&gt;0,"有","无")</f>
        <v>无</v>
      </c>
      <c r="X30" s="33" t="str">
        <f t="array" ref="X30">IF(SUMPRODUCT((户型资产表!E:E=I30)*((户型资产表!I:I="沙发01单人")+(户型资产表!I:I="单人沙发02")))&gt;0,"有","无")</f>
        <v>无</v>
      </c>
      <c r="Y30" s="33" t="str">
        <f t="array" ref="Y30">IF(SUMPRODUCT((户型资产表!E:E=I30)*((户型资产表!I:I="沙发02两人")+(户型资产表!I:I="双人沙发01")))&gt;0,"有","无")</f>
        <v>有</v>
      </c>
      <c r="Z30" s="33" t="str">
        <f>IF(COUNTIFS(户型资产表!E:E,I30,户型资产表!H:H,"餐桌")&gt;0,"有","无")</f>
        <v>有</v>
      </c>
      <c r="AA30" s="33" t="str">
        <f>IF(COUNTIFS(户型资产表!E:E,I30,户型资产表!H:H,"吸油烟机")&gt;0,"有","无")</f>
        <v>无</v>
      </c>
      <c r="AB30" s="33" t="str">
        <f>IF(COUNTIFS(户型资产表!E:E,I30,户型资产表!H:H,"冰箱")&gt;0,"有","无")</f>
        <v>无</v>
      </c>
      <c r="AC30" s="33" t="str">
        <f>IF(COUNTIFS(户型资产表!E:E,I30,户型资产表!H:H,"电视柜")&gt;0,"有","无")</f>
        <v>无</v>
      </c>
      <c r="AD30" s="41" t="str">
        <f t="shared" si="5"/>
        <v>适中</v>
      </c>
      <c r="AE30" s="33">
        <f>VLOOKUP($AD$1&amp;AD30,【1】定价因子!E:F,2,0)</f>
        <v>1</v>
      </c>
      <c r="AF30" s="41" t="str">
        <f t="shared" si="6"/>
        <v>适中</v>
      </c>
      <c r="AG30" s="33">
        <f>VLOOKUP($AF$1&amp;AF30,【1】定价因子!E:F,2,0)</f>
        <v>1</v>
      </c>
      <c r="AH30" s="41" t="str">
        <f t="shared" si="7"/>
        <v>适中</v>
      </c>
      <c r="AI30" s="33">
        <f>VLOOKUP($AH$1&amp;AH30,【1】定价因子!E:F,2,0)</f>
        <v>1</v>
      </c>
      <c r="AJ30" s="33" t="str">
        <f>VLOOKUP(H30,'【3-1】大区填-采光基本要素'!A:H,8,0)</f>
        <v>1</v>
      </c>
      <c r="AK30" s="33">
        <f>VLOOKUP($AJ$1&amp;AJ30,【1】定价因子!E:F,2,0)</f>
        <v>0.91</v>
      </c>
      <c r="AL30" s="34">
        <f t="shared" si="8"/>
        <v>2002.8717072</v>
      </c>
      <c r="AM30" s="42">
        <v>2000</v>
      </c>
      <c r="AN30" s="43">
        <f t="shared" si="9"/>
        <v>-0.00143379488045925</v>
      </c>
    </row>
    <row r="31" spans="1:40">
      <c r="A31" s="37" t="str">
        <f>'【2】运营中心填-基本信息&amp;审核标准'!$E$2</f>
        <v>兴围西4-11栋</v>
      </c>
      <c r="B31" s="13">
        <f t="shared" si="2"/>
        <v>4</v>
      </c>
      <c r="C31" s="13">
        <f t="shared" si="0"/>
        <v>8</v>
      </c>
      <c r="D31" s="13">
        <f t="shared" si="1"/>
        <v>64</v>
      </c>
      <c r="E31" s="13"/>
      <c r="F31" s="13">
        <f t="shared" si="3"/>
        <v>8</v>
      </c>
      <c r="G31" s="13"/>
      <c r="H31" s="38">
        <v>407</v>
      </c>
      <c r="I31" s="39" t="s">
        <v>501</v>
      </c>
      <c r="J31" s="39" t="s">
        <v>40</v>
      </c>
      <c r="K31" s="13"/>
      <c r="L31" s="40">
        <f>VLOOKUP(J31,'【3】大区填-楼栋基准格局定价'!B:H,7,0)</f>
        <v>1647.8784</v>
      </c>
      <c r="M31" s="41" t="str">
        <f t="shared" si="4"/>
        <v>适中</v>
      </c>
      <c r="N31" s="41">
        <v>13.81</v>
      </c>
      <c r="O31" s="33">
        <f>VLOOKUP($M$1&amp;M31,【1】定价因子!E:F,2,0)</f>
        <v>1</v>
      </c>
      <c r="P31" s="33" t="str">
        <f>IF(COUNTIFS(户型资产表!E:E,I31,户型资产表!H:H,"阳台门")&gt;0,"有","无")</f>
        <v>无</v>
      </c>
      <c r="Q31" s="33">
        <f>VLOOKUP($P$1&amp;P31,【1】定价因子!E:F,2,0)</f>
        <v>1</v>
      </c>
      <c r="R31" s="33" t="str">
        <f>IF('【2】运营中心填-基本信息&amp;审核标准'!$D$4="是","无",IF(INT(H31/100)&gt;9,"9F",INT(H31/100)&amp;"F"))</f>
        <v>无</v>
      </c>
      <c r="S31" s="33">
        <f>VLOOKUP(R31,【1】定价因子!D:F,3,0)</f>
        <v>1</v>
      </c>
      <c r="T31" s="33" t="str">
        <f>IF('【2】运营中心填-基本信息&amp;审核标准'!$D$4="否","无",IF(INT(H31/100)=1,"1F",IF(AND(INT(H31/100)&gt;=2,INT(H31/100)&lt;=3),"2-3F",IF(INT(H31/100)=4,"4F",IF(AND(INT(H31/100)&gt;=5,INT(H31/100)&lt;=6),"5-6F",IF(AND(INT(H31/100)&gt;=7,INT(H31/100)&lt;=8),"7-8F",IF(AND(INT(H31/100)&gt;=9,INT(H31/100)&lt;=10),"9-10F",IF(AND(INT(H31/100)&gt;=11,INT(H31/100)&lt;=12),"11-12F",IF(INT(H31/100)&gt;=13,"13以上F","")))))))))</f>
        <v>4F</v>
      </c>
      <c r="U31" s="33">
        <f>VLOOKUP($T$1&amp;T31,【1】定价因子!E:F,2,0)</f>
        <v>1</v>
      </c>
      <c r="V31" s="33" t="str">
        <f>IF(COUNTIFS(户型资产表!E:E,I31,户型资产表!H:H,"操作台")&gt;0,"有","无")</f>
        <v>有</v>
      </c>
      <c r="W31" s="33" t="str">
        <f>IF(COUNTIFS(户型资产表!E:E,I31,户型资产表!H:H,"书桌")&gt;0,"有","无")</f>
        <v>有</v>
      </c>
      <c r="X31" s="33" t="str">
        <f t="array" ref="X31">IF(SUMPRODUCT((户型资产表!E:E=I31)*((户型资产表!I:I="沙发01单人")+(户型资产表!I:I="单人沙发02")))&gt;0,"有","无")</f>
        <v>无</v>
      </c>
      <c r="Y31" s="33" t="str">
        <f t="array" ref="Y31">IF(SUMPRODUCT((户型资产表!E:E=I31)*((户型资产表!I:I="沙发02两人")+(户型资产表!I:I="双人沙发01")))&gt;0,"有","无")</f>
        <v>无</v>
      </c>
      <c r="Z31" s="33" t="str">
        <f>IF(COUNTIFS(户型资产表!E:E,I31,户型资产表!H:H,"餐桌")&gt;0,"有","无")</f>
        <v>无</v>
      </c>
      <c r="AA31" s="33" t="str">
        <f>IF(COUNTIFS(户型资产表!E:E,I31,户型资产表!H:H,"吸油烟机")&gt;0,"有","无")</f>
        <v>无</v>
      </c>
      <c r="AB31" s="33" t="str">
        <f>IF(COUNTIFS(户型资产表!E:E,I31,户型资产表!H:H,"冰箱")&gt;0,"有","无")</f>
        <v>无</v>
      </c>
      <c r="AC31" s="33" t="str">
        <f>IF(COUNTIFS(户型资产表!E:E,I31,户型资产表!H:H,"电视柜")&gt;0,"有","无")</f>
        <v>无</v>
      </c>
      <c r="AD31" s="41" t="str">
        <f t="shared" si="5"/>
        <v>适中</v>
      </c>
      <c r="AE31" s="33">
        <f>VLOOKUP($AD$1&amp;AD31,【1】定价因子!E:F,2,0)</f>
        <v>1</v>
      </c>
      <c r="AF31" s="41" t="str">
        <f t="shared" si="6"/>
        <v>适中</v>
      </c>
      <c r="AG31" s="33">
        <f>VLOOKUP($AF$1&amp;AF31,【1】定价因子!E:F,2,0)</f>
        <v>1</v>
      </c>
      <c r="AH31" s="41" t="str">
        <f t="shared" si="7"/>
        <v>适中</v>
      </c>
      <c r="AI31" s="33">
        <f>VLOOKUP($AH$1&amp;AH31,【1】定价因子!E:F,2,0)</f>
        <v>1</v>
      </c>
      <c r="AJ31" s="33" t="str">
        <f>VLOOKUP(H31,'【3-1】大区填-采光基本要素'!A:H,8,0)</f>
        <v>1</v>
      </c>
      <c r="AK31" s="33">
        <f>VLOOKUP($AJ$1&amp;AJ31,【1】定价因子!E:F,2,0)</f>
        <v>0.91</v>
      </c>
      <c r="AL31" s="34">
        <f t="shared" si="8"/>
        <v>1499.569344</v>
      </c>
      <c r="AM31" s="42">
        <v>1460</v>
      </c>
      <c r="AN31" s="43">
        <f t="shared" si="9"/>
        <v>-0.0263871385196842</v>
      </c>
    </row>
    <row r="32" spans="1:40">
      <c r="A32" s="37" t="str">
        <f>'【2】运营中心填-基本信息&amp;审核标准'!$E$2</f>
        <v>兴围西4-11栋</v>
      </c>
      <c r="B32" s="13">
        <f t="shared" si="2"/>
        <v>4</v>
      </c>
      <c r="C32" s="13">
        <f t="shared" si="0"/>
        <v>8</v>
      </c>
      <c r="D32" s="13">
        <f t="shared" si="1"/>
        <v>64</v>
      </c>
      <c r="E32" s="13"/>
      <c r="F32" s="13">
        <f t="shared" si="3"/>
        <v>8</v>
      </c>
      <c r="G32" s="13"/>
      <c r="H32" s="38">
        <v>408</v>
      </c>
      <c r="I32" s="39" t="s">
        <v>508</v>
      </c>
      <c r="J32" s="39" t="s">
        <v>43</v>
      </c>
      <c r="K32" s="13"/>
      <c r="L32" s="40">
        <f>VLOOKUP(J32,'【3】大区填-楼栋基准格局定价'!B:H,7,0)</f>
        <v>2445.5088</v>
      </c>
      <c r="M32" s="41" t="str">
        <f t="shared" si="4"/>
        <v>较狭小</v>
      </c>
      <c r="N32" s="41">
        <v>20.04</v>
      </c>
      <c r="O32" s="33">
        <f>VLOOKUP($M$1&amp;M32,【1】定价因子!E:F,2,0)</f>
        <v>0.95</v>
      </c>
      <c r="P32" s="33" t="str">
        <f>IF(COUNTIFS(户型资产表!E:E,I32,户型资产表!H:H,"阳台门")&gt;0,"有","无")</f>
        <v>无</v>
      </c>
      <c r="Q32" s="33">
        <f>VLOOKUP($P$1&amp;P32,【1】定价因子!E:F,2,0)</f>
        <v>1</v>
      </c>
      <c r="R32" s="33" t="str">
        <f>IF('【2】运营中心填-基本信息&amp;审核标准'!$D$4="是","无",IF(INT(H32/100)&gt;9,"9F",INT(H32/100)&amp;"F"))</f>
        <v>无</v>
      </c>
      <c r="S32" s="33">
        <f>VLOOKUP(R32,【1】定价因子!D:F,3,0)</f>
        <v>1</v>
      </c>
      <c r="T32" s="33" t="str">
        <f>IF('【2】运营中心填-基本信息&amp;审核标准'!$D$4="否","无",IF(INT(H32/100)=1,"1F",IF(AND(INT(H32/100)&gt;=2,INT(H32/100)&lt;=3),"2-3F",IF(INT(H32/100)=4,"4F",IF(AND(INT(H32/100)&gt;=5,INT(H32/100)&lt;=6),"5-6F",IF(AND(INT(H32/100)&gt;=7,INT(H32/100)&lt;=8),"7-8F",IF(AND(INT(H32/100)&gt;=9,INT(H32/100)&lt;=10),"9-10F",IF(AND(INT(H32/100)&gt;=11,INT(H32/100)&lt;=12),"11-12F",IF(INT(H32/100)&gt;=13,"13以上F","")))))))))</f>
        <v>4F</v>
      </c>
      <c r="U32" s="33">
        <f>VLOOKUP($T$1&amp;T32,【1】定价因子!E:F,2,0)</f>
        <v>1</v>
      </c>
      <c r="V32" s="33" t="str">
        <f>IF(COUNTIFS(户型资产表!E:E,I32,户型资产表!H:H,"操作台")&gt;0,"有","无")</f>
        <v>有</v>
      </c>
      <c r="W32" s="33" t="str">
        <f>IF(COUNTIFS(户型资产表!E:E,I32,户型资产表!H:H,"书桌")&gt;0,"有","无")</f>
        <v>无</v>
      </c>
      <c r="X32" s="33" t="str">
        <f t="array" ref="X32">IF(SUMPRODUCT((户型资产表!E:E=I32)*((户型资产表!I:I="沙发01单人")+(户型资产表!I:I="单人沙发02")))&gt;0,"有","无")</f>
        <v>无</v>
      </c>
      <c r="Y32" s="33" t="str">
        <f t="array" ref="Y32">IF(SUMPRODUCT((户型资产表!E:E=I32)*((户型资产表!I:I="沙发02两人")+(户型资产表!I:I="双人沙发01")))&gt;0,"有","无")</f>
        <v>有</v>
      </c>
      <c r="Z32" s="33" t="str">
        <f>IF(COUNTIFS(户型资产表!E:E,I32,户型资产表!H:H,"餐桌")&gt;0,"有","无")</f>
        <v>有</v>
      </c>
      <c r="AA32" s="33" t="str">
        <f>IF(COUNTIFS(户型资产表!E:E,I32,户型资产表!H:H,"吸油烟机")&gt;0,"有","无")</f>
        <v>有</v>
      </c>
      <c r="AB32" s="33" t="str">
        <f>IF(COUNTIFS(户型资产表!E:E,I32,户型资产表!H:H,"冰箱")&gt;0,"有","无")</f>
        <v>无</v>
      </c>
      <c r="AC32" s="33" t="str">
        <f>IF(COUNTIFS(户型资产表!E:E,I32,户型资产表!H:H,"电视柜")&gt;0,"有","无")</f>
        <v>无</v>
      </c>
      <c r="AD32" s="41" t="str">
        <f t="shared" si="5"/>
        <v>适中</v>
      </c>
      <c r="AE32" s="33">
        <f>VLOOKUP($AD$1&amp;AD32,【1】定价因子!E:F,2,0)</f>
        <v>1</v>
      </c>
      <c r="AF32" s="41" t="s">
        <v>63</v>
      </c>
      <c r="AG32" s="33">
        <f>VLOOKUP($AF$1&amp;AF32,【1】定价因子!E:F,2,0)</f>
        <v>1</v>
      </c>
      <c r="AH32" s="41" t="str">
        <f t="shared" si="7"/>
        <v>适中</v>
      </c>
      <c r="AI32" s="33">
        <f>VLOOKUP($AH$1&amp;AH32,【1】定价因子!E:F,2,0)</f>
        <v>1</v>
      </c>
      <c r="AJ32" s="33" t="str">
        <f>VLOOKUP(H32,'【3-1】大区填-采光基本要素'!A:H,8,0)</f>
        <v>2</v>
      </c>
      <c r="AK32" s="33">
        <f>VLOOKUP($AJ$1&amp;AJ32,【1】定价因子!E:F,2,0)</f>
        <v>0.96</v>
      </c>
      <c r="AL32" s="34">
        <f t="shared" si="8"/>
        <v>2230.3040256</v>
      </c>
      <c r="AM32" s="42">
        <v>2180</v>
      </c>
      <c r="AN32" s="43">
        <f t="shared" si="9"/>
        <v>-0.0225547840216389</v>
      </c>
    </row>
    <row r="33" spans="1:40">
      <c r="A33" s="37" t="str">
        <f>'【2】运营中心填-基本信息&amp;审核标准'!$E$2</f>
        <v>兴围西4-11栋</v>
      </c>
      <c r="B33" s="13">
        <f t="shared" si="2"/>
        <v>5</v>
      </c>
      <c r="C33" s="13">
        <f t="shared" si="0"/>
        <v>8</v>
      </c>
      <c r="D33" s="13">
        <f t="shared" si="1"/>
        <v>64</v>
      </c>
      <c r="E33" s="13"/>
      <c r="F33" s="13">
        <f t="shared" si="3"/>
        <v>8</v>
      </c>
      <c r="G33" s="13"/>
      <c r="H33" s="38">
        <v>501</v>
      </c>
      <c r="I33" s="39" t="s">
        <v>505</v>
      </c>
      <c r="J33" s="39" t="s">
        <v>40</v>
      </c>
      <c r="K33" s="13"/>
      <c r="L33" s="40">
        <f>VLOOKUP(J33,'【3】大区填-楼栋基准格局定价'!B:H,7,0)</f>
        <v>1647.8784</v>
      </c>
      <c r="M33" s="41" t="str">
        <f t="shared" si="4"/>
        <v>较狭小</v>
      </c>
      <c r="N33" s="41">
        <v>10.96</v>
      </c>
      <c r="O33" s="33">
        <f>VLOOKUP($M$1&amp;M33,【1】定价因子!E:F,2,0)</f>
        <v>0.95</v>
      </c>
      <c r="P33" s="33" t="str">
        <f>IF(COUNTIFS(户型资产表!E:E,I33,户型资产表!H:H,"阳台门")&gt;0,"有","无")</f>
        <v>无</v>
      </c>
      <c r="Q33" s="33">
        <f>VLOOKUP($P$1&amp;P33,【1】定价因子!E:F,2,0)</f>
        <v>1</v>
      </c>
      <c r="R33" s="33" t="str">
        <f>IF('【2】运营中心填-基本信息&amp;审核标准'!$D$4="是","无",IF(INT(H33/100)&gt;9,"9F",INT(H33/100)&amp;"F"))</f>
        <v>无</v>
      </c>
      <c r="S33" s="33">
        <f>VLOOKUP(R33,【1】定价因子!D:F,3,0)</f>
        <v>1</v>
      </c>
      <c r="T33" s="33" t="str">
        <f>IF('【2】运营中心填-基本信息&amp;审核标准'!$D$4="否","无",IF(INT(H33/100)=1,"1F",IF(AND(INT(H33/100)&gt;=2,INT(H33/100)&lt;=3),"2-3F",IF(INT(H33/100)=4,"4F",IF(AND(INT(H33/100)&gt;=5,INT(H33/100)&lt;=6),"5-6F",IF(AND(INT(H33/100)&gt;=7,INT(H33/100)&lt;=8),"7-8F",IF(AND(INT(H33/100)&gt;=9,INT(H33/100)&lt;=10),"9-10F",IF(AND(INT(H33/100)&gt;=11,INT(H33/100)&lt;=12),"11-12F",IF(INT(H33/100)&gt;=13,"13以上F","")))))))))</f>
        <v>5-6F</v>
      </c>
      <c r="U33" s="33">
        <f>VLOOKUP($T$1&amp;T33,【1】定价因子!E:F,2,0)</f>
        <v>1.01</v>
      </c>
      <c r="V33" s="33" t="str">
        <f>IF(COUNTIFS(户型资产表!E:E,I33,户型资产表!H:H,"操作台")&gt;0,"有","无")</f>
        <v>有</v>
      </c>
      <c r="W33" s="33" t="str">
        <f>IF(COUNTIFS(户型资产表!E:E,I33,户型资产表!H:H,"书桌")&gt;0,"有","无")</f>
        <v>有</v>
      </c>
      <c r="X33" s="33" t="str">
        <f t="array" ref="X33">IF(SUMPRODUCT((户型资产表!E:E=I33)*((户型资产表!I:I="沙发01单人")+(户型资产表!I:I="单人沙发02")))&gt;0,"有","无")</f>
        <v>无</v>
      </c>
      <c r="Y33" s="33" t="str">
        <f t="array" ref="Y33">IF(SUMPRODUCT((户型资产表!E:E=I33)*((户型资产表!I:I="沙发02两人")+(户型资产表!I:I="双人沙发01")))&gt;0,"有","无")</f>
        <v>无</v>
      </c>
      <c r="Z33" s="33" t="str">
        <f>IF(COUNTIFS(户型资产表!E:E,I33,户型资产表!H:H,"餐桌")&gt;0,"有","无")</f>
        <v>无</v>
      </c>
      <c r="AA33" s="33" t="str">
        <f>IF(COUNTIFS(户型资产表!E:E,I33,户型资产表!H:H,"吸油烟机")&gt;0,"有","无")</f>
        <v>无</v>
      </c>
      <c r="AB33" s="33" t="str">
        <f>IF(COUNTIFS(户型资产表!E:E,I33,户型资产表!H:H,"冰箱")&gt;0,"有","无")</f>
        <v>无</v>
      </c>
      <c r="AC33" s="33" t="str">
        <f>IF(COUNTIFS(户型资产表!E:E,I33,户型资产表!H:H,"电视柜")&gt;0,"有","无")</f>
        <v>无</v>
      </c>
      <c r="AD33" s="41" t="str">
        <f t="shared" si="5"/>
        <v>适中</v>
      </c>
      <c r="AE33" s="33">
        <f>VLOOKUP($AD$1&amp;AD33,【1】定价因子!E:F,2,0)</f>
        <v>1</v>
      </c>
      <c r="AF33" s="41" t="str">
        <f t="shared" si="6"/>
        <v>适中</v>
      </c>
      <c r="AG33" s="33">
        <f>VLOOKUP($AF$1&amp;AF33,【1】定价因子!E:F,2,0)</f>
        <v>1</v>
      </c>
      <c r="AH33" s="41" t="str">
        <f t="shared" si="7"/>
        <v>适中</v>
      </c>
      <c r="AI33" s="33">
        <f>VLOOKUP($AH$1&amp;AH33,【1】定价因子!E:F,2,0)</f>
        <v>1</v>
      </c>
      <c r="AJ33" s="33" t="str">
        <f>VLOOKUP(H33,'【3-1】大区填-采光基本要素'!A:H,8,0)</f>
        <v>5</v>
      </c>
      <c r="AK33" s="33">
        <f>VLOOKUP($AJ$1&amp;AJ33,【1】定价因子!E:F,2,0)</f>
        <v>1.06</v>
      </c>
      <c r="AL33" s="34">
        <f t="shared" si="8"/>
        <v>1676.007684288</v>
      </c>
      <c r="AM33" s="42">
        <v>1530</v>
      </c>
      <c r="AN33" s="43">
        <f t="shared" si="9"/>
        <v>-0.0871163573155256</v>
      </c>
    </row>
    <row r="34" spans="1:40">
      <c r="A34" s="37" t="str">
        <f>'【2】运营中心填-基本信息&amp;审核标准'!$E$2</f>
        <v>兴围西4-11栋</v>
      </c>
      <c r="B34" s="13">
        <f t="shared" si="2"/>
        <v>5</v>
      </c>
      <c r="C34" s="13">
        <f t="shared" ref="C34:C65" si="10">COUNTIF($B$2:$B$72,B34)</f>
        <v>8</v>
      </c>
      <c r="D34" s="13">
        <f t="shared" ref="D34:D65" si="11">COUNTIF(C$2:C$72,C34)</f>
        <v>64</v>
      </c>
      <c r="E34" s="13"/>
      <c r="F34" s="13">
        <f t="shared" si="3"/>
        <v>8</v>
      </c>
      <c r="G34" s="13"/>
      <c r="H34" s="38">
        <v>502</v>
      </c>
      <c r="I34" s="39" t="s">
        <v>499</v>
      </c>
      <c r="J34" s="39" t="s">
        <v>43</v>
      </c>
      <c r="K34" s="13"/>
      <c r="L34" s="40">
        <f>VLOOKUP(J34,'【3】大区填-楼栋基准格局定价'!B:H,7,0)</f>
        <v>2445.5088</v>
      </c>
      <c r="M34" s="41" t="str">
        <f t="shared" si="4"/>
        <v>很狭小</v>
      </c>
      <c r="N34" s="41">
        <v>18.86</v>
      </c>
      <c r="O34" s="33">
        <f>VLOOKUP($M$1&amp;M34,【1】定价因子!E:F,2,0)</f>
        <v>0.9</v>
      </c>
      <c r="P34" s="33" t="str">
        <f>IF(COUNTIFS(户型资产表!E:E,I34,户型资产表!H:H,"阳台门")&gt;0,"有","无")</f>
        <v>无</v>
      </c>
      <c r="Q34" s="33">
        <f>VLOOKUP($P$1&amp;P34,【1】定价因子!E:F,2,0)</f>
        <v>1</v>
      </c>
      <c r="R34" s="33" t="str">
        <f>IF('【2】运营中心填-基本信息&amp;审核标准'!$D$4="是","无",IF(INT(H34/100)&gt;9,"9F",INT(H34/100)&amp;"F"))</f>
        <v>无</v>
      </c>
      <c r="S34" s="33">
        <f>VLOOKUP(R34,【1】定价因子!D:F,3,0)</f>
        <v>1</v>
      </c>
      <c r="T34" s="33" t="str">
        <f>IF('【2】运营中心填-基本信息&amp;审核标准'!$D$4="否","无",IF(INT(H34/100)=1,"1F",IF(AND(INT(H34/100)&gt;=2,INT(H34/100)&lt;=3),"2-3F",IF(INT(H34/100)=4,"4F",IF(AND(INT(H34/100)&gt;=5,INT(H34/100)&lt;=6),"5-6F",IF(AND(INT(H34/100)&gt;=7,INT(H34/100)&lt;=8),"7-8F",IF(AND(INT(H34/100)&gt;=9,INT(H34/100)&lt;=10),"9-10F",IF(AND(INT(H34/100)&gt;=11,INT(H34/100)&lt;=12),"11-12F",IF(INT(H34/100)&gt;=13,"13以上F","")))))))))</f>
        <v>5-6F</v>
      </c>
      <c r="U34" s="33">
        <f>VLOOKUP($T$1&amp;T34,【1】定价因子!E:F,2,0)</f>
        <v>1.01</v>
      </c>
      <c r="V34" s="33" t="str">
        <f>IF(COUNTIFS(户型资产表!E:E,I34,户型资产表!H:H,"操作台")&gt;0,"有","无")</f>
        <v>有</v>
      </c>
      <c r="W34" s="33" t="str">
        <f>IF(COUNTIFS(户型资产表!E:E,I34,户型资产表!H:H,"书桌")&gt;0,"有","无")</f>
        <v>有</v>
      </c>
      <c r="X34" s="33" t="str">
        <f t="array" ref="X34">IF(SUMPRODUCT((户型资产表!E:E=I34)*((户型资产表!I:I="沙发01单人")+(户型资产表!I:I="单人沙发02")))&gt;0,"有","无")</f>
        <v>无</v>
      </c>
      <c r="Y34" s="33" t="str">
        <f t="array" ref="Y34">IF(SUMPRODUCT((户型资产表!E:E=I34)*((户型资产表!I:I="沙发02两人")+(户型资产表!I:I="双人沙发01")))&gt;0,"有","无")</f>
        <v>有</v>
      </c>
      <c r="Z34" s="33" t="str">
        <f>IF(COUNTIFS(户型资产表!E:E,I34,户型资产表!H:H,"餐桌")&gt;0,"有","无")</f>
        <v>有</v>
      </c>
      <c r="AA34" s="33" t="str">
        <f>IF(COUNTIFS(户型资产表!E:E,I34,户型资产表!H:H,"吸油烟机")&gt;0,"有","无")</f>
        <v>无</v>
      </c>
      <c r="AB34" s="33" t="str">
        <f>IF(COUNTIFS(户型资产表!E:E,I34,户型资产表!H:H,"冰箱")&gt;0,"有","无")</f>
        <v>无</v>
      </c>
      <c r="AC34" s="33" t="str">
        <f>IF(COUNTIFS(户型资产表!E:E,I34,户型资产表!H:H,"电视柜")&gt;0,"有","无")</f>
        <v>无</v>
      </c>
      <c r="AD34" s="41" t="str">
        <f t="shared" si="5"/>
        <v>适中</v>
      </c>
      <c r="AE34" s="33">
        <f>VLOOKUP($AD$1&amp;AD34,【1】定价因子!E:F,2,0)</f>
        <v>1</v>
      </c>
      <c r="AF34" s="41" t="s">
        <v>63</v>
      </c>
      <c r="AG34" s="33">
        <f>VLOOKUP($AF$1&amp;AF34,【1】定价因子!E:F,2,0)</f>
        <v>1</v>
      </c>
      <c r="AH34" s="41" t="str">
        <f t="shared" si="7"/>
        <v>适中</v>
      </c>
      <c r="AI34" s="33">
        <f>VLOOKUP($AH$1&amp;AH34,【1】定价因子!E:F,2,0)</f>
        <v>1</v>
      </c>
      <c r="AJ34" s="33" t="str">
        <f>VLOOKUP(H34,'【3-1】大区填-采光基本要素'!A:H,8,0)</f>
        <v>2</v>
      </c>
      <c r="AK34" s="33">
        <f>VLOOKUP($AJ$1&amp;AJ34,【1】定价因子!E:F,2,0)</f>
        <v>0.96</v>
      </c>
      <c r="AL34" s="34">
        <f t="shared" si="8"/>
        <v>2134.048799232</v>
      </c>
      <c r="AM34" s="42">
        <v>2080</v>
      </c>
      <c r="AN34" s="43">
        <f t="shared" si="9"/>
        <v>-0.0253268806465209</v>
      </c>
    </row>
    <row r="35" spans="1:40">
      <c r="A35" s="37" t="str">
        <f>'【2】运营中心填-基本信息&amp;审核标准'!$E$2</f>
        <v>兴围西4-11栋</v>
      </c>
      <c r="B35" s="13">
        <f t="shared" ref="B35:B66" si="12">INT(H35/100)</f>
        <v>5</v>
      </c>
      <c r="C35" s="13">
        <f t="shared" si="10"/>
        <v>8</v>
      </c>
      <c r="D35" s="13">
        <f t="shared" si="11"/>
        <v>64</v>
      </c>
      <c r="E35" s="13"/>
      <c r="F35" s="13">
        <f t="shared" ref="F35:F66" si="13">IF(D35=$E$2,C35,"")</f>
        <v>8</v>
      </c>
      <c r="G35" s="13"/>
      <c r="H35" s="38">
        <v>503</v>
      </c>
      <c r="I35" s="39" t="s">
        <v>506</v>
      </c>
      <c r="J35" s="39" t="s">
        <v>40</v>
      </c>
      <c r="K35" s="13"/>
      <c r="L35" s="40">
        <f>VLOOKUP(J35,'【3】大区填-楼栋基准格局定价'!B:H,7,0)</f>
        <v>1647.8784</v>
      </c>
      <c r="M35" s="41" t="str">
        <f t="shared" ref="M35:M66" si="14">IF(OR(J35="开间",J35="二人宿舍"),IF(N35&lt;10,"很狭小",IF(N35&lt;13,"较狭小",IF(N35&lt;17,"适中",IF(N35&lt;20,"较宽敞","很宽敞")))),IF(OR(J35="一居室",J35="四人宿舍"),IF(N35&lt;20,"很狭小",IF(N35&lt;23,"较狭小",IF(N35&lt;26,"适中",IF(N35&lt;28,"较宽敞","很宽敞")))),IF(OR(J35="二居室",J35="六人宿舍"),IF(N35&lt;30,"很狭小",IF(N35&lt;35,"较狭小",IF(N35&lt;40,"适中",IF(N35&lt;45,"较宽敞","很宽敞")))),"")))</f>
        <v>适中</v>
      </c>
      <c r="N35" s="41">
        <v>13.87</v>
      </c>
      <c r="O35" s="33">
        <f>VLOOKUP($M$1&amp;M35,【1】定价因子!E:F,2,0)</f>
        <v>1</v>
      </c>
      <c r="P35" s="33" t="str">
        <f>IF(COUNTIFS(户型资产表!E:E,I35,户型资产表!H:H,"阳台门")&gt;0,"有","无")</f>
        <v>有</v>
      </c>
      <c r="Q35" s="33">
        <f>VLOOKUP($P$1&amp;P35,【1】定价因子!E:F,2,0)</f>
        <v>1.07</v>
      </c>
      <c r="R35" s="33" t="str">
        <f>IF('【2】运营中心填-基本信息&amp;审核标准'!$D$4="是","无",IF(INT(H35/100)&gt;9,"9F",INT(H35/100)&amp;"F"))</f>
        <v>无</v>
      </c>
      <c r="S35" s="33">
        <f>VLOOKUP(R35,【1】定价因子!D:F,3,0)</f>
        <v>1</v>
      </c>
      <c r="T35" s="33" t="str">
        <f>IF('【2】运营中心填-基本信息&amp;审核标准'!$D$4="否","无",IF(INT(H35/100)=1,"1F",IF(AND(INT(H35/100)&gt;=2,INT(H35/100)&lt;=3),"2-3F",IF(INT(H35/100)=4,"4F",IF(AND(INT(H35/100)&gt;=5,INT(H35/100)&lt;=6),"5-6F",IF(AND(INT(H35/100)&gt;=7,INT(H35/100)&lt;=8),"7-8F",IF(AND(INT(H35/100)&gt;=9,INT(H35/100)&lt;=10),"9-10F",IF(AND(INT(H35/100)&gt;=11,INT(H35/100)&lt;=12),"11-12F",IF(INT(H35/100)&gt;=13,"13以上F","")))))))))</f>
        <v>5-6F</v>
      </c>
      <c r="U35" s="33">
        <f>VLOOKUP($T$1&amp;T35,【1】定价因子!E:F,2,0)</f>
        <v>1.01</v>
      </c>
      <c r="V35" s="33" t="str">
        <f>IF(COUNTIFS(户型资产表!E:E,I35,户型资产表!H:H,"操作台")&gt;0,"有","无")</f>
        <v>有</v>
      </c>
      <c r="W35" s="33" t="str">
        <f>IF(COUNTIFS(户型资产表!E:E,I35,户型资产表!H:H,"书桌")&gt;0,"有","无")</f>
        <v>有</v>
      </c>
      <c r="X35" s="33" t="str">
        <f t="array" ref="X35">IF(SUMPRODUCT((户型资产表!E:E=I35)*((户型资产表!I:I="沙发01单人")+(户型资产表!I:I="单人沙发02")))&gt;0,"有","无")</f>
        <v>无</v>
      </c>
      <c r="Y35" s="33" t="str">
        <f t="array" ref="Y35">IF(SUMPRODUCT((户型资产表!E:E=I35)*((户型资产表!I:I="沙发02两人")+(户型资产表!I:I="双人沙发01")))&gt;0,"有","无")</f>
        <v>无</v>
      </c>
      <c r="Z35" s="33" t="str">
        <f>IF(COUNTIFS(户型资产表!E:E,I35,户型资产表!H:H,"餐桌")&gt;0,"有","无")</f>
        <v>无</v>
      </c>
      <c r="AA35" s="33" t="str">
        <f>IF(COUNTIFS(户型资产表!E:E,I35,户型资产表!H:H,"吸油烟机")&gt;0,"有","无")</f>
        <v>无</v>
      </c>
      <c r="AB35" s="33" t="str">
        <f>IF(COUNTIFS(户型资产表!E:E,I35,户型资产表!H:H,"冰箱")&gt;0,"有","无")</f>
        <v>无</v>
      </c>
      <c r="AC35" s="33" t="str">
        <f>IF(COUNTIFS(户型资产表!E:E,I35,户型资产表!H:H,"电视柜")&gt;0,"有","无")</f>
        <v>无</v>
      </c>
      <c r="AD35" s="41" t="str">
        <f t="shared" ref="AD35:AD66" si="15">IF(J35="开间",IF(AND(V35="无",W35="无"),"缺失",IF(AND(V35="无",W35="有"),"缺失（操作台）",IF(AND(V35="有",W35="无"),"缺失（书桌）",IF(AND(V35="有",W35="有"),IF(OR(AA35="有",Y35="有"),"充足（油烟机/双人沙发）",IF(OR(X35="有",Z35="有"),"充足（单人沙发/餐桌）",IF(AND(OR(X35="有",Y35="有"),Z35="有"),"非常充足","适中"))),"")))),"适中")</f>
        <v>适中</v>
      </c>
      <c r="AE35" s="33">
        <f>VLOOKUP($AD$1&amp;AD35,【1】定价因子!E:F,2,0)</f>
        <v>1</v>
      </c>
      <c r="AF35" s="41" t="str">
        <f t="shared" ref="AF35:AF65" si="16">IF(J35="一居室",IF(AND(V35="无",Y35="无",Z35="无"),"缺失",IF(OR(AND(Z35="有",V35="无",Y35="无"),AND(Z35="有",V35="无",Y35="有"),AND(Z35="有",V35="有",Y35="无"),AND(Z35="无",V35="有",Y35="无"),AND(Z35="无",V35="无",Y35="有")),"缺失（操作台/双人沙发）",IF(AND(V35="有",Y35="有",Z35="无"),"缺失（餐桌）",IF(AND(V35="有",Y35="有",Z35="有"),IF(AND(W35="无",AA35="有"),"充配（油烟机）",IF(AND(W35="有",AA35="无"),"充配（书桌）",IF(AND(W35="有",AA35="有"),"非常充配","适中"))),"")))),"适中")</f>
        <v>适中</v>
      </c>
      <c r="AG35" s="33">
        <f>VLOOKUP($AF$1&amp;AF35,【1】定价因子!E:F,2,0)</f>
        <v>1</v>
      </c>
      <c r="AH35" s="41" t="str">
        <f t="shared" ref="AH35:AH66" si="17">IF(J35="二居室",IF(AND(Y35="无",Z35="无",AC35="无",V35="无"),"缺失",IF(OR(AND(Y35="无",Z35="无",AC35="有"),AND(Y35="无",Z35="无",V35="有"),AND(Y35="无",Z35="无",AC35="有",V35="有"),AND(Y35="无",Z35="有",AC35="无"),AND(Y35="无",Z35="有",V35="无"),AND(Y35="无",Z35="有",AC35="有"),AND(Y35="无",Z35="有",V35="有"),AND(Y35="有",Z35="无",AC35="无"),AND(Y35="有",Z35="无",V35="无"),AND(Y35="有",Z35="无",AC35="有"),AND(Y35="有",Z35="无",V35="有")),"缺失（沙发/餐桌）",IF(AND(Y35="有",Z35="有",OR(AC35="无",V35="无")),"缺失（电视柜/操作台）",IF(AND(Y35="有",Z35="有",AC35="有",V35="有"),IF(OR(AA35="有",AB35="有"),"充配（油烟机/冰箱）",IF(AND(AA35="无",AB35="无"),"适中","")),"")))),"适中")</f>
        <v>适中</v>
      </c>
      <c r="AI35" s="33">
        <f>VLOOKUP($AH$1&amp;AH35,【1】定价因子!E:F,2,0)</f>
        <v>1</v>
      </c>
      <c r="AJ35" s="33" t="str">
        <f>VLOOKUP(H35,'【3-1】大区填-采光基本要素'!A:H,8,0)</f>
        <v>4</v>
      </c>
      <c r="AK35" s="33">
        <f>VLOOKUP($AJ$1&amp;AJ35,【1】定价因子!E:F,2,0)</f>
        <v>1.03</v>
      </c>
      <c r="AL35" s="34">
        <f t="shared" ref="AL35:AL66" si="18">L35*PRODUCT(AG35,AK35,AE35,U35,S35,Q35,O35)</f>
        <v>1834.2880524864</v>
      </c>
      <c r="AM35" s="42">
        <v>1660</v>
      </c>
      <c r="AN35" s="43">
        <f t="shared" ref="AN35:AN66" si="19">AM35/AL35-1</f>
        <v>-0.0950167299242617</v>
      </c>
    </row>
    <row r="36" spans="1:40">
      <c r="A36" s="37" t="str">
        <f>'【2】运营中心填-基本信息&amp;审核标准'!$E$2</f>
        <v>兴围西4-11栋</v>
      </c>
      <c r="B36" s="13">
        <f t="shared" si="12"/>
        <v>5</v>
      </c>
      <c r="C36" s="13">
        <f t="shared" si="10"/>
        <v>8</v>
      </c>
      <c r="D36" s="13">
        <f t="shared" si="11"/>
        <v>64</v>
      </c>
      <c r="E36" s="13"/>
      <c r="F36" s="13">
        <f t="shared" si="13"/>
        <v>8</v>
      </c>
      <c r="G36" s="13"/>
      <c r="H36" s="38">
        <v>504</v>
      </c>
      <c r="I36" s="39" t="s">
        <v>507</v>
      </c>
      <c r="J36" s="39" t="s">
        <v>40</v>
      </c>
      <c r="K36" s="13"/>
      <c r="L36" s="40">
        <f>VLOOKUP(J36,'【3】大区填-楼栋基准格局定价'!B:H,7,0)</f>
        <v>1647.8784</v>
      </c>
      <c r="M36" s="41" t="s">
        <v>63</v>
      </c>
      <c r="N36" s="41">
        <v>19.76</v>
      </c>
      <c r="O36" s="33">
        <f>VLOOKUP($M$1&amp;M36,【1】定价因子!E:F,2,0)</f>
        <v>1</v>
      </c>
      <c r="P36" s="33" t="str">
        <f>IF(COUNTIFS(户型资产表!E:E,I36,户型资产表!H:H,"阳台门")&gt;0,"有","无")</f>
        <v>无</v>
      </c>
      <c r="Q36" s="33">
        <f>VLOOKUP($P$1&amp;P36,【1】定价因子!E:F,2,0)</f>
        <v>1</v>
      </c>
      <c r="R36" s="33" t="str">
        <f>IF('【2】运营中心填-基本信息&amp;审核标准'!$D$4="是","无",IF(INT(H36/100)&gt;9,"9F",INT(H36/100)&amp;"F"))</f>
        <v>无</v>
      </c>
      <c r="S36" s="33">
        <f>VLOOKUP(R36,【1】定价因子!D:F,3,0)</f>
        <v>1</v>
      </c>
      <c r="T36" s="33" t="str">
        <f>IF('【2】运营中心填-基本信息&amp;审核标准'!$D$4="否","无",IF(INT(H36/100)=1,"1F",IF(AND(INT(H36/100)&gt;=2,INT(H36/100)&lt;=3),"2-3F",IF(INT(H36/100)=4,"4F",IF(AND(INT(H36/100)&gt;=5,INT(H36/100)&lt;=6),"5-6F",IF(AND(INT(H36/100)&gt;=7,INT(H36/100)&lt;=8),"7-8F",IF(AND(INT(H36/100)&gt;=9,INT(H36/100)&lt;=10),"9-10F",IF(AND(INT(H36/100)&gt;=11,INT(H36/100)&lt;=12),"11-12F",IF(INT(H36/100)&gt;=13,"13以上F","")))))))))</f>
        <v>5-6F</v>
      </c>
      <c r="U36" s="33">
        <f>VLOOKUP($T$1&amp;T36,【1】定价因子!E:F,2,0)</f>
        <v>1.01</v>
      </c>
      <c r="V36" s="33" t="str">
        <f>IF(COUNTIFS(户型资产表!E:E,I36,户型资产表!H:H,"操作台")&gt;0,"有","无")</f>
        <v>有</v>
      </c>
      <c r="W36" s="33" t="str">
        <f>IF(COUNTIFS(户型资产表!E:E,I36,户型资产表!H:H,"书桌")&gt;0,"有","无")</f>
        <v>有</v>
      </c>
      <c r="X36" s="33" t="str">
        <f t="array" ref="X36">IF(SUMPRODUCT((户型资产表!E:E=I36)*((户型资产表!I:I="沙发01单人")+(户型资产表!I:I="单人沙发02")))&gt;0,"有","无")</f>
        <v>无</v>
      </c>
      <c r="Y36" s="33" t="str">
        <f t="array" ref="Y36">IF(SUMPRODUCT((户型资产表!E:E=I36)*((户型资产表!I:I="沙发02两人")+(户型资产表!I:I="双人沙发01")))&gt;0,"有","无")</f>
        <v>无</v>
      </c>
      <c r="Z36" s="33" t="str">
        <f>IF(COUNTIFS(户型资产表!E:E,I36,户型资产表!H:H,"餐桌")&gt;0,"有","无")</f>
        <v>无</v>
      </c>
      <c r="AA36" s="33" t="str">
        <f>IF(COUNTIFS(户型资产表!E:E,I36,户型资产表!H:H,"吸油烟机")&gt;0,"有","无")</f>
        <v>无</v>
      </c>
      <c r="AB36" s="33" t="str">
        <f>IF(COUNTIFS(户型资产表!E:E,I36,户型资产表!H:H,"冰箱")&gt;0,"有","无")</f>
        <v>无</v>
      </c>
      <c r="AC36" s="33" t="str">
        <f>IF(COUNTIFS(户型资产表!E:E,I36,户型资产表!H:H,"电视柜")&gt;0,"有","无")</f>
        <v>无</v>
      </c>
      <c r="AD36" s="41" t="str">
        <f t="shared" si="15"/>
        <v>适中</v>
      </c>
      <c r="AE36" s="33">
        <f>VLOOKUP($AD$1&amp;AD36,【1】定价因子!E:F,2,0)</f>
        <v>1</v>
      </c>
      <c r="AF36" s="41" t="str">
        <f t="shared" si="16"/>
        <v>适中</v>
      </c>
      <c r="AG36" s="33">
        <f>VLOOKUP($AF$1&amp;AF36,【1】定价因子!E:F,2,0)</f>
        <v>1</v>
      </c>
      <c r="AH36" s="41" t="str">
        <f t="shared" si="17"/>
        <v>适中</v>
      </c>
      <c r="AI36" s="33">
        <f>VLOOKUP($AH$1&amp;AH36,【1】定价因子!E:F,2,0)</f>
        <v>1</v>
      </c>
      <c r="AJ36" s="33" t="str">
        <f>VLOOKUP(H36,'【3-1】大区填-采光基本要素'!A:H,8,0)</f>
        <v>2</v>
      </c>
      <c r="AK36" s="33">
        <f>VLOOKUP($AJ$1&amp;AJ36,【1】定价因子!E:F,2,0)</f>
        <v>0.96</v>
      </c>
      <c r="AL36" s="34">
        <f t="shared" si="18"/>
        <v>1597.78289664</v>
      </c>
      <c r="AM36" s="42">
        <v>1460</v>
      </c>
      <c r="AN36" s="43">
        <f t="shared" si="19"/>
        <v>-0.0862338036849346</v>
      </c>
    </row>
    <row r="37" spans="1:40">
      <c r="A37" s="37" t="str">
        <f>'【2】运营中心填-基本信息&amp;审核标准'!$E$2</f>
        <v>兴围西4-11栋</v>
      </c>
      <c r="B37" s="13">
        <f t="shared" si="12"/>
        <v>5</v>
      </c>
      <c r="C37" s="13">
        <f t="shared" si="10"/>
        <v>8</v>
      </c>
      <c r="D37" s="13">
        <f t="shared" si="11"/>
        <v>64</v>
      </c>
      <c r="E37" s="13"/>
      <c r="F37" s="13">
        <f t="shared" si="13"/>
        <v>8</v>
      </c>
      <c r="G37" s="13"/>
      <c r="H37" s="38">
        <v>505</v>
      </c>
      <c r="I37" s="39" t="s">
        <v>502</v>
      </c>
      <c r="J37" s="39" t="s">
        <v>40</v>
      </c>
      <c r="K37" s="13"/>
      <c r="L37" s="40">
        <f>VLOOKUP(J37,'【3】大区填-楼栋基准格局定价'!B:H,7,0)</f>
        <v>1647.8784</v>
      </c>
      <c r="M37" s="41" t="str">
        <f t="shared" si="14"/>
        <v>适中</v>
      </c>
      <c r="N37" s="41">
        <v>13.79</v>
      </c>
      <c r="O37" s="33">
        <f>VLOOKUP($M$1&amp;M37,【1】定价因子!E:F,2,0)</f>
        <v>1</v>
      </c>
      <c r="P37" s="33" t="str">
        <f>IF(COUNTIFS(户型资产表!E:E,I37,户型资产表!H:H,"阳台门")&gt;0,"有","无")</f>
        <v>无</v>
      </c>
      <c r="Q37" s="33">
        <f>VLOOKUP($P$1&amp;P37,【1】定价因子!E:F,2,0)</f>
        <v>1</v>
      </c>
      <c r="R37" s="33" t="str">
        <f>IF('【2】运营中心填-基本信息&amp;审核标准'!$D$4="是","无",IF(INT(H37/100)&gt;9,"9F",INT(H37/100)&amp;"F"))</f>
        <v>无</v>
      </c>
      <c r="S37" s="33">
        <f>VLOOKUP(R37,【1】定价因子!D:F,3,0)</f>
        <v>1</v>
      </c>
      <c r="T37" s="33" t="str">
        <f>IF('【2】运营中心填-基本信息&amp;审核标准'!$D$4="否","无",IF(INT(H37/100)=1,"1F",IF(AND(INT(H37/100)&gt;=2,INT(H37/100)&lt;=3),"2-3F",IF(INT(H37/100)=4,"4F",IF(AND(INT(H37/100)&gt;=5,INT(H37/100)&lt;=6),"5-6F",IF(AND(INT(H37/100)&gt;=7,INT(H37/100)&lt;=8),"7-8F",IF(AND(INT(H37/100)&gt;=9,INT(H37/100)&lt;=10),"9-10F",IF(AND(INT(H37/100)&gt;=11,INT(H37/100)&lt;=12),"11-12F",IF(INT(H37/100)&gt;=13,"13以上F","")))))))))</f>
        <v>5-6F</v>
      </c>
      <c r="U37" s="33">
        <f>VLOOKUP($T$1&amp;T37,【1】定价因子!E:F,2,0)</f>
        <v>1.01</v>
      </c>
      <c r="V37" s="33" t="str">
        <f>IF(COUNTIFS(户型资产表!E:E,I37,户型资产表!H:H,"操作台")&gt;0,"有","无")</f>
        <v>有</v>
      </c>
      <c r="W37" s="33" t="str">
        <f>IF(COUNTIFS(户型资产表!E:E,I37,户型资产表!H:H,"书桌")&gt;0,"有","无")</f>
        <v>有</v>
      </c>
      <c r="X37" s="33" t="str">
        <f t="array" ref="X37">IF(SUMPRODUCT((户型资产表!E:E=I37)*((户型资产表!I:I="沙发01单人")+(户型资产表!I:I="单人沙发02")))&gt;0,"有","无")</f>
        <v>无</v>
      </c>
      <c r="Y37" s="33" t="str">
        <f t="array" ref="Y37">IF(SUMPRODUCT((户型资产表!E:E=I37)*((户型资产表!I:I="沙发02两人")+(户型资产表!I:I="双人沙发01")))&gt;0,"有","无")</f>
        <v>无</v>
      </c>
      <c r="Z37" s="33" t="str">
        <f>IF(COUNTIFS(户型资产表!E:E,I37,户型资产表!H:H,"餐桌")&gt;0,"有","无")</f>
        <v>无</v>
      </c>
      <c r="AA37" s="33" t="str">
        <f>IF(COUNTIFS(户型资产表!E:E,I37,户型资产表!H:H,"吸油烟机")&gt;0,"有","无")</f>
        <v>无</v>
      </c>
      <c r="AB37" s="33" t="str">
        <f>IF(COUNTIFS(户型资产表!E:E,I37,户型资产表!H:H,"冰箱")&gt;0,"有","无")</f>
        <v>无</v>
      </c>
      <c r="AC37" s="33" t="str">
        <f>IF(COUNTIFS(户型资产表!E:E,I37,户型资产表!H:H,"电视柜")&gt;0,"有","无")</f>
        <v>无</v>
      </c>
      <c r="AD37" s="41" t="str">
        <f t="shared" si="15"/>
        <v>适中</v>
      </c>
      <c r="AE37" s="33">
        <f>VLOOKUP($AD$1&amp;AD37,【1】定价因子!E:F,2,0)</f>
        <v>1</v>
      </c>
      <c r="AF37" s="41" t="str">
        <f t="shared" si="16"/>
        <v>适中</v>
      </c>
      <c r="AG37" s="33">
        <f>VLOOKUP($AF$1&amp;AF37,【1】定价因子!E:F,2,0)</f>
        <v>1</v>
      </c>
      <c r="AH37" s="41" t="str">
        <f t="shared" si="17"/>
        <v>适中</v>
      </c>
      <c r="AI37" s="33">
        <f>VLOOKUP($AH$1&amp;AH37,【1】定价因子!E:F,2,0)</f>
        <v>1</v>
      </c>
      <c r="AJ37" s="33" t="str">
        <f>VLOOKUP(H37,'【3-1】大区填-采光基本要素'!A:H,8,0)</f>
        <v>4</v>
      </c>
      <c r="AK37" s="33">
        <f>VLOOKUP($AJ$1&amp;AJ37,【1】定价因子!E:F,2,0)</f>
        <v>1.03</v>
      </c>
      <c r="AL37" s="34">
        <f t="shared" si="18"/>
        <v>1714.28789952</v>
      </c>
      <c r="AM37" s="42">
        <v>1560</v>
      </c>
      <c r="AN37" s="43">
        <f t="shared" si="19"/>
        <v>-0.0900011599937214</v>
      </c>
    </row>
    <row r="38" spans="1:40">
      <c r="A38" s="37" t="str">
        <f>'【2】运营中心填-基本信息&amp;审核标准'!$E$2</f>
        <v>兴围西4-11栋</v>
      </c>
      <c r="B38" s="13">
        <f t="shared" si="12"/>
        <v>5</v>
      </c>
      <c r="C38" s="13">
        <f t="shared" si="10"/>
        <v>8</v>
      </c>
      <c r="D38" s="13">
        <f t="shared" si="11"/>
        <v>64</v>
      </c>
      <c r="E38" s="13"/>
      <c r="F38" s="13">
        <f t="shared" si="13"/>
        <v>8</v>
      </c>
      <c r="G38" s="13"/>
      <c r="H38" s="38">
        <v>506</v>
      </c>
      <c r="I38" s="39" t="s">
        <v>503</v>
      </c>
      <c r="J38" s="39" t="s">
        <v>43</v>
      </c>
      <c r="K38" s="13"/>
      <c r="L38" s="40">
        <f>VLOOKUP(J38,'【3】大区填-楼栋基准格局定价'!B:H,7,0)</f>
        <v>2445.5088</v>
      </c>
      <c r="M38" s="41" t="str">
        <f t="shared" si="14"/>
        <v>很狭小</v>
      </c>
      <c r="N38" s="41">
        <v>11.35</v>
      </c>
      <c r="O38" s="33">
        <f>VLOOKUP($M$1&amp;M38,【1】定价因子!E:F,2,0)</f>
        <v>0.9</v>
      </c>
      <c r="P38" s="33" t="str">
        <f>IF(COUNTIFS(户型资产表!E:E,I38,户型资产表!H:H,"阳台门")&gt;0,"有","无")</f>
        <v>无</v>
      </c>
      <c r="Q38" s="33">
        <f>VLOOKUP($P$1&amp;P38,【1】定价因子!E:F,2,0)</f>
        <v>1</v>
      </c>
      <c r="R38" s="33" t="str">
        <f>IF('【2】运营中心填-基本信息&amp;审核标准'!$D$4="是","无",IF(INT(H38/100)&gt;9,"9F",INT(H38/100)&amp;"F"))</f>
        <v>无</v>
      </c>
      <c r="S38" s="33">
        <f>VLOOKUP(R38,【1】定价因子!D:F,3,0)</f>
        <v>1</v>
      </c>
      <c r="T38" s="33" t="str">
        <f>IF('【2】运营中心填-基本信息&amp;审核标准'!$D$4="否","无",IF(INT(H38/100)=1,"1F",IF(AND(INT(H38/100)&gt;=2,INT(H38/100)&lt;=3),"2-3F",IF(INT(H38/100)=4,"4F",IF(AND(INT(H38/100)&gt;=5,INT(H38/100)&lt;=6),"5-6F",IF(AND(INT(H38/100)&gt;=7,INT(H38/100)&lt;=8),"7-8F",IF(AND(INT(H38/100)&gt;=9,INT(H38/100)&lt;=10),"9-10F",IF(AND(INT(H38/100)&gt;=11,INT(H38/100)&lt;=12),"11-12F",IF(INT(H38/100)&gt;=13,"13以上F","")))))))))</f>
        <v>5-6F</v>
      </c>
      <c r="U38" s="33">
        <f>VLOOKUP($T$1&amp;T38,【1】定价因子!E:F,2,0)</f>
        <v>1.01</v>
      </c>
      <c r="V38" s="33" t="str">
        <f>IF(COUNTIFS(户型资产表!E:E,I38,户型资产表!H:H,"操作台")&gt;0,"有","无")</f>
        <v>有</v>
      </c>
      <c r="W38" s="33" t="str">
        <f>IF(COUNTIFS(户型资产表!E:E,I38,户型资产表!H:H,"书桌")&gt;0,"有","无")</f>
        <v>无</v>
      </c>
      <c r="X38" s="33" t="str">
        <f t="array" ref="X38">IF(SUMPRODUCT((户型资产表!E:E=I38)*((户型资产表!I:I="沙发01单人")+(户型资产表!I:I="单人沙发02")))&gt;0,"有","无")</f>
        <v>无</v>
      </c>
      <c r="Y38" s="33" t="str">
        <f t="array" ref="Y38">IF(SUMPRODUCT((户型资产表!E:E=I38)*((户型资产表!I:I="沙发02两人")+(户型资产表!I:I="双人沙发01")))&gt;0,"有","无")</f>
        <v>有</v>
      </c>
      <c r="Z38" s="33" t="str">
        <f>IF(COUNTIFS(户型资产表!E:E,I38,户型资产表!H:H,"餐桌")&gt;0,"有","无")</f>
        <v>有</v>
      </c>
      <c r="AA38" s="33" t="str">
        <f>IF(COUNTIFS(户型资产表!E:E,I38,户型资产表!H:H,"吸油烟机")&gt;0,"有","无")</f>
        <v>无</v>
      </c>
      <c r="AB38" s="33" t="str">
        <f>IF(COUNTIFS(户型资产表!E:E,I38,户型资产表!H:H,"冰箱")&gt;0,"有","无")</f>
        <v>无</v>
      </c>
      <c r="AC38" s="33" t="str">
        <f>IF(COUNTIFS(户型资产表!E:E,I38,户型资产表!H:H,"电视柜")&gt;0,"有","无")</f>
        <v>无</v>
      </c>
      <c r="AD38" s="41" t="str">
        <f t="shared" si="15"/>
        <v>适中</v>
      </c>
      <c r="AE38" s="33">
        <f>VLOOKUP($AD$1&amp;AD38,【1】定价因子!E:F,2,0)</f>
        <v>1</v>
      </c>
      <c r="AF38" s="41" t="str">
        <f t="shared" si="16"/>
        <v>适中</v>
      </c>
      <c r="AG38" s="33">
        <f>VLOOKUP($AF$1&amp;AF38,【1】定价因子!E:F,2,0)</f>
        <v>1</v>
      </c>
      <c r="AH38" s="41" t="str">
        <f t="shared" si="17"/>
        <v>适中</v>
      </c>
      <c r="AI38" s="33">
        <f>VLOOKUP($AH$1&amp;AH38,【1】定价因子!E:F,2,0)</f>
        <v>1</v>
      </c>
      <c r="AJ38" s="33" t="str">
        <f>VLOOKUP(H38,'【3-1】大区填-采光基本要素'!A:H,8,0)</f>
        <v>1</v>
      </c>
      <c r="AK38" s="33">
        <f>VLOOKUP($AJ$1&amp;AJ38,【1】定价因子!E:F,2,0)</f>
        <v>0.91</v>
      </c>
      <c r="AL38" s="34">
        <f t="shared" si="18"/>
        <v>2022.900424272</v>
      </c>
      <c r="AM38" s="42">
        <v>2000</v>
      </c>
      <c r="AN38" s="43">
        <f t="shared" si="19"/>
        <v>-0.0113205889905538</v>
      </c>
    </row>
    <row r="39" spans="1:40">
      <c r="A39" s="37" t="str">
        <f>'【2】运营中心填-基本信息&amp;审核标准'!$E$2</f>
        <v>兴围西4-11栋</v>
      </c>
      <c r="B39" s="13">
        <f t="shared" si="12"/>
        <v>5</v>
      </c>
      <c r="C39" s="13">
        <f t="shared" si="10"/>
        <v>8</v>
      </c>
      <c r="D39" s="13">
        <f t="shared" si="11"/>
        <v>64</v>
      </c>
      <c r="E39" s="13"/>
      <c r="F39" s="13">
        <f t="shared" si="13"/>
        <v>8</v>
      </c>
      <c r="G39" s="13"/>
      <c r="H39" s="38">
        <v>507</v>
      </c>
      <c r="I39" s="39" t="s">
        <v>501</v>
      </c>
      <c r="J39" s="39" t="s">
        <v>40</v>
      </c>
      <c r="K39" s="13"/>
      <c r="L39" s="40">
        <f>VLOOKUP(J39,'【3】大区填-楼栋基准格局定价'!B:H,7,0)</f>
        <v>1647.8784</v>
      </c>
      <c r="M39" s="41" t="str">
        <f t="shared" si="14"/>
        <v>适中</v>
      </c>
      <c r="N39" s="41">
        <v>13.81</v>
      </c>
      <c r="O39" s="33">
        <f>VLOOKUP($M$1&amp;M39,【1】定价因子!E:F,2,0)</f>
        <v>1</v>
      </c>
      <c r="P39" s="33" t="str">
        <f>IF(COUNTIFS(户型资产表!E:E,I39,户型资产表!H:H,"阳台门")&gt;0,"有","无")</f>
        <v>无</v>
      </c>
      <c r="Q39" s="33">
        <f>VLOOKUP($P$1&amp;P39,【1】定价因子!E:F,2,0)</f>
        <v>1</v>
      </c>
      <c r="R39" s="33" t="str">
        <f>IF('【2】运营中心填-基本信息&amp;审核标准'!$D$4="是","无",IF(INT(H39/100)&gt;9,"9F",INT(H39/100)&amp;"F"))</f>
        <v>无</v>
      </c>
      <c r="S39" s="33">
        <f>VLOOKUP(R39,【1】定价因子!D:F,3,0)</f>
        <v>1</v>
      </c>
      <c r="T39" s="33" t="str">
        <f>IF('【2】运营中心填-基本信息&amp;审核标准'!$D$4="否","无",IF(INT(H39/100)=1,"1F",IF(AND(INT(H39/100)&gt;=2,INT(H39/100)&lt;=3),"2-3F",IF(INT(H39/100)=4,"4F",IF(AND(INT(H39/100)&gt;=5,INT(H39/100)&lt;=6),"5-6F",IF(AND(INT(H39/100)&gt;=7,INT(H39/100)&lt;=8),"7-8F",IF(AND(INT(H39/100)&gt;=9,INT(H39/100)&lt;=10),"9-10F",IF(AND(INT(H39/100)&gt;=11,INT(H39/100)&lt;=12),"11-12F",IF(INT(H39/100)&gt;=13,"13以上F","")))))))))</f>
        <v>5-6F</v>
      </c>
      <c r="U39" s="33">
        <f>VLOOKUP($T$1&amp;T39,【1】定价因子!E:F,2,0)</f>
        <v>1.01</v>
      </c>
      <c r="V39" s="33" t="str">
        <f>IF(COUNTIFS(户型资产表!E:E,I39,户型资产表!H:H,"操作台")&gt;0,"有","无")</f>
        <v>有</v>
      </c>
      <c r="W39" s="33" t="str">
        <f>IF(COUNTIFS(户型资产表!E:E,I39,户型资产表!H:H,"书桌")&gt;0,"有","无")</f>
        <v>有</v>
      </c>
      <c r="X39" s="33" t="str">
        <f t="array" ref="X39">IF(SUMPRODUCT((户型资产表!E:E=I39)*((户型资产表!I:I="沙发01单人")+(户型资产表!I:I="单人沙发02")))&gt;0,"有","无")</f>
        <v>无</v>
      </c>
      <c r="Y39" s="33" t="str">
        <f t="array" ref="Y39">IF(SUMPRODUCT((户型资产表!E:E=I39)*((户型资产表!I:I="沙发02两人")+(户型资产表!I:I="双人沙发01")))&gt;0,"有","无")</f>
        <v>无</v>
      </c>
      <c r="Z39" s="33" t="str">
        <f>IF(COUNTIFS(户型资产表!E:E,I39,户型资产表!H:H,"餐桌")&gt;0,"有","无")</f>
        <v>无</v>
      </c>
      <c r="AA39" s="33" t="str">
        <f>IF(COUNTIFS(户型资产表!E:E,I39,户型资产表!H:H,"吸油烟机")&gt;0,"有","无")</f>
        <v>无</v>
      </c>
      <c r="AB39" s="33" t="str">
        <f>IF(COUNTIFS(户型资产表!E:E,I39,户型资产表!H:H,"冰箱")&gt;0,"有","无")</f>
        <v>无</v>
      </c>
      <c r="AC39" s="33" t="str">
        <f>IF(COUNTIFS(户型资产表!E:E,I39,户型资产表!H:H,"电视柜")&gt;0,"有","无")</f>
        <v>无</v>
      </c>
      <c r="AD39" s="41" t="str">
        <f t="shared" si="15"/>
        <v>适中</v>
      </c>
      <c r="AE39" s="33">
        <f>VLOOKUP($AD$1&amp;AD39,【1】定价因子!E:F,2,0)</f>
        <v>1</v>
      </c>
      <c r="AF39" s="41" t="str">
        <f t="shared" si="16"/>
        <v>适中</v>
      </c>
      <c r="AG39" s="33">
        <f>VLOOKUP($AF$1&amp;AF39,【1】定价因子!E:F,2,0)</f>
        <v>1</v>
      </c>
      <c r="AH39" s="41" t="str">
        <f t="shared" si="17"/>
        <v>适中</v>
      </c>
      <c r="AI39" s="33">
        <f>VLOOKUP($AH$1&amp;AH39,【1】定价因子!E:F,2,0)</f>
        <v>1</v>
      </c>
      <c r="AJ39" s="33" t="str">
        <f>VLOOKUP(H39,'【3-1】大区填-采光基本要素'!A:H,8,0)</f>
        <v>1</v>
      </c>
      <c r="AK39" s="33">
        <f>VLOOKUP($AJ$1&amp;AJ39,【1】定价因子!E:F,2,0)</f>
        <v>0.91</v>
      </c>
      <c r="AL39" s="34">
        <f t="shared" si="18"/>
        <v>1514.56503744</v>
      </c>
      <c r="AM39" s="42">
        <v>1460</v>
      </c>
      <c r="AN39" s="43">
        <f t="shared" si="19"/>
        <v>-0.0360268698214696</v>
      </c>
    </row>
    <row r="40" spans="1:40">
      <c r="A40" s="37" t="str">
        <f>'【2】运营中心填-基本信息&amp;审核标准'!$E$2</f>
        <v>兴围西4-11栋</v>
      </c>
      <c r="B40" s="13">
        <f t="shared" si="12"/>
        <v>5</v>
      </c>
      <c r="C40" s="13">
        <f t="shared" si="10"/>
        <v>8</v>
      </c>
      <c r="D40" s="13">
        <f t="shared" si="11"/>
        <v>64</v>
      </c>
      <c r="E40" s="13"/>
      <c r="F40" s="13">
        <f t="shared" si="13"/>
        <v>8</v>
      </c>
      <c r="G40" s="13"/>
      <c r="H40" s="38">
        <v>508</v>
      </c>
      <c r="I40" s="39" t="s">
        <v>508</v>
      </c>
      <c r="J40" s="39" t="s">
        <v>43</v>
      </c>
      <c r="K40" s="13"/>
      <c r="L40" s="40">
        <f>VLOOKUP(J40,'【3】大区填-楼栋基准格局定价'!B:H,7,0)</f>
        <v>2445.5088</v>
      </c>
      <c r="M40" s="41" t="str">
        <f t="shared" si="14"/>
        <v>较狭小</v>
      </c>
      <c r="N40" s="41">
        <v>20.04</v>
      </c>
      <c r="O40" s="33">
        <f>VLOOKUP($M$1&amp;M40,【1】定价因子!E:F,2,0)</f>
        <v>0.95</v>
      </c>
      <c r="P40" s="33" t="str">
        <f>IF(COUNTIFS(户型资产表!E:E,I40,户型资产表!H:H,"阳台门")&gt;0,"有","无")</f>
        <v>无</v>
      </c>
      <c r="Q40" s="33">
        <f>VLOOKUP($P$1&amp;P40,【1】定价因子!E:F,2,0)</f>
        <v>1</v>
      </c>
      <c r="R40" s="33" t="str">
        <f>IF('【2】运营中心填-基本信息&amp;审核标准'!$D$4="是","无",IF(INT(H40/100)&gt;9,"9F",INT(H40/100)&amp;"F"))</f>
        <v>无</v>
      </c>
      <c r="S40" s="33">
        <f>VLOOKUP(R40,【1】定价因子!D:F,3,0)</f>
        <v>1</v>
      </c>
      <c r="T40" s="33" t="str">
        <f>IF('【2】运营中心填-基本信息&amp;审核标准'!$D$4="否","无",IF(INT(H40/100)=1,"1F",IF(AND(INT(H40/100)&gt;=2,INT(H40/100)&lt;=3),"2-3F",IF(INT(H40/100)=4,"4F",IF(AND(INT(H40/100)&gt;=5,INT(H40/100)&lt;=6),"5-6F",IF(AND(INT(H40/100)&gt;=7,INT(H40/100)&lt;=8),"7-8F",IF(AND(INT(H40/100)&gt;=9,INT(H40/100)&lt;=10),"9-10F",IF(AND(INT(H40/100)&gt;=11,INT(H40/100)&lt;=12),"11-12F",IF(INT(H40/100)&gt;=13,"13以上F","")))))))))</f>
        <v>5-6F</v>
      </c>
      <c r="U40" s="33">
        <f>VLOOKUP($T$1&amp;T40,【1】定价因子!E:F,2,0)</f>
        <v>1.01</v>
      </c>
      <c r="V40" s="33" t="str">
        <f>IF(COUNTIFS(户型资产表!E:E,I40,户型资产表!H:H,"操作台")&gt;0,"有","无")</f>
        <v>有</v>
      </c>
      <c r="W40" s="33" t="str">
        <f>IF(COUNTIFS(户型资产表!E:E,I40,户型资产表!H:H,"书桌")&gt;0,"有","无")</f>
        <v>无</v>
      </c>
      <c r="X40" s="33" t="str">
        <f t="array" ref="X40">IF(SUMPRODUCT((户型资产表!E:E=I40)*((户型资产表!I:I="沙发01单人")+(户型资产表!I:I="单人沙发02")))&gt;0,"有","无")</f>
        <v>无</v>
      </c>
      <c r="Y40" s="33" t="str">
        <f t="array" ref="Y40">IF(SUMPRODUCT((户型资产表!E:E=I40)*((户型资产表!I:I="沙发02两人")+(户型资产表!I:I="双人沙发01")))&gt;0,"有","无")</f>
        <v>有</v>
      </c>
      <c r="Z40" s="33" t="str">
        <f>IF(COUNTIFS(户型资产表!E:E,I40,户型资产表!H:H,"餐桌")&gt;0,"有","无")</f>
        <v>有</v>
      </c>
      <c r="AA40" s="33" t="str">
        <f>IF(COUNTIFS(户型资产表!E:E,I40,户型资产表!H:H,"吸油烟机")&gt;0,"有","无")</f>
        <v>有</v>
      </c>
      <c r="AB40" s="33" t="str">
        <f>IF(COUNTIFS(户型资产表!E:E,I40,户型资产表!H:H,"冰箱")&gt;0,"有","无")</f>
        <v>无</v>
      </c>
      <c r="AC40" s="33" t="str">
        <f>IF(COUNTIFS(户型资产表!E:E,I40,户型资产表!H:H,"电视柜")&gt;0,"有","无")</f>
        <v>无</v>
      </c>
      <c r="AD40" s="41" t="str">
        <f t="shared" si="15"/>
        <v>适中</v>
      </c>
      <c r="AE40" s="33">
        <f>VLOOKUP($AD$1&amp;AD40,【1】定价因子!E:F,2,0)</f>
        <v>1</v>
      </c>
      <c r="AF40" s="41" t="s">
        <v>63</v>
      </c>
      <c r="AG40" s="33">
        <f>VLOOKUP($AF$1&amp;AF40,【1】定价因子!E:F,2,0)</f>
        <v>1</v>
      </c>
      <c r="AH40" s="41" t="str">
        <f t="shared" si="17"/>
        <v>适中</v>
      </c>
      <c r="AI40" s="33">
        <f>VLOOKUP($AH$1&amp;AH40,【1】定价因子!E:F,2,0)</f>
        <v>1</v>
      </c>
      <c r="AJ40" s="33" t="str">
        <f>VLOOKUP(H40,'【3-1】大区填-采光基本要素'!A:H,8,0)</f>
        <v>2</v>
      </c>
      <c r="AK40" s="33">
        <f>VLOOKUP($AJ$1&amp;AJ40,【1】定价因子!E:F,2,0)</f>
        <v>0.96</v>
      </c>
      <c r="AL40" s="34">
        <f t="shared" si="18"/>
        <v>2252.607065856</v>
      </c>
      <c r="AM40" s="42">
        <v>2180</v>
      </c>
      <c r="AN40" s="43">
        <f t="shared" si="19"/>
        <v>-0.0322324594273652</v>
      </c>
    </row>
    <row r="41" spans="1:40">
      <c r="A41" s="37" t="str">
        <f>'【2】运营中心填-基本信息&amp;审核标准'!$E$2</f>
        <v>兴围西4-11栋</v>
      </c>
      <c r="B41" s="13">
        <f t="shared" si="12"/>
        <v>6</v>
      </c>
      <c r="C41" s="13">
        <f t="shared" si="10"/>
        <v>8</v>
      </c>
      <c r="D41" s="13">
        <f t="shared" si="11"/>
        <v>64</v>
      </c>
      <c r="E41" s="13"/>
      <c r="F41" s="13">
        <f t="shared" si="13"/>
        <v>8</v>
      </c>
      <c r="G41" s="13"/>
      <c r="H41" s="38">
        <v>601</v>
      </c>
      <c r="I41" s="39" t="s">
        <v>505</v>
      </c>
      <c r="J41" s="39" t="s">
        <v>40</v>
      </c>
      <c r="K41" s="13"/>
      <c r="L41" s="40">
        <f>VLOOKUP(J41,'【3】大区填-楼栋基准格局定价'!B:H,7,0)</f>
        <v>1647.8784</v>
      </c>
      <c r="M41" s="41" t="str">
        <f t="shared" si="14"/>
        <v>较狭小</v>
      </c>
      <c r="N41" s="41">
        <v>10.96</v>
      </c>
      <c r="O41" s="33">
        <f>VLOOKUP($M$1&amp;M41,【1】定价因子!E:F,2,0)</f>
        <v>0.95</v>
      </c>
      <c r="P41" s="33" t="str">
        <f>IF(COUNTIFS(户型资产表!E:E,I41,户型资产表!H:H,"阳台门")&gt;0,"有","无")</f>
        <v>无</v>
      </c>
      <c r="Q41" s="33">
        <f>VLOOKUP($P$1&amp;P41,【1】定价因子!E:F,2,0)</f>
        <v>1</v>
      </c>
      <c r="R41" s="33" t="str">
        <f>IF('【2】运营中心填-基本信息&amp;审核标准'!$D$4="是","无",IF(INT(H41/100)&gt;9,"9F",INT(H41/100)&amp;"F"))</f>
        <v>无</v>
      </c>
      <c r="S41" s="33">
        <f>VLOOKUP(R41,【1】定价因子!D:F,3,0)</f>
        <v>1</v>
      </c>
      <c r="T41" s="33" t="str">
        <f>IF('【2】运营中心填-基本信息&amp;审核标准'!$D$4="否","无",IF(INT(H41/100)=1,"1F",IF(AND(INT(H41/100)&gt;=2,INT(H41/100)&lt;=3),"2-3F",IF(INT(H41/100)=4,"4F",IF(AND(INT(H41/100)&gt;=5,INT(H41/100)&lt;=6),"5-6F",IF(AND(INT(H41/100)&gt;=7,INT(H41/100)&lt;=8),"7-8F",IF(AND(INT(H41/100)&gt;=9,INT(H41/100)&lt;=10),"9-10F",IF(AND(INT(H41/100)&gt;=11,INT(H41/100)&lt;=12),"11-12F",IF(INT(H41/100)&gt;=13,"13以上F","")))))))))</f>
        <v>5-6F</v>
      </c>
      <c r="U41" s="33">
        <f>VLOOKUP($T$1&amp;T41,【1】定价因子!E:F,2,0)</f>
        <v>1.01</v>
      </c>
      <c r="V41" s="33" t="str">
        <f>IF(COUNTIFS(户型资产表!E:E,I41,户型资产表!H:H,"操作台")&gt;0,"有","无")</f>
        <v>有</v>
      </c>
      <c r="W41" s="33" t="str">
        <f>IF(COUNTIFS(户型资产表!E:E,I41,户型资产表!H:H,"书桌")&gt;0,"有","无")</f>
        <v>有</v>
      </c>
      <c r="X41" s="33" t="str">
        <f t="array" ref="X41">IF(SUMPRODUCT((户型资产表!E:E=I41)*((户型资产表!I:I="沙发01单人")+(户型资产表!I:I="单人沙发02")))&gt;0,"有","无")</f>
        <v>无</v>
      </c>
      <c r="Y41" s="33" t="str">
        <f t="array" ref="Y41">IF(SUMPRODUCT((户型资产表!E:E=I41)*((户型资产表!I:I="沙发02两人")+(户型资产表!I:I="双人沙发01")))&gt;0,"有","无")</f>
        <v>无</v>
      </c>
      <c r="Z41" s="33" t="str">
        <f>IF(COUNTIFS(户型资产表!E:E,I41,户型资产表!H:H,"餐桌")&gt;0,"有","无")</f>
        <v>无</v>
      </c>
      <c r="AA41" s="33" t="str">
        <f>IF(COUNTIFS(户型资产表!E:E,I41,户型资产表!H:H,"吸油烟机")&gt;0,"有","无")</f>
        <v>无</v>
      </c>
      <c r="AB41" s="33" t="str">
        <f>IF(COUNTIFS(户型资产表!E:E,I41,户型资产表!H:H,"冰箱")&gt;0,"有","无")</f>
        <v>无</v>
      </c>
      <c r="AC41" s="33" t="str">
        <f>IF(COUNTIFS(户型资产表!E:E,I41,户型资产表!H:H,"电视柜")&gt;0,"有","无")</f>
        <v>无</v>
      </c>
      <c r="AD41" s="41" t="str">
        <f t="shared" si="15"/>
        <v>适中</v>
      </c>
      <c r="AE41" s="33">
        <f>VLOOKUP($AD$1&amp;AD41,【1】定价因子!E:F,2,0)</f>
        <v>1</v>
      </c>
      <c r="AF41" s="41" t="str">
        <f t="shared" si="16"/>
        <v>适中</v>
      </c>
      <c r="AG41" s="33">
        <f>VLOOKUP($AF$1&amp;AF41,【1】定价因子!E:F,2,0)</f>
        <v>1</v>
      </c>
      <c r="AH41" s="41" t="str">
        <f t="shared" si="17"/>
        <v>适中</v>
      </c>
      <c r="AI41" s="33">
        <f>VLOOKUP($AH$1&amp;AH41,【1】定价因子!E:F,2,0)</f>
        <v>1</v>
      </c>
      <c r="AJ41" s="33" t="str">
        <f>VLOOKUP(H41,'【3-1】大区填-采光基本要素'!A:H,8,0)</f>
        <v>5</v>
      </c>
      <c r="AK41" s="33">
        <f>VLOOKUP($AJ$1&amp;AJ41,【1】定价因子!E:F,2,0)</f>
        <v>1.06</v>
      </c>
      <c r="AL41" s="34">
        <f t="shared" si="18"/>
        <v>1676.007684288</v>
      </c>
      <c r="AM41" s="42">
        <v>1530</v>
      </c>
      <c r="AN41" s="43">
        <f t="shared" si="19"/>
        <v>-0.0871163573155255</v>
      </c>
    </row>
    <row r="42" spans="1:40">
      <c r="A42" s="37" t="str">
        <f>'【2】运营中心填-基本信息&amp;审核标准'!$E$2</f>
        <v>兴围西4-11栋</v>
      </c>
      <c r="B42" s="13">
        <f t="shared" si="12"/>
        <v>6</v>
      </c>
      <c r="C42" s="13">
        <f t="shared" si="10"/>
        <v>8</v>
      </c>
      <c r="D42" s="13">
        <f t="shared" si="11"/>
        <v>64</v>
      </c>
      <c r="E42" s="13"/>
      <c r="F42" s="13">
        <f t="shared" si="13"/>
        <v>8</v>
      </c>
      <c r="G42" s="13"/>
      <c r="H42" s="38">
        <v>602</v>
      </c>
      <c r="I42" s="39" t="s">
        <v>499</v>
      </c>
      <c r="J42" s="39" t="s">
        <v>43</v>
      </c>
      <c r="K42" s="13"/>
      <c r="L42" s="40">
        <f>VLOOKUP(J42,'【3】大区填-楼栋基准格局定价'!B:H,7,0)</f>
        <v>2445.5088</v>
      </c>
      <c r="M42" s="41" t="str">
        <f t="shared" si="14"/>
        <v>很狭小</v>
      </c>
      <c r="N42" s="41">
        <v>18.86</v>
      </c>
      <c r="O42" s="33">
        <f>VLOOKUP($M$1&amp;M42,【1】定价因子!E:F,2,0)</f>
        <v>0.9</v>
      </c>
      <c r="P42" s="33" t="str">
        <f>IF(COUNTIFS(户型资产表!E:E,I42,户型资产表!H:H,"阳台门")&gt;0,"有","无")</f>
        <v>无</v>
      </c>
      <c r="Q42" s="33">
        <f>VLOOKUP($P$1&amp;P42,【1】定价因子!E:F,2,0)</f>
        <v>1</v>
      </c>
      <c r="R42" s="33" t="str">
        <f>IF('【2】运营中心填-基本信息&amp;审核标准'!$D$4="是","无",IF(INT(H42/100)&gt;9,"9F",INT(H42/100)&amp;"F"))</f>
        <v>无</v>
      </c>
      <c r="S42" s="33">
        <f>VLOOKUP(R42,【1】定价因子!D:F,3,0)</f>
        <v>1</v>
      </c>
      <c r="T42" s="33" t="str">
        <f>IF('【2】运营中心填-基本信息&amp;审核标准'!$D$4="否","无",IF(INT(H42/100)=1,"1F",IF(AND(INT(H42/100)&gt;=2,INT(H42/100)&lt;=3),"2-3F",IF(INT(H42/100)=4,"4F",IF(AND(INT(H42/100)&gt;=5,INT(H42/100)&lt;=6),"5-6F",IF(AND(INT(H42/100)&gt;=7,INT(H42/100)&lt;=8),"7-8F",IF(AND(INT(H42/100)&gt;=9,INT(H42/100)&lt;=10),"9-10F",IF(AND(INT(H42/100)&gt;=11,INT(H42/100)&lt;=12),"11-12F",IF(INT(H42/100)&gt;=13,"13以上F","")))))))))</f>
        <v>5-6F</v>
      </c>
      <c r="U42" s="33">
        <f>VLOOKUP($T$1&amp;T42,【1】定价因子!E:F,2,0)</f>
        <v>1.01</v>
      </c>
      <c r="V42" s="33" t="str">
        <f>IF(COUNTIFS(户型资产表!E:E,I42,户型资产表!H:H,"操作台")&gt;0,"有","无")</f>
        <v>有</v>
      </c>
      <c r="W42" s="33" t="str">
        <f>IF(COUNTIFS(户型资产表!E:E,I42,户型资产表!H:H,"书桌")&gt;0,"有","无")</f>
        <v>有</v>
      </c>
      <c r="X42" s="33" t="str">
        <f t="array" ref="X42">IF(SUMPRODUCT((户型资产表!E:E=I42)*((户型资产表!I:I="沙发01单人")+(户型资产表!I:I="单人沙发02")))&gt;0,"有","无")</f>
        <v>无</v>
      </c>
      <c r="Y42" s="33" t="str">
        <f t="array" ref="Y42">IF(SUMPRODUCT((户型资产表!E:E=I42)*((户型资产表!I:I="沙发02两人")+(户型资产表!I:I="双人沙发01")))&gt;0,"有","无")</f>
        <v>有</v>
      </c>
      <c r="Z42" s="33" t="str">
        <f>IF(COUNTIFS(户型资产表!E:E,I42,户型资产表!H:H,"餐桌")&gt;0,"有","无")</f>
        <v>有</v>
      </c>
      <c r="AA42" s="33" t="str">
        <f>IF(COUNTIFS(户型资产表!E:E,I42,户型资产表!H:H,"吸油烟机")&gt;0,"有","无")</f>
        <v>无</v>
      </c>
      <c r="AB42" s="33" t="str">
        <f>IF(COUNTIFS(户型资产表!E:E,I42,户型资产表!H:H,"冰箱")&gt;0,"有","无")</f>
        <v>无</v>
      </c>
      <c r="AC42" s="33" t="str">
        <f>IF(COUNTIFS(户型资产表!E:E,I42,户型资产表!H:H,"电视柜")&gt;0,"有","无")</f>
        <v>无</v>
      </c>
      <c r="AD42" s="41" t="str">
        <f t="shared" si="15"/>
        <v>适中</v>
      </c>
      <c r="AE42" s="33">
        <f>VLOOKUP($AD$1&amp;AD42,【1】定价因子!E:F,2,0)</f>
        <v>1</v>
      </c>
      <c r="AF42" s="41" t="s">
        <v>63</v>
      </c>
      <c r="AG42" s="33">
        <f>VLOOKUP($AF$1&amp;AF42,【1】定价因子!E:F,2,0)</f>
        <v>1</v>
      </c>
      <c r="AH42" s="41" t="str">
        <f t="shared" si="17"/>
        <v>适中</v>
      </c>
      <c r="AI42" s="33">
        <f>VLOOKUP($AH$1&amp;AH42,【1】定价因子!E:F,2,0)</f>
        <v>1</v>
      </c>
      <c r="AJ42" s="33" t="str">
        <f>VLOOKUP(H42,'【3-1】大区填-采光基本要素'!A:H,8,0)</f>
        <v>2</v>
      </c>
      <c r="AK42" s="33">
        <f>VLOOKUP($AJ$1&amp;AJ42,【1】定价因子!E:F,2,0)</f>
        <v>0.96</v>
      </c>
      <c r="AL42" s="34">
        <f t="shared" si="18"/>
        <v>2134.048799232</v>
      </c>
      <c r="AM42" s="42">
        <v>2080</v>
      </c>
      <c r="AN42" s="43">
        <f t="shared" si="19"/>
        <v>-0.025326880646521</v>
      </c>
    </row>
    <row r="43" spans="1:40">
      <c r="A43" s="37" t="str">
        <f>'【2】运营中心填-基本信息&amp;审核标准'!$E$2</f>
        <v>兴围西4-11栋</v>
      </c>
      <c r="B43" s="13">
        <f t="shared" si="12"/>
        <v>6</v>
      </c>
      <c r="C43" s="13">
        <f t="shared" si="10"/>
        <v>8</v>
      </c>
      <c r="D43" s="13">
        <f t="shared" si="11"/>
        <v>64</v>
      </c>
      <c r="E43" s="13"/>
      <c r="F43" s="13">
        <f t="shared" si="13"/>
        <v>8</v>
      </c>
      <c r="G43" s="13"/>
      <c r="H43" s="38">
        <v>603</v>
      </c>
      <c r="I43" s="39" t="s">
        <v>506</v>
      </c>
      <c r="J43" s="39" t="s">
        <v>40</v>
      </c>
      <c r="K43" s="13"/>
      <c r="L43" s="40">
        <f>VLOOKUP(J43,'【3】大区填-楼栋基准格局定价'!B:H,7,0)</f>
        <v>1647.8784</v>
      </c>
      <c r="M43" s="41" t="str">
        <f t="shared" si="14"/>
        <v>适中</v>
      </c>
      <c r="N43" s="41">
        <v>13.87</v>
      </c>
      <c r="O43" s="33">
        <f>VLOOKUP($M$1&amp;M43,【1】定价因子!E:F,2,0)</f>
        <v>1</v>
      </c>
      <c r="P43" s="33" t="str">
        <f>IF(COUNTIFS(户型资产表!E:E,I43,户型资产表!H:H,"阳台门")&gt;0,"有","无")</f>
        <v>有</v>
      </c>
      <c r="Q43" s="33">
        <f>VLOOKUP($P$1&amp;P43,【1】定价因子!E:F,2,0)</f>
        <v>1.07</v>
      </c>
      <c r="R43" s="33" t="str">
        <f>IF('【2】运营中心填-基本信息&amp;审核标准'!$D$4="是","无",IF(INT(H43/100)&gt;9,"9F",INT(H43/100)&amp;"F"))</f>
        <v>无</v>
      </c>
      <c r="S43" s="33">
        <f>VLOOKUP(R43,【1】定价因子!D:F,3,0)</f>
        <v>1</v>
      </c>
      <c r="T43" s="33" t="str">
        <f>IF('【2】运营中心填-基本信息&amp;审核标准'!$D$4="否","无",IF(INT(H43/100)=1,"1F",IF(AND(INT(H43/100)&gt;=2,INT(H43/100)&lt;=3),"2-3F",IF(INT(H43/100)=4,"4F",IF(AND(INT(H43/100)&gt;=5,INT(H43/100)&lt;=6),"5-6F",IF(AND(INT(H43/100)&gt;=7,INT(H43/100)&lt;=8),"7-8F",IF(AND(INT(H43/100)&gt;=9,INT(H43/100)&lt;=10),"9-10F",IF(AND(INT(H43/100)&gt;=11,INT(H43/100)&lt;=12),"11-12F",IF(INT(H43/100)&gt;=13,"13以上F","")))))))))</f>
        <v>5-6F</v>
      </c>
      <c r="U43" s="33">
        <f>VLOOKUP($T$1&amp;T43,【1】定价因子!E:F,2,0)</f>
        <v>1.01</v>
      </c>
      <c r="V43" s="33" t="str">
        <f>IF(COUNTIFS(户型资产表!E:E,I43,户型资产表!H:H,"操作台")&gt;0,"有","无")</f>
        <v>有</v>
      </c>
      <c r="W43" s="33" t="str">
        <f>IF(COUNTIFS(户型资产表!E:E,I43,户型资产表!H:H,"书桌")&gt;0,"有","无")</f>
        <v>有</v>
      </c>
      <c r="X43" s="33" t="str">
        <f t="array" ref="X43">IF(SUMPRODUCT((户型资产表!E:E=I43)*((户型资产表!I:I="沙发01单人")+(户型资产表!I:I="单人沙发02")))&gt;0,"有","无")</f>
        <v>无</v>
      </c>
      <c r="Y43" s="33" t="str">
        <f t="array" ref="Y43">IF(SUMPRODUCT((户型资产表!E:E=I43)*((户型资产表!I:I="沙发02两人")+(户型资产表!I:I="双人沙发01")))&gt;0,"有","无")</f>
        <v>无</v>
      </c>
      <c r="Z43" s="33" t="str">
        <f>IF(COUNTIFS(户型资产表!E:E,I43,户型资产表!H:H,"餐桌")&gt;0,"有","无")</f>
        <v>无</v>
      </c>
      <c r="AA43" s="33" t="str">
        <f>IF(COUNTIFS(户型资产表!E:E,I43,户型资产表!H:H,"吸油烟机")&gt;0,"有","无")</f>
        <v>无</v>
      </c>
      <c r="AB43" s="33" t="str">
        <f>IF(COUNTIFS(户型资产表!E:E,I43,户型资产表!H:H,"冰箱")&gt;0,"有","无")</f>
        <v>无</v>
      </c>
      <c r="AC43" s="33" t="str">
        <f>IF(COUNTIFS(户型资产表!E:E,I43,户型资产表!H:H,"电视柜")&gt;0,"有","无")</f>
        <v>无</v>
      </c>
      <c r="AD43" s="41" t="str">
        <f t="shared" si="15"/>
        <v>适中</v>
      </c>
      <c r="AE43" s="33">
        <f>VLOOKUP($AD$1&amp;AD43,【1】定价因子!E:F,2,0)</f>
        <v>1</v>
      </c>
      <c r="AF43" s="41" t="str">
        <f t="shared" si="16"/>
        <v>适中</v>
      </c>
      <c r="AG43" s="33">
        <f>VLOOKUP($AF$1&amp;AF43,【1】定价因子!E:F,2,0)</f>
        <v>1</v>
      </c>
      <c r="AH43" s="41" t="str">
        <f t="shared" si="17"/>
        <v>适中</v>
      </c>
      <c r="AI43" s="33">
        <f>VLOOKUP($AH$1&amp;AH43,【1】定价因子!E:F,2,0)</f>
        <v>1</v>
      </c>
      <c r="AJ43" s="33" t="str">
        <f>VLOOKUP(H43,'【3-1】大区填-采光基本要素'!A:H,8,0)</f>
        <v>4</v>
      </c>
      <c r="AK43" s="33">
        <f>VLOOKUP($AJ$1&amp;AJ43,【1】定价因子!E:F,2,0)</f>
        <v>1.03</v>
      </c>
      <c r="AL43" s="34">
        <f t="shared" si="18"/>
        <v>1834.2880524864</v>
      </c>
      <c r="AM43" s="42">
        <v>1660</v>
      </c>
      <c r="AN43" s="43">
        <f t="shared" si="19"/>
        <v>-0.0950167299242617</v>
      </c>
    </row>
    <row r="44" spans="1:40">
      <c r="A44" s="37" t="str">
        <f>'【2】运营中心填-基本信息&amp;审核标准'!$E$2</f>
        <v>兴围西4-11栋</v>
      </c>
      <c r="B44" s="13">
        <f t="shared" si="12"/>
        <v>6</v>
      </c>
      <c r="C44" s="13">
        <f t="shared" si="10"/>
        <v>8</v>
      </c>
      <c r="D44" s="13">
        <f t="shared" si="11"/>
        <v>64</v>
      </c>
      <c r="E44" s="13"/>
      <c r="F44" s="13">
        <f t="shared" si="13"/>
        <v>8</v>
      </c>
      <c r="G44" s="13"/>
      <c r="H44" s="38">
        <v>604</v>
      </c>
      <c r="I44" s="39" t="s">
        <v>507</v>
      </c>
      <c r="J44" s="39" t="s">
        <v>40</v>
      </c>
      <c r="K44" s="13"/>
      <c r="L44" s="40">
        <f>VLOOKUP(J44,'【3】大区填-楼栋基准格局定价'!B:H,7,0)</f>
        <v>1647.8784</v>
      </c>
      <c r="M44" s="41" t="s">
        <v>63</v>
      </c>
      <c r="N44" s="41">
        <v>19.76</v>
      </c>
      <c r="O44" s="33">
        <f>VLOOKUP($M$1&amp;M44,【1】定价因子!E:F,2,0)</f>
        <v>1</v>
      </c>
      <c r="P44" s="33" t="str">
        <f>IF(COUNTIFS(户型资产表!E:E,I44,户型资产表!H:H,"阳台门")&gt;0,"有","无")</f>
        <v>无</v>
      </c>
      <c r="Q44" s="33">
        <f>VLOOKUP($P$1&amp;P44,【1】定价因子!E:F,2,0)</f>
        <v>1</v>
      </c>
      <c r="R44" s="33" t="str">
        <f>IF('【2】运营中心填-基本信息&amp;审核标准'!$D$4="是","无",IF(INT(H44/100)&gt;9,"9F",INT(H44/100)&amp;"F"))</f>
        <v>无</v>
      </c>
      <c r="S44" s="33">
        <f>VLOOKUP(R44,【1】定价因子!D:F,3,0)</f>
        <v>1</v>
      </c>
      <c r="T44" s="33" t="str">
        <f>IF('【2】运营中心填-基本信息&amp;审核标准'!$D$4="否","无",IF(INT(H44/100)=1,"1F",IF(AND(INT(H44/100)&gt;=2,INT(H44/100)&lt;=3),"2-3F",IF(INT(H44/100)=4,"4F",IF(AND(INT(H44/100)&gt;=5,INT(H44/100)&lt;=6),"5-6F",IF(AND(INT(H44/100)&gt;=7,INT(H44/100)&lt;=8),"7-8F",IF(AND(INT(H44/100)&gt;=9,INT(H44/100)&lt;=10),"9-10F",IF(AND(INT(H44/100)&gt;=11,INT(H44/100)&lt;=12),"11-12F",IF(INT(H44/100)&gt;=13,"13以上F","")))))))))</f>
        <v>5-6F</v>
      </c>
      <c r="U44" s="33">
        <f>VLOOKUP($T$1&amp;T44,【1】定价因子!E:F,2,0)</f>
        <v>1.01</v>
      </c>
      <c r="V44" s="33" t="str">
        <f>IF(COUNTIFS(户型资产表!E:E,I44,户型资产表!H:H,"操作台")&gt;0,"有","无")</f>
        <v>有</v>
      </c>
      <c r="W44" s="33" t="str">
        <f>IF(COUNTIFS(户型资产表!E:E,I44,户型资产表!H:H,"书桌")&gt;0,"有","无")</f>
        <v>有</v>
      </c>
      <c r="X44" s="33" t="str">
        <f t="array" ref="X44">IF(SUMPRODUCT((户型资产表!E:E=I44)*((户型资产表!I:I="沙发01单人")+(户型资产表!I:I="单人沙发02")))&gt;0,"有","无")</f>
        <v>无</v>
      </c>
      <c r="Y44" s="33" t="str">
        <f t="array" ref="Y44">IF(SUMPRODUCT((户型资产表!E:E=I44)*((户型资产表!I:I="沙发02两人")+(户型资产表!I:I="双人沙发01")))&gt;0,"有","无")</f>
        <v>无</v>
      </c>
      <c r="Z44" s="33" t="str">
        <f>IF(COUNTIFS(户型资产表!E:E,I44,户型资产表!H:H,"餐桌")&gt;0,"有","无")</f>
        <v>无</v>
      </c>
      <c r="AA44" s="33" t="str">
        <f>IF(COUNTIFS(户型资产表!E:E,I44,户型资产表!H:H,"吸油烟机")&gt;0,"有","无")</f>
        <v>无</v>
      </c>
      <c r="AB44" s="33" t="str">
        <f>IF(COUNTIFS(户型资产表!E:E,I44,户型资产表!H:H,"冰箱")&gt;0,"有","无")</f>
        <v>无</v>
      </c>
      <c r="AC44" s="33" t="str">
        <f>IF(COUNTIFS(户型资产表!E:E,I44,户型资产表!H:H,"电视柜")&gt;0,"有","无")</f>
        <v>无</v>
      </c>
      <c r="AD44" s="41" t="str">
        <f t="shared" si="15"/>
        <v>适中</v>
      </c>
      <c r="AE44" s="33">
        <f>VLOOKUP($AD$1&amp;AD44,【1】定价因子!E:F,2,0)</f>
        <v>1</v>
      </c>
      <c r="AF44" s="41" t="str">
        <f t="shared" si="16"/>
        <v>适中</v>
      </c>
      <c r="AG44" s="33">
        <f>VLOOKUP($AF$1&amp;AF44,【1】定价因子!E:F,2,0)</f>
        <v>1</v>
      </c>
      <c r="AH44" s="41" t="str">
        <f t="shared" si="17"/>
        <v>适中</v>
      </c>
      <c r="AI44" s="33">
        <f>VLOOKUP($AH$1&amp;AH44,【1】定价因子!E:F,2,0)</f>
        <v>1</v>
      </c>
      <c r="AJ44" s="33" t="str">
        <f>VLOOKUP(H44,'【3-1】大区填-采光基本要素'!A:H,8,0)</f>
        <v>2</v>
      </c>
      <c r="AK44" s="33">
        <f>VLOOKUP($AJ$1&amp;AJ44,【1】定价因子!E:F,2,0)</f>
        <v>0.96</v>
      </c>
      <c r="AL44" s="34">
        <f t="shared" si="18"/>
        <v>1597.78289664</v>
      </c>
      <c r="AM44" s="42">
        <v>1460</v>
      </c>
      <c r="AN44" s="43">
        <f t="shared" si="19"/>
        <v>-0.0862338036849346</v>
      </c>
    </row>
    <row r="45" spans="1:40">
      <c r="A45" s="37" t="str">
        <f>'【2】运营中心填-基本信息&amp;审核标准'!$E$2</f>
        <v>兴围西4-11栋</v>
      </c>
      <c r="B45" s="13">
        <f t="shared" si="12"/>
        <v>6</v>
      </c>
      <c r="C45" s="13">
        <f t="shared" si="10"/>
        <v>8</v>
      </c>
      <c r="D45" s="13">
        <f t="shared" si="11"/>
        <v>64</v>
      </c>
      <c r="E45" s="13"/>
      <c r="F45" s="13">
        <f t="shared" si="13"/>
        <v>8</v>
      </c>
      <c r="G45" s="13"/>
      <c r="H45" s="38">
        <v>605</v>
      </c>
      <c r="I45" s="39" t="s">
        <v>502</v>
      </c>
      <c r="J45" s="39" t="s">
        <v>40</v>
      </c>
      <c r="K45" s="13"/>
      <c r="L45" s="40">
        <f>VLOOKUP(J45,'【3】大区填-楼栋基准格局定价'!B:H,7,0)</f>
        <v>1647.8784</v>
      </c>
      <c r="M45" s="41" t="str">
        <f t="shared" si="14"/>
        <v>适中</v>
      </c>
      <c r="N45" s="41">
        <v>13.79</v>
      </c>
      <c r="O45" s="33">
        <f>VLOOKUP($M$1&amp;M45,【1】定价因子!E:F,2,0)</f>
        <v>1</v>
      </c>
      <c r="P45" s="33" t="str">
        <f>IF(COUNTIFS(户型资产表!E:E,I45,户型资产表!H:H,"阳台门")&gt;0,"有","无")</f>
        <v>无</v>
      </c>
      <c r="Q45" s="33">
        <f>VLOOKUP($P$1&amp;P45,【1】定价因子!E:F,2,0)</f>
        <v>1</v>
      </c>
      <c r="R45" s="33" t="str">
        <f>IF('【2】运营中心填-基本信息&amp;审核标准'!$D$4="是","无",IF(INT(H45/100)&gt;9,"9F",INT(H45/100)&amp;"F"))</f>
        <v>无</v>
      </c>
      <c r="S45" s="33">
        <f>VLOOKUP(R45,【1】定价因子!D:F,3,0)</f>
        <v>1</v>
      </c>
      <c r="T45" s="33" t="str">
        <f>IF('【2】运营中心填-基本信息&amp;审核标准'!$D$4="否","无",IF(INT(H45/100)=1,"1F",IF(AND(INT(H45/100)&gt;=2,INT(H45/100)&lt;=3),"2-3F",IF(INT(H45/100)=4,"4F",IF(AND(INT(H45/100)&gt;=5,INT(H45/100)&lt;=6),"5-6F",IF(AND(INT(H45/100)&gt;=7,INT(H45/100)&lt;=8),"7-8F",IF(AND(INT(H45/100)&gt;=9,INT(H45/100)&lt;=10),"9-10F",IF(AND(INT(H45/100)&gt;=11,INT(H45/100)&lt;=12),"11-12F",IF(INT(H45/100)&gt;=13,"13以上F","")))))))))</f>
        <v>5-6F</v>
      </c>
      <c r="U45" s="33">
        <f>VLOOKUP($T$1&amp;T45,【1】定价因子!E:F,2,0)</f>
        <v>1.01</v>
      </c>
      <c r="V45" s="33" t="str">
        <f>IF(COUNTIFS(户型资产表!E:E,I45,户型资产表!H:H,"操作台")&gt;0,"有","无")</f>
        <v>有</v>
      </c>
      <c r="W45" s="33" t="str">
        <f>IF(COUNTIFS(户型资产表!E:E,I45,户型资产表!H:H,"书桌")&gt;0,"有","无")</f>
        <v>有</v>
      </c>
      <c r="X45" s="33" t="str">
        <f t="array" ref="X45">IF(SUMPRODUCT((户型资产表!E:E=I45)*((户型资产表!I:I="沙发01单人")+(户型资产表!I:I="单人沙发02")))&gt;0,"有","无")</f>
        <v>无</v>
      </c>
      <c r="Y45" s="33" t="str">
        <f t="array" ref="Y45">IF(SUMPRODUCT((户型资产表!E:E=I45)*((户型资产表!I:I="沙发02两人")+(户型资产表!I:I="双人沙发01")))&gt;0,"有","无")</f>
        <v>无</v>
      </c>
      <c r="Z45" s="33" t="str">
        <f>IF(COUNTIFS(户型资产表!E:E,I45,户型资产表!H:H,"餐桌")&gt;0,"有","无")</f>
        <v>无</v>
      </c>
      <c r="AA45" s="33" t="str">
        <f>IF(COUNTIFS(户型资产表!E:E,I45,户型资产表!H:H,"吸油烟机")&gt;0,"有","无")</f>
        <v>无</v>
      </c>
      <c r="AB45" s="33" t="str">
        <f>IF(COUNTIFS(户型资产表!E:E,I45,户型资产表!H:H,"冰箱")&gt;0,"有","无")</f>
        <v>无</v>
      </c>
      <c r="AC45" s="33" t="str">
        <f>IF(COUNTIFS(户型资产表!E:E,I45,户型资产表!H:H,"电视柜")&gt;0,"有","无")</f>
        <v>无</v>
      </c>
      <c r="AD45" s="41" t="str">
        <f t="shared" si="15"/>
        <v>适中</v>
      </c>
      <c r="AE45" s="33">
        <f>VLOOKUP($AD$1&amp;AD45,【1】定价因子!E:F,2,0)</f>
        <v>1</v>
      </c>
      <c r="AF45" s="41" t="str">
        <f t="shared" si="16"/>
        <v>适中</v>
      </c>
      <c r="AG45" s="33">
        <f>VLOOKUP($AF$1&amp;AF45,【1】定价因子!E:F,2,0)</f>
        <v>1</v>
      </c>
      <c r="AH45" s="41" t="str">
        <f t="shared" si="17"/>
        <v>适中</v>
      </c>
      <c r="AI45" s="33">
        <f>VLOOKUP($AH$1&amp;AH45,【1】定价因子!E:F,2,0)</f>
        <v>1</v>
      </c>
      <c r="AJ45" s="33" t="str">
        <f>VLOOKUP(H45,'【3-1】大区填-采光基本要素'!A:H,8,0)</f>
        <v>4</v>
      </c>
      <c r="AK45" s="33">
        <f>VLOOKUP($AJ$1&amp;AJ45,【1】定价因子!E:F,2,0)</f>
        <v>1.03</v>
      </c>
      <c r="AL45" s="34">
        <f t="shared" si="18"/>
        <v>1714.28789952</v>
      </c>
      <c r="AM45" s="42">
        <v>1560</v>
      </c>
      <c r="AN45" s="43">
        <f t="shared" si="19"/>
        <v>-0.0900011599937214</v>
      </c>
    </row>
    <row r="46" spans="1:40">
      <c r="A46" s="37" t="str">
        <f>'【2】运营中心填-基本信息&amp;审核标准'!$E$2</f>
        <v>兴围西4-11栋</v>
      </c>
      <c r="B46" s="13">
        <f t="shared" si="12"/>
        <v>6</v>
      </c>
      <c r="C46" s="13">
        <f t="shared" si="10"/>
        <v>8</v>
      </c>
      <c r="D46" s="13">
        <f t="shared" si="11"/>
        <v>64</v>
      </c>
      <c r="E46" s="13"/>
      <c r="F46" s="13">
        <f t="shared" si="13"/>
        <v>8</v>
      </c>
      <c r="G46" s="13"/>
      <c r="H46" s="38">
        <v>606</v>
      </c>
      <c r="I46" s="39" t="s">
        <v>503</v>
      </c>
      <c r="J46" s="39" t="s">
        <v>43</v>
      </c>
      <c r="K46" s="13"/>
      <c r="L46" s="40">
        <f>VLOOKUP(J46,'【3】大区填-楼栋基准格局定价'!B:H,7,0)</f>
        <v>2445.5088</v>
      </c>
      <c r="M46" s="41" t="str">
        <f t="shared" si="14"/>
        <v>很狭小</v>
      </c>
      <c r="N46" s="41">
        <v>11.35</v>
      </c>
      <c r="O46" s="33">
        <f>VLOOKUP($M$1&amp;M46,【1】定价因子!E:F,2,0)</f>
        <v>0.9</v>
      </c>
      <c r="P46" s="33" t="str">
        <f>IF(COUNTIFS(户型资产表!E:E,I46,户型资产表!H:H,"阳台门")&gt;0,"有","无")</f>
        <v>无</v>
      </c>
      <c r="Q46" s="33">
        <f>VLOOKUP($P$1&amp;P46,【1】定价因子!E:F,2,0)</f>
        <v>1</v>
      </c>
      <c r="R46" s="33" t="str">
        <f>IF('【2】运营中心填-基本信息&amp;审核标准'!$D$4="是","无",IF(INT(H46/100)&gt;9,"9F",INT(H46/100)&amp;"F"))</f>
        <v>无</v>
      </c>
      <c r="S46" s="33">
        <f>VLOOKUP(R46,【1】定价因子!D:F,3,0)</f>
        <v>1</v>
      </c>
      <c r="T46" s="33" t="str">
        <f>IF('【2】运营中心填-基本信息&amp;审核标准'!$D$4="否","无",IF(INT(H46/100)=1,"1F",IF(AND(INT(H46/100)&gt;=2,INT(H46/100)&lt;=3),"2-3F",IF(INT(H46/100)=4,"4F",IF(AND(INT(H46/100)&gt;=5,INT(H46/100)&lt;=6),"5-6F",IF(AND(INT(H46/100)&gt;=7,INT(H46/100)&lt;=8),"7-8F",IF(AND(INT(H46/100)&gt;=9,INT(H46/100)&lt;=10),"9-10F",IF(AND(INT(H46/100)&gt;=11,INT(H46/100)&lt;=12),"11-12F",IF(INT(H46/100)&gt;=13,"13以上F","")))))))))</f>
        <v>5-6F</v>
      </c>
      <c r="U46" s="33">
        <f>VLOOKUP($T$1&amp;T46,【1】定价因子!E:F,2,0)</f>
        <v>1.01</v>
      </c>
      <c r="V46" s="33" t="str">
        <f>IF(COUNTIFS(户型资产表!E:E,I46,户型资产表!H:H,"操作台")&gt;0,"有","无")</f>
        <v>有</v>
      </c>
      <c r="W46" s="33" t="str">
        <f>IF(COUNTIFS(户型资产表!E:E,I46,户型资产表!H:H,"书桌")&gt;0,"有","无")</f>
        <v>无</v>
      </c>
      <c r="X46" s="33" t="str">
        <f t="array" ref="X46">IF(SUMPRODUCT((户型资产表!E:E=I46)*((户型资产表!I:I="沙发01单人")+(户型资产表!I:I="单人沙发02")))&gt;0,"有","无")</f>
        <v>无</v>
      </c>
      <c r="Y46" s="33" t="str">
        <f t="array" ref="Y46">IF(SUMPRODUCT((户型资产表!E:E=I46)*((户型资产表!I:I="沙发02两人")+(户型资产表!I:I="双人沙发01")))&gt;0,"有","无")</f>
        <v>有</v>
      </c>
      <c r="Z46" s="33" t="str">
        <f>IF(COUNTIFS(户型资产表!E:E,I46,户型资产表!H:H,"餐桌")&gt;0,"有","无")</f>
        <v>有</v>
      </c>
      <c r="AA46" s="33" t="str">
        <f>IF(COUNTIFS(户型资产表!E:E,I46,户型资产表!H:H,"吸油烟机")&gt;0,"有","无")</f>
        <v>无</v>
      </c>
      <c r="AB46" s="33" t="str">
        <f>IF(COUNTIFS(户型资产表!E:E,I46,户型资产表!H:H,"冰箱")&gt;0,"有","无")</f>
        <v>无</v>
      </c>
      <c r="AC46" s="33" t="str">
        <f>IF(COUNTIFS(户型资产表!E:E,I46,户型资产表!H:H,"电视柜")&gt;0,"有","无")</f>
        <v>无</v>
      </c>
      <c r="AD46" s="41" t="str">
        <f t="shared" si="15"/>
        <v>适中</v>
      </c>
      <c r="AE46" s="33">
        <f>VLOOKUP($AD$1&amp;AD46,【1】定价因子!E:F,2,0)</f>
        <v>1</v>
      </c>
      <c r="AF46" s="41" t="str">
        <f t="shared" si="16"/>
        <v>适中</v>
      </c>
      <c r="AG46" s="33">
        <f>VLOOKUP($AF$1&amp;AF46,【1】定价因子!E:F,2,0)</f>
        <v>1</v>
      </c>
      <c r="AH46" s="41" t="str">
        <f t="shared" si="17"/>
        <v>适中</v>
      </c>
      <c r="AI46" s="33">
        <f>VLOOKUP($AH$1&amp;AH46,【1】定价因子!E:F,2,0)</f>
        <v>1</v>
      </c>
      <c r="AJ46" s="33" t="str">
        <f>VLOOKUP(H46,'【3-1】大区填-采光基本要素'!A:H,8,0)</f>
        <v>1</v>
      </c>
      <c r="AK46" s="33">
        <f>VLOOKUP($AJ$1&amp;AJ46,【1】定价因子!E:F,2,0)</f>
        <v>0.91</v>
      </c>
      <c r="AL46" s="34">
        <f t="shared" si="18"/>
        <v>2022.900424272</v>
      </c>
      <c r="AM46" s="42">
        <v>2000</v>
      </c>
      <c r="AN46" s="43">
        <f t="shared" si="19"/>
        <v>-0.0113205889905538</v>
      </c>
    </row>
    <row r="47" spans="1:40">
      <c r="A47" s="37" t="str">
        <f>'【2】运营中心填-基本信息&amp;审核标准'!$E$2</f>
        <v>兴围西4-11栋</v>
      </c>
      <c r="B47" s="13">
        <f t="shared" si="12"/>
        <v>6</v>
      </c>
      <c r="C47" s="13">
        <f t="shared" si="10"/>
        <v>8</v>
      </c>
      <c r="D47" s="13">
        <f t="shared" si="11"/>
        <v>64</v>
      </c>
      <c r="E47" s="13"/>
      <c r="F47" s="13">
        <f t="shared" si="13"/>
        <v>8</v>
      </c>
      <c r="G47" s="13"/>
      <c r="H47" s="38">
        <v>607</v>
      </c>
      <c r="I47" s="39" t="s">
        <v>501</v>
      </c>
      <c r="J47" s="39" t="s">
        <v>40</v>
      </c>
      <c r="K47" s="13"/>
      <c r="L47" s="40">
        <f>VLOOKUP(J47,'【3】大区填-楼栋基准格局定价'!B:H,7,0)</f>
        <v>1647.8784</v>
      </c>
      <c r="M47" s="41" t="str">
        <f t="shared" si="14"/>
        <v>适中</v>
      </c>
      <c r="N47" s="41">
        <v>13.81</v>
      </c>
      <c r="O47" s="33">
        <f>VLOOKUP($M$1&amp;M47,【1】定价因子!E:F,2,0)</f>
        <v>1</v>
      </c>
      <c r="P47" s="33" t="str">
        <f>IF(COUNTIFS(户型资产表!E:E,I47,户型资产表!H:H,"阳台门")&gt;0,"有","无")</f>
        <v>无</v>
      </c>
      <c r="Q47" s="33">
        <f>VLOOKUP($P$1&amp;P47,【1】定价因子!E:F,2,0)</f>
        <v>1</v>
      </c>
      <c r="R47" s="33" t="str">
        <f>IF('【2】运营中心填-基本信息&amp;审核标准'!$D$4="是","无",IF(INT(H47/100)&gt;9,"9F",INT(H47/100)&amp;"F"))</f>
        <v>无</v>
      </c>
      <c r="S47" s="33">
        <f>VLOOKUP(R47,【1】定价因子!D:F,3,0)</f>
        <v>1</v>
      </c>
      <c r="T47" s="33" t="str">
        <f>IF('【2】运营中心填-基本信息&amp;审核标准'!$D$4="否","无",IF(INT(H47/100)=1,"1F",IF(AND(INT(H47/100)&gt;=2,INT(H47/100)&lt;=3),"2-3F",IF(INT(H47/100)=4,"4F",IF(AND(INT(H47/100)&gt;=5,INT(H47/100)&lt;=6),"5-6F",IF(AND(INT(H47/100)&gt;=7,INT(H47/100)&lt;=8),"7-8F",IF(AND(INT(H47/100)&gt;=9,INT(H47/100)&lt;=10),"9-10F",IF(AND(INT(H47/100)&gt;=11,INT(H47/100)&lt;=12),"11-12F",IF(INT(H47/100)&gt;=13,"13以上F","")))))))))</f>
        <v>5-6F</v>
      </c>
      <c r="U47" s="33">
        <f>VLOOKUP($T$1&amp;T47,【1】定价因子!E:F,2,0)</f>
        <v>1.01</v>
      </c>
      <c r="V47" s="33" t="str">
        <f>IF(COUNTIFS(户型资产表!E:E,I47,户型资产表!H:H,"操作台")&gt;0,"有","无")</f>
        <v>有</v>
      </c>
      <c r="W47" s="33" t="str">
        <f>IF(COUNTIFS(户型资产表!E:E,I47,户型资产表!H:H,"书桌")&gt;0,"有","无")</f>
        <v>有</v>
      </c>
      <c r="X47" s="33" t="str">
        <f t="array" ref="X47">IF(SUMPRODUCT((户型资产表!E:E=I47)*((户型资产表!I:I="沙发01单人")+(户型资产表!I:I="单人沙发02")))&gt;0,"有","无")</f>
        <v>无</v>
      </c>
      <c r="Y47" s="33" t="str">
        <f t="array" ref="Y47">IF(SUMPRODUCT((户型资产表!E:E=I47)*((户型资产表!I:I="沙发02两人")+(户型资产表!I:I="双人沙发01")))&gt;0,"有","无")</f>
        <v>无</v>
      </c>
      <c r="Z47" s="33" t="str">
        <f>IF(COUNTIFS(户型资产表!E:E,I47,户型资产表!H:H,"餐桌")&gt;0,"有","无")</f>
        <v>无</v>
      </c>
      <c r="AA47" s="33" t="str">
        <f>IF(COUNTIFS(户型资产表!E:E,I47,户型资产表!H:H,"吸油烟机")&gt;0,"有","无")</f>
        <v>无</v>
      </c>
      <c r="AB47" s="33" t="str">
        <f>IF(COUNTIFS(户型资产表!E:E,I47,户型资产表!H:H,"冰箱")&gt;0,"有","无")</f>
        <v>无</v>
      </c>
      <c r="AC47" s="33" t="str">
        <f>IF(COUNTIFS(户型资产表!E:E,I47,户型资产表!H:H,"电视柜")&gt;0,"有","无")</f>
        <v>无</v>
      </c>
      <c r="AD47" s="41" t="str">
        <f t="shared" si="15"/>
        <v>适中</v>
      </c>
      <c r="AE47" s="33">
        <f>VLOOKUP($AD$1&amp;AD47,【1】定价因子!E:F,2,0)</f>
        <v>1</v>
      </c>
      <c r="AF47" s="41" t="str">
        <f t="shared" si="16"/>
        <v>适中</v>
      </c>
      <c r="AG47" s="33">
        <f>VLOOKUP($AF$1&amp;AF47,【1】定价因子!E:F,2,0)</f>
        <v>1</v>
      </c>
      <c r="AH47" s="41" t="str">
        <f t="shared" si="17"/>
        <v>适中</v>
      </c>
      <c r="AI47" s="33">
        <f>VLOOKUP($AH$1&amp;AH47,【1】定价因子!E:F,2,0)</f>
        <v>1</v>
      </c>
      <c r="AJ47" s="33" t="str">
        <f>VLOOKUP(H47,'【3-1】大区填-采光基本要素'!A:H,8,0)</f>
        <v>1</v>
      </c>
      <c r="AK47" s="33">
        <f>VLOOKUP($AJ$1&amp;AJ47,【1】定价因子!E:F,2,0)</f>
        <v>0.91</v>
      </c>
      <c r="AL47" s="34">
        <f t="shared" si="18"/>
        <v>1514.56503744</v>
      </c>
      <c r="AM47" s="42">
        <v>1460</v>
      </c>
      <c r="AN47" s="43">
        <f t="shared" si="19"/>
        <v>-0.0360268698214696</v>
      </c>
    </row>
    <row r="48" spans="1:40">
      <c r="A48" s="37" t="str">
        <f>'【2】运营中心填-基本信息&amp;审核标准'!$E$2</f>
        <v>兴围西4-11栋</v>
      </c>
      <c r="B48" s="13">
        <f t="shared" si="12"/>
        <v>6</v>
      </c>
      <c r="C48" s="13">
        <f t="shared" si="10"/>
        <v>8</v>
      </c>
      <c r="D48" s="13">
        <f t="shared" si="11"/>
        <v>64</v>
      </c>
      <c r="E48" s="13"/>
      <c r="F48" s="13">
        <f t="shared" si="13"/>
        <v>8</v>
      </c>
      <c r="G48" s="13"/>
      <c r="H48" s="38">
        <v>608</v>
      </c>
      <c r="I48" s="39" t="s">
        <v>508</v>
      </c>
      <c r="J48" s="39" t="s">
        <v>43</v>
      </c>
      <c r="K48" s="13"/>
      <c r="L48" s="40">
        <f>VLOOKUP(J48,'【3】大区填-楼栋基准格局定价'!B:H,7,0)</f>
        <v>2445.5088</v>
      </c>
      <c r="M48" s="41" t="str">
        <f t="shared" si="14"/>
        <v>较狭小</v>
      </c>
      <c r="N48" s="41">
        <v>20.04</v>
      </c>
      <c r="O48" s="33">
        <f>VLOOKUP($M$1&amp;M48,【1】定价因子!E:F,2,0)</f>
        <v>0.95</v>
      </c>
      <c r="P48" s="33" t="str">
        <f>IF(COUNTIFS(户型资产表!E:E,I48,户型资产表!H:H,"阳台门")&gt;0,"有","无")</f>
        <v>无</v>
      </c>
      <c r="Q48" s="33">
        <f>VLOOKUP($P$1&amp;P48,【1】定价因子!E:F,2,0)</f>
        <v>1</v>
      </c>
      <c r="R48" s="33" t="str">
        <f>IF('【2】运营中心填-基本信息&amp;审核标准'!$D$4="是","无",IF(INT(H48/100)&gt;9,"9F",INT(H48/100)&amp;"F"))</f>
        <v>无</v>
      </c>
      <c r="S48" s="33">
        <f>VLOOKUP(R48,【1】定价因子!D:F,3,0)</f>
        <v>1</v>
      </c>
      <c r="T48" s="33" t="str">
        <f>IF('【2】运营中心填-基本信息&amp;审核标准'!$D$4="否","无",IF(INT(H48/100)=1,"1F",IF(AND(INT(H48/100)&gt;=2,INT(H48/100)&lt;=3),"2-3F",IF(INT(H48/100)=4,"4F",IF(AND(INT(H48/100)&gt;=5,INT(H48/100)&lt;=6),"5-6F",IF(AND(INT(H48/100)&gt;=7,INT(H48/100)&lt;=8),"7-8F",IF(AND(INT(H48/100)&gt;=9,INT(H48/100)&lt;=10),"9-10F",IF(AND(INT(H48/100)&gt;=11,INT(H48/100)&lt;=12),"11-12F",IF(INT(H48/100)&gt;=13,"13以上F","")))))))))</f>
        <v>5-6F</v>
      </c>
      <c r="U48" s="33">
        <f>VLOOKUP($T$1&amp;T48,【1】定价因子!E:F,2,0)</f>
        <v>1.01</v>
      </c>
      <c r="V48" s="33" t="str">
        <f>IF(COUNTIFS(户型资产表!E:E,I48,户型资产表!H:H,"操作台")&gt;0,"有","无")</f>
        <v>有</v>
      </c>
      <c r="W48" s="33" t="str">
        <f>IF(COUNTIFS(户型资产表!E:E,I48,户型资产表!H:H,"书桌")&gt;0,"有","无")</f>
        <v>无</v>
      </c>
      <c r="X48" s="33" t="str">
        <f t="array" ref="X48">IF(SUMPRODUCT((户型资产表!E:E=I48)*((户型资产表!I:I="沙发01单人")+(户型资产表!I:I="单人沙发02")))&gt;0,"有","无")</f>
        <v>无</v>
      </c>
      <c r="Y48" s="33" t="str">
        <f t="array" ref="Y48">IF(SUMPRODUCT((户型资产表!E:E=I48)*((户型资产表!I:I="沙发02两人")+(户型资产表!I:I="双人沙发01")))&gt;0,"有","无")</f>
        <v>有</v>
      </c>
      <c r="Z48" s="33" t="str">
        <f>IF(COUNTIFS(户型资产表!E:E,I48,户型资产表!H:H,"餐桌")&gt;0,"有","无")</f>
        <v>有</v>
      </c>
      <c r="AA48" s="33" t="str">
        <f>IF(COUNTIFS(户型资产表!E:E,I48,户型资产表!H:H,"吸油烟机")&gt;0,"有","无")</f>
        <v>有</v>
      </c>
      <c r="AB48" s="33" t="str">
        <f>IF(COUNTIFS(户型资产表!E:E,I48,户型资产表!H:H,"冰箱")&gt;0,"有","无")</f>
        <v>无</v>
      </c>
      <c r="AC48" s="33" t="str">
        <f>IF(COUNTIFS(户型资产表!E:E,I48,户型资产表!H:H,"电视柜")&gt;0,"有","无")</f>
        <v>无</v>
      </c>
      <c r="AD48" s="41" t="str">
        <f t="shared" si="15"/>
        <v>适中</v>
      </c>
      <c r="AE48" s="33">
        <f>VLOOKUP($AD$1&amp;AD48,【1】定价因子!E:F,2,0)</f>
        <v>1</v>
      </c>
      <c r="AF48" s="41" t="s">
        <v>63</v>
      </c>
      <c r="AG48" s="33">
        <f>VLOOKUP($AF$1&amp;AF48,【1】定价因子!E:F,2,0)</f>
        <v>1</v>
      </c>
      <c r="AH48" s="41" t="str">
        <f t="shared" si="17"/>
        <v>适中</v>
      </c>
      <c r="AI48" s="33">
        <f>VLOOKUP($AH$1&amp;AH48,【1】定价因子!E:F,2,0)</f>
        <v>1</v>
      </c>
      <c r="AJ48" s="33" t="str">
        <f>VLOOKUP(H48,'【3-1】大区填-采光基本要素'!A:H,8,0)</f>
        <v>2</v>
      </c>
      <c r="AK48" s="33">
        <f>VLOOKUP($AJ$1&amp;AJ48,【1】定价因子!E:F,2,0)</f>
        <v>0.96</v>
      </c>
      <c r="AL48" s="34">
        <f t="shared" si="18"/>
        <v>2252.607065856</v>
      </c>
      <c r="AM48" s="42">
        <v>2180</v>
      </c>
      <c r="AN48" s="43">
        <f t="shared" si="19"/>
        <v>-0.0322324594273652</v>
      </c>
    </row>
    <row r="49" spans="1:40">
      <c r="A49" s="37" t="str">
        <f>'【2】运营中心填-基本信息&amp;审核标准'!$E$2</f>
        <v>兴围西4-11栋</v>
      </c>
      <c r="B49" s="13">
        <f t="shared" si="12"/>
        <v>7</v>
      </c>
      <c r="C49" s="13">
        <f t="shared" si="10"/>
        <v>8</v>
      </c>
      <c r="D49" s="13">
        <f t="shared" si="11"/>
        <v>64</v>
      </c>
      <c r="E49" s="13"/>
      <c r="F49" s="13">
        <f t="shared" si="13"/>
        <v>8</v>
      </c>
      <c r="G49" s="13"/>
      <c r="H49" s="38">
        <v>701</v>
      </c>
      <c r="I49" s="39" t="s">
        <v>505</v>
      </c>
      <c r="J49" s="39" t="s">
        <v>40</v>
      </c>
      <c r="K49" s="13"/>
      <c r="L49" s="40">
        <f>VLOOKUP(J49,'【3】大区填-楼栋基准格局定价'!B:H,7,0)</f>
        <v>1647.8784</v>
      </c>
      <c r="M49" s="41" t="str">
        <f t="shared" si="14"/>
        <v>较狭小</v>
      </c>
      <c r="N49" s="41">
        <v>10.96</v>
      </c>
      <c r="O49" s="33">
        <f>VLOOKUP($M$1&amp;M49,【1】定价因子!E:F,2,0)</f>
        <v>0.95</v>
      </c>
      <c r="P49" s="33" t="str">
        <f>IF(COUNTIFS(户型资产表!E:E,I49,户型资产表!H:H,"阳台门")&gt;0,"有","无")</f>
        <v>无</v>
      </c>
      <c r="Q49" s="33">
        <f>VLOOKUP($P$1&amp;P49,【1】定价因子!E:F,2,0)</f>
        <v>1</v>
      </c>
      <c r="R49" s="33" t="str">
        <f>IF('【2】运营中心填-基本信息&amp;审核标准'!$D$4="是","无",IF(INT(H49/100)&gt;9,"9F",INT(H49/100)&amp;"F"))</f>
        <v>无</v>
      </c>
      <c r="S49" s="33">
        <f>VLOOKUP(R49,【1】定价因子!D:F,3,0)</f>
        <v>1</v>
      </c>
      <c r="T49" s="33" t="str">
        <f>IF('【2】运营中心填-基本信息&amp;审核标准'!$D$4="否","无",IF(INT(H49/100)=1,"1F",IF(AND(INT(H49/100)&gt;=2,INT(H49/100)&lt;=3),"2-3F",IF(INT(H49/100)=4,"4F",IF(AND(INT(H49/100)&gt;=5,INT(H49/100)&lt;=6),"5-6F",IF(AND(INT(H49/100)&gt;=7,INT(H49/100)&lt;=8),"7-8F",IF(AND(INT(H49/100)&gt;=9,INT(H49/100)&lt;=10),"9-10F",IF(AND(INT(H49/100)&gt;=11,INT(H49/100)&lt;=12),"11-12F",IF(INT(H49/100)&gt;=13,"13以上F","")))))))))</f>
        <v>7-8F</v>
      </c>
      <c r="U49" s="33">
        <f>VLOOKUP($T$1&amp;T49,【1】定价因子!E:F,2,0)</f>
        <v>1.02</v>
      </c>
      <c r="V49" s="33" t="str">
        <f>IF(COUNTIFS(户型资产表!E:E,I49,户型资产表!H:H,"操作台")&gt;0,"有","无")</f>
        <v>有</v>
      </c>
      <c r="W49" s="33" t="str">
        <f>IF(COUNTIFS(户型资产表!E:E,I49,户型资产表!H:H,"书桌")&gt;0,"有","无")</f>
        <v>有</v>
      </c>
      <c r="X49" s="33" t="str">
        <f t="array" ref="X49">IF(SUMPRODUCT((户型资产表!E:E=I49)*((户型资产表!I:I="沙发01单人")+(户型资产表!I:I="单人沙发02")))&gt;0,"有","无")</f>
        <v>无</v>
      </c>
      <c r="Y49" s="33" t="str">
        <f t="array" ref="Y49">IF(SUMPRODUCT((户型资产表!E:E=I49)*((户型资产表!I:I="沙发02两人")+(户型资产表!I:I="双人沙发01")))&gt;0,"有","无")</f>
        <v>无</v>
      </c>
      <c r="Z49" s="33" t="str">
        <f>IF(COUNTIFS(户型资产表!E:E,I49,户型资产表!H:H,"餐桌")&gt;0,"有","无")</f>
        <v>无</v>
      </c>
      <c r="AA49" s="33" t="str">
        <f>IF(COUNTIFS(户型资产表!E:E,I49,户型资产表!H:H,"吸油烟机")&gt;0,"有","无")</f>
        <v>无</v>
      </c>
      <c r="AB49" s="33" t="str">
        <f>IF(COUNTIFS(户型资产表!E:E,I49,户型资产表!H:H,"冰箱")&gt;0,"有","无")</f>
        <v>无</v>
      </c>
      <c r="AC49" s="33" t="str">
        <f>IF(COUNTIFS(户型资产表!E:E,I49,户型资产表!H:H,"电视柜")&gt;0,"有","无")</f>
        <v>无</v>
      </c>
      <c r="AD49" s="41" t="str">
        <f t="shared" si="15"/>
        <v>适中</v>
      </c>
      <c r="AE49" s="33">
        <f>VLOOKUP($AD$1&amp;AD49,【1】定价因子!E:F,2,0)</f>
        <v>1</v>
      </c>
      <c r="AF49" s="41" t="str">
        <f t="shared" si="16"/>
        <v>适中</v>
      </c>
      <c r="AG49" s="33">
        <f>VLOOKUP($AF$1&amp;AF49,【1】定价因子!E:F,2,0)</f>
        <v>1</v>
      </c>
      <c r="AH49" s="41" t="str">
        <f t="shared" si="17"/>
        <v>适中</v>
      </c>
      <c r="AI49" s="33">
        <f>VLOOKUP($AH$1&amp;AH49,【1】定价因子!E:F,2,0)</f>
        <v>1</v>
      </c>
      <c r="AJ49" s="33" t="str">
        <f>VLOOKUP(H49,'【3-1】大区填-采光基本要素'!A:H,8,0)</f>
        <v>5</v>
      </c>
      <c r="AK49" s="33">
        <f>VLOOKUP($AJ$1&amp;AJ49,【1】定价因子!E:F,2,0)</f>
        <v>1.06</v>
      </c>
      <c r="AL49" s="34">
        <f t="shared" si="18"/>
        <v>1692.601819776</v>
      </c>
      <c r="AM49" s="42">
        <v>1540</v>
      </c>
      <c r="AN49" s="43">
        <f t="shared" si="19"/>
        <v>-0.0901581328774631</v>
      </c>
    </row>
    <row r="50" spans="1:40">
      <c r="A50" s="37" t="str">
        <f>'【2】运营中心填-基本信息&amp;审核标准'!$E$2</f>
        <v>兴围西4-11栋</v>
      </c>
      <c r="B50" s="13">
        <f t="shared" si="12"/>
        <v>7</v>
      </c>
      <c r="C50" s="13">
        <f t="shared" si="10"/>
        <v>8</v>
      </c>
      <c r="D50" s="13">
        <f t="shared" si="11"/>
        <v>64</v>
      </c>
      <c r="E50" s="13"/>
      <c r="F50" s="13">
        <f t="shared" si="13"/>
        <v>8</v>
      </c>
      <c r="G50" s="13"/>
      <c r="H50" s="38">
        <v>702</v>
      </c>
      <c r="I50" s="39" t="s">
        <v>499</v>
      </c>
      <c r="J50" s="39" t="s">
        <v>43</v>
      </c>
      <c r="K50" s="13"/>
      <c r="L50" s="40">
        <f>VLOOKUP(J50,'【3】大区填-楼栋基准格局定价'!B:H,7,0)</f>
        <v>2445.5088</v>
      </c>
      <c r="M50" s="41" t="str">
        <f t="shared" si="14"/>
        <v>很狭小</v>
      </c>
      <c r="N50" s="41">
        <v>18.86</v>
      </c>
      <c r="O50" s="33">
        <f>VLOOKUP($M$1&amp;M50,【1】定价因子!E:F,2,0)</f>
        <v>0.9</v>
      </c>
      <c r="P50" s="33" t="str">
        <f>IF(COUNTIFS(户型资产表!E:E,I50,户型资产表!H:H,"阳台门")&gt;0,"有","无")</f>
        <v>无</v>
      </c>
      <c r="Q50" s="33">
        <f>VLOOKUP($P$1&amp;P50,【1】定价因子!E:F,2,0)</f>
        <v>1</v>
      </c>
      <c r="R50" s="33" t="str">
        <f>IF('【2】运营中心填-基本信息&amp;审核标准'!$D$4="是","无",IF(INT(H50/100)&gt;9,"9F",INT(H50/100)&amp;"F"))</f>
        <v>无</v>
      </c>
      <c r="S50" s="33">
        <f>VLOOKUP(R50,【1】定价因子!D:F,3,0)</f>
        <v>1</v>
      </c>
      <c r="T50" s="33" t="str">
        <f>IF('【2】运营中心填-基本信息&amp;审核标准'!$D$4="否","无",IF(INT(H50/100)=1,"1F",IF(AND(INT(H50/100)&gt;=2,INT(H50/100)&lt;=3),"2-3F",IF(INT(H50/100)=4,"4F",IF(AND(INT(H50/100)&gt;=5,INT(H50/100)&lt;=6),"5-6F",IF(AND(INT(H50/100)&gt;=7,INT(H50/100)&lt;=8),"7-8F",IF(AND(INT(H50/100)&gt;=9,INT(H50/100)&lt;=10),"9-10F",IF(AND(INT(H50/100)&gt;=11,INT(H50/100)&lt;=12),"11-12F",IF(INT(H50/100)&gt;=13,"13以上F","")))))))))</f>
        <v>7-8F</v>
      </c>
      <c r="U50" s="33">
        <f>VLOOKUP($T$1&amp;T50,【1】定价因子!E:F,2,0)</f>
        <v>1.02</v>
      </c>
      <c r="V50" s="33" t="str">
        <f>IF(COUNTIFS(户型资产表!E:E,I50,户型资产表!H:H,"操作台")&gt;0,"有","无")</f>
        <v>有</v>
      </c>
      <c r="W50" s="33" t="str">
        <f>IF(COUNTIFS(户型资产表!E:E,I50,户型资产表!H:H,"书桌")&gt;0,"有","无")</f>
        <v>有</v>
      </c>
      <c r="X50" s="33" t="str">
        <f t="array" ref="X50">IF(SUMPRODUCT((户型资产表!E:E=I50)*((户型资产表!I:I="沙发01单人")+(户型资产表!I:I="单人沙发02")))&gt;0,"有","无")</f>
        <v>无</v>
      </c>
      <c r="Y50" s="33" t="str">
        <f t="array" ref="Y50">IF(SUMPRODUCT((户型资产表!E:E=I50)*((户型资产表!I:I="沙发02两人")+(户型资产表!I:I="双人沙发01")))&gt;0,"有","无")</f>
        <v>有</v>
      </c>
      <c r="Z50" s="33" t="str">
        <f>IF(COUNTIFS(户型资产表!E:E,I50,户型资产表!H:H,"餐桌")&gt;0,"有","无")</f>
        <v>有</v>
      </c>
      <c r="AA50" s="33" t="str">
        <f>IF(COUNTIFS(户型资产表!E:E,I50,户型资产表!H:H,"吸油烟机")&gt;0,"有","无")</f>
        <v>无</v>
      </c>
      <c r="AB50" s="33" t="str">
        <f>IF(COUNTIFS(户型资产表!E:E,I50,户型资产表!H:H,"冰箱")&gt;0,"有","无")</f>
        <v>无</v>
      </c>
      <c r="AC50" s="33" t="str">
        <f>IF(COUNTIFS(户型资产表!E:E,I50,户型资产表!H:H,"电视柜")&gt;0,"有","无")</f>
        <v>无</v>
      </c>
      <c r="AD50" s="41" t="str">
        <f t="shared" si="15"/>
        <v>适中</v>
      </c>
      <c r="AE50" s="33">
        <f>VLOOKUP($AD$1&amp;AD50,【1】定价因子!E:F,2,0)</f>
        <v>1</v>
      </c>
      <c r="AF50" s="41" t="s">
        <v>63</v>
      </c>
      <c r="AG50" s="33">
        <f>VLOOKUP($AF$1&amp;AF50,【1】定价因子!E:F,2,0)</f>
        <v>1</v>
      </c>
      <c r="AH50" s="41" t="str">
        <f t="shared" si="17"/>
        <v>适中</v>
      </c>
      <c r="AI50" s="33">
        <f>VLOOKUP($AH$1&amp;AH50,【1】定价因子!E:F,2,0)</f>
        <v>1</v>
      </c>
      <c r="AJ50" s="33" t="str">
        <f>VLOOKUP(H50,'【3-1】大区填-采光基本要素'!A:H,8,0)</f>
        <v>2</v>
      </c>
      <c r="AK50" s="33">
        <f>VLOOKUP($AJ$1&amp;AJ50,【1】定价因子!E:F,2,0)</f>
        <v>0.96</v>
      </c>
      <c r="AL50" s="34">
        <f t="shared" si="18"/>
        <v>2155.177995264</v>
      </c>
      <c r="AM50" s="42">
        <v>2100</v>
      </c>
      <c r="AN50" s="43">
        <f t="shared" si="19"/>
        <v>-0.0256025234970167</v>
      </c>
    </row>
    <row r="51" spans="1:40">
      <c r="A51" s="37" t="str">
        <f>'【2】运营中心填-基本信息&amp;审核标准'!$E$2</f>
        <v>兴围西4-11栋</v>
      </c>
      <c r="B51" s="13">
        <f t="shared" si="12"/>
        <v>7</v>
      </c>
      <c r="C51" s="13">
        <f t="shared" si="10"/>
        <v>8</v>
      </c>
      <c r="D51" s="13">
        <f t="shared" si="11"/>
        <v>64</v>
      </c>
      <c r="E51" s="13"/>
      <c r="F51" s="13">
        <f t="shared" si="13"/>
        <v>8</v>
      </c>
      <c r="G51" s="13"/>
      <c r="H51" s="38">
        <v>703</v>
      </c>
      <c r="I51" s="39" t="s">
        <v>506</v>
      </c>
      <c r="J51" s="39" t="s">
        <v>40</v>
      </c>
      <c r="K51" s="13"/>
      <c r="L51" s="40">
        <f>VLOOKUP(J51,'【3】大区填-楼栋基准格局定价'!B:H,7,0)</f>
        <v>1647.8784</v>
      </c>
      <c r="M51" s="41" t="str">
        <f t="shared" si="14"/>
        <v>适中</v>
      </c>
      <c r="N51" s="41">
        <v>13.87</v>
      </c>
      <c r="O51" s="33">
        <f>VLOOKUP($M$1&amp;M51,【1】定价因子!E:F,2,0)</f>
        <v>1</v>
      </c>
      <c r="P51" s="33" t="str">
        <f>IF(COUNTIFS(户型资产表!E:E,I51,户型资产表!H:H,"阳台门")&gt;0,"有","无")</f>
        <v>有</v>
      </c>
      <c r="Q51" s="33">
        <f>VLOOKUP($P$1&amp;P51,【1】定价因子!E:F,2,0)</f>
        <v>1.07</v>
      </c>
      <c r="R51" s="33" t="str">
        <f>IF('【2】运营中心填-基本信息&amp;审核标准'!$D$4="是","无",IF(INT(H51/100)&gt;9,"9F",INT(H51/100)&amp;"F"))</f>
        <v>无</v>
      </c>
      <c r="S51" s="33">
        <f>VLOOKUP(R51,【1】定价因子!D:F,3,0)</f>
        <v>1</v>
      </c>
      <c r="T51" s="33" t="str">
        <f>IF('【2】运营中心填-基本信息&amp;审核标准'!$D$4="否","无",IF(INT(H51/100)=1,"1F",IF(AND(INT(H51/100)&gt;=2,INT(H51/100)&lt;=3),"2-3F",IF(INT(H51/100)=4,"4F",IF(AND(INT(H51/100)&gt;=5,INT(H51/100)&lt;=6),"5-6F",IF(AND(INT(H51/100)&gt;=7,INT(H51/100)&lt;=8),"7-8F",IF(AND(INT(H51/100)&gt;=9,INT(H51/100)&lt;=10),"9-10F",IF(AND(INT(H51/100)&gt;=11,INT(H51/100)&lt;=12),"11-12F",IF(INT(H51/100)&gt;=13,"13以上F","")))))))))</f>
        <v>7-8F</v>
      </c>
      <c r="U51" s="33">
        <f>VLOOKUP($T$1&amp;T51,【1】定价因子!E:F,2,0)</f>
        <v>1.02</v>
      </c>
      <c r="V51" s="33" t="str">
        <f>IF(COUNTIFS(户型资产表!E:E,I51,户型资产表!H:H,"操作台")&gt;0,"有","无")</f>
        <v>有</v>
      </c>
      <c r="W51" s="33" t="str">
        <f>IF(COUNTIFS(户型资产表!E:E,I51,户型资产表!H:H,"书桌")&gt;0,"有","无")</f>
        <v>有</v>
      </c>
      <c r="X51" s="33" t="str">
        <f t="array" ref="X51">IF(SUMPRODUCT((户型资产表!E:E=I51)*((户型资产表!I:I="沙发01单人")+(户型资产表!I:I="单人沙发02")))&gt;0,"有","无")</f>
        <v>无</v>
      </c>
      <c r="Y51" s="33" t="str">
        <f t="array" ref="Y51">IF(SUMPRODUCT((户型资产表!E:E=I51)*((户型资产表!I:I="沙发02两人")+(户型资产表!I:I="双人沙发01")))&gt;0,"有","无")</f>
        <v>无</v>
      </c>
      <c r="Z51" s="33" t="str">
        <f>IF(COUNTIFS(户型资产表!E:E,I51,户型资产表!H:H,"餐桌")&gt;0,"有","无")</f>
        <v>无</v>
      </c>
      <c r="AA51" s="33" t="str">
        <f>IF(COUNTIFS(户型资产表!E:E,I51,户型资产表!H:H,"吸油烟机")&gt;0,"有","无")</f>
        <v>无</v>
      </c>
      <c r="AB51" s="33" t="str">
        <f>IF(COUNTIFS(户型资产表!E:E,I51,户型资产表!H:H,"冰箱")&gt;0,"有","无")</f>
        <v>无</v>
      </c>
      <c r="AC51" s="33" t="str">
        <f>IF(COUNTIFS(户型资产表!E:E,I51,户型资产表!H:H,"电视柜")&gt;0,"有","无")</f>
        <v>无</v>
      </c>
      <c r="AD51" s="41" t="str">
        <f t="shared" si="15"/>
        <v>适中</v>
      </c>
      <c r="AE51" s="33">
        <f>VLOOKUP($AD$1&amp;AD51,【1】定价因子!E:F,2,0)</f>
        <v>1</v>
      </c>
      <c r="AF51" s="41" t="str">
        <f t="shared" si="16"/>
        <v>适中</v>
      </c>
      <c r="AG51" s="33">
        <f>VLOOKUP($AF$1&amp;AF51,【1】定价因子!E:F,2,0)</f>
        <v>1</v>
      </c>
      <c r="AH51" s="41" t="str">
        <f t="shared" si="17"/>
        <v>适中</v>
      </c>
      <c r="AI51" s="33">
        <f>VLOOKUP($AH$1&amp;AH51,【1】定价因子!E:F,2,0)</f>
        <v>1</v>
      </c>
      <c r="AJ51" s="33" t="str">
        <f>VLOOKUP(H51,'【3-1】大区填-采光基本要素'!A:H,8,0)</f>
        <v>4</v>
      </c>
      <c r="AK51" s="33">
        <f>VLOOKUP($AJ$1&amp;AJ51,【1】定价因子!E:F,2,0)</f>
        <v>1.03</v>
      </c>
      <c r="AL51" s="34">
        <f t="shared" si="18"/>
        <v>1852.4493203328</v>
      </c>
      <c r="AM51" s="42">
        <v>1680</v>
      </c>
      <c r="AN51" s="43">
        <f t="shared" si="19"/>
        <v>-0.0930925982373535</v>
      </c>
    </row>
    <row r="52" spans="1:40">
      <c r="A52" s="37" t="str">
        <f>'【2】运营中心填-基本信息&amp;审核标准'!$E$2</f>
        <v>兴围西4-11栋</v>
      </c>
      <c r="B52" s="13">
        <f t="shared" si="12"/>
        <v>7</v>
      </c>
      <c r="C52" s="13">
        <f t="shared" si="10"/>
        <v>8</v>
      </c>
      <c r="D52" s="13">
        <f t="shared" si="11"/>
        <v>64</v>
      </c>
      <c r="E52" s="13"/>
      <c r="F52" s="13">
        <f t="shared" si="13"/>
        <v>8</v>
      </c>
      <c r="G52" s="13"/>
      <c r="H52" s="38">
        <v>704</v>
      </c>
      <c r="I52" s="39" t="s">
        <v>507</v>
      </c>
      <c r="J52" s="39" t="s">
        <v>40</v>
      </c>
      <c r="K52" s="13"/>
      <c r="L52" s="40">
        <f>VLOOKUP(J52,'【3】大区填-楼栋基准格局定价'!B:H,7,0)</f>
        <v>1647.8784</v>
      </c>
      <c r="M52" s="41" t="s">
        <v>63</v>
      </c>
      <c r="N52" s="41">
        <v>19.76</v>
      </c>
      <c r="O52" s="33">
        <f>VLOOKUP($M$1&amp;M52,【1】定价因子!E:F,2,0)</f>
        <v>1</v>
      </c>
      <c r="P52" s="33" t="str">
        <f>IF(COUNTIFS(户型资产表!E:E,I52,户型资产表!H:H,"阳台门")&gt;0,"有","无")</f>
        <v>无</v>
      </c>
      <c r="Q52" s="33">
        <f>VLOOKUP($P$1&amp;P52,【1】定价因子!E:F,2,0)</f>
        <v>1</v>
      </c>
      <c r="R52" s="33" t="str">
        <f>IF('【2】运营中心填-基本信息&amp;审核标准'!$D$4="是","无",IF(INT(H52/100)&gt;9,"9F",INT(H52/100)&amp;"F"))</f>
        <v>无</v>
      </c>
      <c r="S52" s="33">
        <f>VLOOKUP(R52,【1】定价因子!D:F,3,0)</f>
        <v>1</v>
      </c>
      <c r="T52" s="33" t="str">
        <f>IF('【2】运营中心填-基本信息&amp;审核标准'!$D$4="否","无",IF(INT(H52/100)=1,"1F",IF(AND(INT(H52/100)&gt;=2,INT(H52/100)&lt;=3),"2-3F",IF(INT(H52/100)=4,"4F",IF(AND(INT(H52/100)&gt;=5,INT(H52/100)&lt;=6),"5-6F",IF(AND(INT(H52/100)&gt;=7,INT(H52/100)&lt;=8),"7-8F",IF(AND(INT(H52/100)&gt;=9,INT(H52/100)&lt;=10),"9-10F",IF(AND(INT(H52/100)&gt;=11,INT(H52/100)&lt;=12),"11-12F",IF(INT(H52/100)&gt;=13,"13以上F","")))))))))</f>
        <v>7-8F</v>
      </c>
      <c r="U52" s="33">
        <f>VLOOKUP($T$1&amp;T52,【1】定价因子!E:F,2,0)</f>
        <v>1.02</v>
      </c>
      <c r="V52" s="33" t="str">
        <f>IF(COUNTIFS(户型资产表!E:E,I52,户型资产表!H:H,"操作台")&gt;0,"有","无")</f>
        <v>有</v>
      </c>
      <c r="W52" s="33" t="str">
        <f>IF(COUNTIFS(户型资产表!E:E,I52,户型资产表!H:H,"书桌")&gt;0,"有","无")</f>
        <v>有</v>
      </c>
      <c r="X52" s="33" t="str">
        <f t="array" ref="X52">IF(SUMPRODUCT((户型资产表!E:E=I52)*((户型资产表!I:I="沙发01单人")+(户型资产表!I:I="单人沙发02")))&gt;0,"有","无")</f>
        <v>无</v>
      </c>
      <c r="Y52" s="33" t="str">
        <f t="array" ref="Y52">IF(SUMPRODUCT((户型资产表!E:E=I52)*((户型资产表!I:I="沙发02两人")+(户型资产表!I:I="双人沙发01")))&gt;0,"有","无")</f>
        <v>无</v>
      </c>
      <c r="Z52" s="33" t="str">
        <f>IF(COUNTIFS(户型资产表!E:E,I52,户型资产表!H:H,"餐桌")&gt;0,"有","无")</f>
        <v>无</v>
      </c>
      <c r="AA52" s="33" t="str">
        <f>IF(COUNTIFS(户型资产表!E:E,I52,户型资产表!H:H,"吸油烟机")&gt;0,"有","无")</f>
        <v>无</v>
      </c>
      <c r="AB52" s="33" t="str">
        <f>IF(COUNTIFS(户型资产表!E:E,I52,户型资产表!H:H,"冰箱")&gt;0,"有","无")</f>
        <v>无</v>
      </c>
      <c r="AC52" s="33" t="str">
        <f>IF(COUNTIFS(户型资产表!E:E,I52,户型资产表!H:H,"电视柜")&gt;0,"有","无")</f>
        <v>无</v>
      </c>
      <c r="AD52" s="41" t="str">
        <f t="shared" si="15"/>
        <v>适中</v>
      </c>
      <c r="AE52" s="33">
        <f>VLOOKUP($AD$1&amp;AD52,【1】定价因子!E:F,2,0)</f>
        <v>1</v>
      </c>
      <c r="AF52" s="41" t="str">
        <f t="shared" si="16"/>
        <v>适中</v>
      </c>
      <c r="AG52" s="33">
        <f>VLOOKUP($AF$1&amp;AF52,【1】定价因子!E:F,2,0)</f>
        <v>1</v>
      </c>
      <c r="AH52" s="41" t="str">
        <f t="shared" si="17"/>
        <v>适中</v>
      </c>
      <c r="AI52" s="33">
        <f>VLOOKUP($AH$1&amp;AH52,【1】定价因子!E:F,2,0)</f>
        <v>1</v>
      </c>
      <c r="AJ52" s="33" t="str">
        <f>VLOOKUP(H52,'【3-1】大区填-采光基本要素'!A:H,8,0)</f>
        <v>2</v>
      </c>
      <c r="AK52" s="33">
        <f>VLOOKUP($AJ$1&amp;AJ52,【1】定价因子!E:F,2,0)</f>
        <v>0.96</v>
      </c>
      <c r="AL52" s="34">
        <f t="shared" si="18"/>
        <v>1613.60252928</v>
      </c>
      <c r="AM52" s="42">
        <v>1470</v>
      </c>
      <c r="AN52" s="43">
        <f t="shared" si="19"/>
        <v>-0.0889949827632437</v>
      </c>
    </row>
    <row r="53" spans="1:40">
      <c r="A53" s="37" t="str">
        <f>'【2】运营中心填-基本信息&amp;审核标准'!$E$2</f>
        <v>兴围西4-11栋</v>
      </c>
      <c r="B53" s="13">
        <f t="shared" si="12"/>
        <v>7</v>
      </c>
      <c r="C53" s="13">
        <f t="shared" si="10"/>
        <v>8</v>
      </c>
      <c r="D53" s="13">
        <f t="shared" si="11"/>
        <v>64</v>
      </c>
      <c r="E53" s="13"/>
      <c r="F53" s="13">
        <f t="shared" si="13"/>
        <v>8</v>
      </c>
      <c r="G53" s="13"/>
      <c r="H53" s="38">
        <v>705</v>
      </c>
      <c r="I53" s="39" t="s">
        <v>502</v>
      </c>
      <c r="J53" s="39" t="s">
        <v>40</v>
      </c>
      <c r="K53" s="13"/>
      <c r="L53" s="40">
        <f>VLOOKUP(J53,'【3】大区填-楼栋基准格局定价'!B:H,7,0)</f>
        <v>1647.8784</v>
      </c>
      <c r="M53" s="41" t="str">
        <f t="shared" si="14"/>
        <v>适中</v>
      </c>
      <c r="N53" s="41">
        <v>13.79</v>
      </c>
      <c r="O53" s="33">
        <f>VLOOKUP($M$1&amp;M53,【1】定价因子!E:F,2,0)</f>
        <v>1</v>
      </c>
      <c r="P53" s="33" t="str">
        <f>IF(COUNTIFS(户型资产表!E:E,I53,户型资产表!H:H,"阳台门")&gt;0,"有","无")</f>
        <v>无</v>
      </c>
      <c r="Q53" s="33">
        <f>VLOOKUP($P$1&amp;P53,【1】定价因子!E:F,2,0)</f>
        <v>1</v>
      </c>
      <c r="R53" s="33" t="str">
        <f>IF('【2】运营中心填-基本信息&amp;审核标准'!$D$4="是","无",IF(INT(H53/100)&gt;9,"9F",INT(H53/100)&amp;"F"))</f>
        <v>无</v>
      </c>
      <c r="S53" s="33">
        <f>VLOOKUP(R53,【1】定价因子!D:F,3,0)</f>
        <v>1</v>
      </c>
      <c r="T53" s="33" t="str">
        <f>IF('【2】运营中心填-基本信息&amp;审核标准'!$D$4="否","无",IF(INT(H53/100)=1,"1F",IF(AND(INT(H53/100)&gt;=2,INT(H53/100)&lt;=3),"2-3F",IF(INT(H53/100)=4,"4F",IF(AND(INT(H53/100)&gt;=5,INT(H53/100)&lt;=6),"5-6F",IF(AND(INT(H53/100)&gt;=7,INT(H53/100)&lt;=8),"7-8F",IF(AND(INT(H53/100)&gt;=9,INT(H53/100)&lt;=10),"9-10F",IF(AND(INT(H53/100)&gt;=11,INT(H53/100)&lt;=12),"11-12F",IF(INT(H53/100)&gt;=13,"13以上F","")))))))))</f>
        <v>7-8F</v>
      </c>
      <c r="U53" s="33">
        <f>VLOOKUP($T$1&amp;T53,【1】定价因子!E:F,2,0)</f>
        <v>1.02</v>
      </c>
      <c r="V53" s="33" t="str">
        <f>IF(COUNTIFS(户型资产表!E:E,I53,户型资产表!H:H,"操作台")&gt;0,"有","无")</f>
        <v>有</v>
      </c>
      <c r="W53" s="33" t="str">
        <f>IF(COUNTIFS(户型资产表!E:E,I53,户型资产表!H:H,"书桌")&gt;0,"有","无")</f>
        <v>有</v>
      </c>
      <c r="X53" s="33" t="str">
        <f t="array" ref="X53">IF(SUMPRODUCT((户型资产表!E:E=I53)*((户型资产表!I:I="沙发01单人")+(户型资产表!I:I="单人沙发02")))&gt;0,"有","无")</f>
        <v>无</v>
      </c>
      <c r="Y53" s="33" t="str">
        <f t="array" ref="Y53">IF(SUMPRODUCT((户型资产表!E:E=I53)*((户型资产表!I:I="沙发02两人")+(户型资产表!I:I="双人沙发01")))&gt;0,"有","无")</f>
        <v>无</v>
      </c>
      <c r="Z53" s="33" t="str">
        <f>IF(COUNTIFS(户型资产表!E:E,I53,户型资产表!H:H,"餐桌")&gt;0,"有","无")</f>
        <v>无</v>
      </c>
      <c r="AA53" s="33" t="str">
        <f>IF(COUNTIFS(户型资产表!E:E,I53,户型资产表!H:H,"吸油烟机")&gt;0,"有","无")</f>
        <v>无</v>
      </c>
      <c r="AB53" s="33" t="str">
        <f>IF(COUNTIFS(户型资产表!E:E,I53,户型资产表!H:H,"冰箱")&gt;0,"有","无")</f>
        <v>无</v>
      </c>
      <c r="AC53" s="33" t="str">
        <f>IF(COUNTIFS(户型资产表!E:E,I53,户型资产表!H:H,"电视柜")&gt;0,"有","无")</f>
        <v>无</v>
      </c>
      <c r="AD53" s="41" t="str">
        <f t="shared" si="15"/>
        <v>适中</v>
      </c>
      <c r="AE53" s="33">
        <f>VLOOKUP($AD$1&amp;AD53,【1】定价因子!E:F,2,0)</f>
        <v>1</v>
      </c>
      <c r="AF53" s="41" t="str">
        <f t="shared" si="16"/>
        <v>适中</v>
      </c>
      <c r="AG53" s="33">
        <f>VLOOKUP($AF$1&amp;AF53,【1】定价因子!E:F,2,0)</f>
        <v>1</v>
      </c>
      <c r="AH53" s="41" t="str">
        <f t="shared" si="17"/>
        <v>适中</v>
      </c>
      <c r="AI53" s="33">
        <f>VLOOKUP($AH$1&amp;AH53,【1】定价因子!E:F,2,0)</f>
        <v>1</v>
      </c>
      <c r="AJ53" s="33" t="str">
        <f>VLOOKUP(H53,'【3-1】大区填-采光基本要素'!A:H,8,0)</f>
        <v>4</v>
      </c>
      <c r="AK53" s="33">
        <f>VLOOKUP($AJ$1&amp;AJ53,【1】定价因子!E:F,2,0)</f>
        <v>1.03</v>
      </c>
      <c r="AL53" s="34">
        <f t="shared" si="18"/>
        <v>1731.26104704</v>
      </c>
      <c r="AM53" s="42">
        <v>1570</v>
      </c>
      <c r="AN53" s="43">
        <f t="shared" si="19"/>
        <v>-0.0931465808207917</v>
      </c>
    </row>
    <row r="54" spans="1:40">
      <c r="A54" s="37" t="str">
        <f>'【2】运营中心填-基本信息&amp;审核标准'!$E$2</f>
        <v>兴围西4-11栋</v>
      </c>
      <c r="B54" s="13">
        <f t="shared" si="12"/>
        <v>7</v>
      </c>
      <c r="C54" s="13">
        <f t="shared" si="10"/>
        <v>8</v>
      </c>
      <c r="D54" s="13">
        <f t="shared" si="11"/>
        <v>64</v>
      </c>
      <c r="E54" s="13"/>
      <c r="F54" s="13">
        <f t="shared" si="13"/>
        <v>8</v>
      </c>
      <c r="G54" s="13"/>
      <c r="H54" s="38">
        <v>706</v>
      </c>
      <c r="I54" s="39" t="s">
        <v>503</v>
      </c>
      <c r="J54" s="39" t="s">
        <v>43</v>
      </c>
      <c r="K54" s="13"/>
      <c r="L54" s="40">
        <f>VLOOKUP(J54,'【3】大区填-楼栋基准格局定价'!B:H,7,0)</f>
        <v>2445.5088</v>
      </c>
      <c r="M54" s="41" t="str">
        <f t="shared" si="14"/>
        <v>很狭小</v>
      </c>
      <c r="N54" s="41">
        <v>11.35</v>
      </c>
      <c r="O54" s="33">
        <f>VLOOKUP($M$1&amp;M54,【1】定价因子!E:F,2,0)</f>
        <v>0.9</v>
      </c>
      <c r="P54" s="33" t="str">
        <f>IF(COUNTIFS(户型资产表!E:E,I54,户型资产表!H:H,"阳台门")&gt;0,"有","无")</f>
        <v>无</v>
      </c>
      <c r="Q54" s="33">
        <f>VLOOKUP($P$1&amp;P54,【1】定价因子!E:F,2,0)</f>
        <v>1</v>
      </c>
      <c r="R54" s="33" t="str">
        <f>IF('【2】运营中心填-基本信息&amp;审核标准'!$D$4="是","无",IF(INT(H54/100)&gt;9,"9F",INT(H54/100)&amp;"F"))</f>
        <v>无</v>
      </c>
      <c r="S54" s="33">
        <f>VLOOKUP(R54,【1】定价因子!D:F,3,0)</f>
        <v>1</v>
      </c>
      <c r="T54" s="33" t="str">
        <f>IF('【2】运营中心填-基本信息&amp;审核标准'!$D$4="否","无",IF(INT(H54/100)=1,"1F",IF(AND(INT(H54/100)&gt;=2,INT(H54/100)&lt;=3),"2-3F",IF(INT(H54/100)=4,"4F",IF(AND(INT(H54/100)&gt;=5,INT(H54/100)&lt;=6),"5-6F",IF(AND(INT(H54/100)&gt;=7,INT(H54/100)&lt;=8),"7-8F",IF(AND(INT(H54/100)&gt;=9,INT(H54/100)&lt;=10),"9-10F",IF(AND(INT(H54/100)&gt;=11,INT(H54/100)&lt;=12),"11-12F",IF(INT(H54/100)&gt;=13,"13以上F","")))))))))</f>
        <v>7-8F</v>
      </c>
      <c r="U54" s="33">
        <f>VLOOKUP($T$1&amp;T54,【1】定价因子!E:F,2,0)</f>
        <v>1.02</v>
      </c>
      <c r="V54" s="33" t="str">
        <f>IF(COUNTIFS(户型资产表!E:E,I54,户型资产表!H:H,"操作台")&gt;0,"有","无")</f>
        <v>有</v>
      </c>
      <c r="W54" s="33" t="str">
        <f>IF(COUNTIFS(户型资产表!E:E,I54,户型资产表!H:H,"书桌")&gt;0,"有","无")</f>
        <v>无</v>
      </c>
      <c r="X54" s="33" t="str">
        <f t="array" ref="X54">IF(SUMPRODUCT((户型资产表!E:E=I54)*((户型资产表!I:I="沙发01单人")+(户型资产表!I:I="单人沙发02")))&gt;0,"有","无")</f>
        <v>无</v>
      </c>
      <c r="Y54" s="33" t="str">
        <f t="array" ref="Y54">IF(SUMPRODUCT((户型资产表!E:E=I54)*((户型资产表!I:I="沙发02两人")+(户型资产表!I:I="双人沙发01")))&gt;0,"有","无")</f>
        <v>有</v>
      </c>
      <c r="Z54" s="33" t="str">
        <f>IF(COUNTIFS(户型资产表!E:E,I54,户型资产表!H:H,"餐桌")&gt;0,"有","无")</f>
        <v>有</v>
      </c>
      <c r="AA54" s="33" t="str">
        <f>IF(COUNTIFS(户型资产表!E:E,I54,户型资产表!H:H,"吸油烟机")&gt;0,"有","无")</f>
        <v>无</v>
      </c>
      <c r="AB54" s="33" t="str">
        <f>IF(COUNTIFS(户型资产表!E:E,I54,户型资产表!H:H,"冰箱")&gt;0,"有","无")</f>
        <v>无</v>
      </c>
      <c r="AC54" s="33" t="str">
        <f>IF(COUNTIFS(户型资产表!E:E,I54,户型资产表!H:H,"电视柜")&gt;0,"有","无")</f>
        <v>无</v>
      </c>
      <c r="AD54" s="41" t="str">
        <f t="shared" si="15"/>
        <v>适中</v>
      </c>
      <c r="AE54" s="33">
        <f>VLOOKUP($AD$1&amp;AD54,【1】定价因子!E:F,2,0)</f>
        <v>1</v>
      </c>
      <c r="AF54" s="41" t="str">
        <f t="shared" si="16"/>
        <v>适中</v>
      </c>
      <c r="AG54" s="33">
        <f>VLOOKUP($AF$1&amp;AF54,【1】定价因子!E:F,2,0)</f>
        <v>1</v>
      </c>
      <c r="AH54" s="41" t="str">
        <f t="shared" si="17"/>
        <v>适中</v>
      </c>
      <c r="AI54" s="33">
        <f>VLOOKUP($AH$1&amp;AH54,【1】定价因子!E:F,2,0)</f>
        <v>1</v>
      </c>
      <c r="AJ54" s="33" t="str">
        <f>VLOOKUP(H54,'【3-1】大区填-采光基本要素'!A:H,8,0)</f>
        <v>1</v>
      </c>
      <c r="AK54" s="33">
        <f>VLOOKUP($AJ$1&amp;AJ54,【1】定价因子!E:F,2,0)</f>
        <v>0.91</v>
      </c>
      <c r="AL54" s="34">
        <f t="shared" si="18"/>
        <v>2042.929141344</v>
      </c>
      <c r="AM54" s="42">
        <v>2030</v>
      </c>
      <c r="AN54" s="43">
        <f t="shared" si="19"/>
        <v>-0.0063287272584962</v>
      </c>
    </row>
    <row r="55" spans="1:40">
      <c r="A55" s="37" t="str">
        <f>'【2】运营中心填-基本信息&amp;审核标准'!$E$2</f>
        <v>兴围西4-11栋</v>
      </c>
      <c r="B55" s="13">
        <f t="shared" si="12"/>
        <v>7</v>
      </c>
      <c r="C55" s="13">
        <f t="shared" si="10"/>
        <v>8</v>
      </c>
      <c r="D55" s="13">
        <f t="shared" si="11"/>
        <v>64</v>
      </c>
      <c r="E55" s="13"/>
      <c r="F55" s="13">
        <f t="shared" si="13"/>
        <v>8</v>
      </c>
      <c r="G55" s="13"/>
      <c r="H55" s="38">
        <v>707</v>
      </c>
      <c r="I55" s="39" t="s">
        <v>501</v>
      </c>
      <c r="J55" s="39" t="s">
        <v>40</v>
      </c>
      <c r="K55" s="13"/>
      <c r="L55" s="40">
        <f>VLOOKUP(J55,'【3】大区填-楼栋基准格局定价'!B:H,7,0)</f>
        <v>1647.8784</v>
      </c>
      <c r="M55" s="41" t="str">
        <f t="shared" si="14"/>
        <v>适中</v>
      </c>
      <c r="N55" s="41">
        <v>13.81</v>
      </c>
      <c r="O55" s="33">
        <f>VLOOKUP($M$1&amp;M55,【1】定价因子!E:F,2,0)</f>
        <v>1</v>
      </c>
      <c r="P55" s="33" t="str">
        <f>IF(COUNTIFS(户型资产表!E:E,I55,户型资产表!H:H,"阳台门")&gt;0,"有","无")</f>
        <v>无</v>
      </c>
      <c r="Q55" s="33">
        <f>VLOOKUP($P$1&amp;P55,【1】定价因子!E:F,2,0)</f>
        <v>1</v>
      </c>
      <c r="R55" s="33" t="str">
        <f>IF('【2】运营中心填-基本信息&amp;审核标准'!$D$4="是","无",IF(INT(H55/100)&gt;9,"9F",INT(H55/100)&amp;"F"))</f>
        <v>无</v>
      </c>
      <c r="S55" s="33">
        <f>VLOOKUP(R55,【1】定价因子!D:F,3,0)</f>
        <v>1</v>
      </c>
      <c r="T55" s="33" t="str">
        <f>IF('【2】运营中心填-基本信息&amp;审核标准'!$D$4="否","无",IF(INT(H55/100)=1,"1F",IF(AND(INT(H55/100)&gt;=2,INT(H55/100)&lt;=3),"2-3F",IF(INT(H55/100)=4,"4F",IF(AND(INT(H55/100)&gt;=5,INT(H55/100)&lt;=6),"5-6F",IF(AND(INT(H55/100)&gt;=7,INT(H55/100)&lt;=8),"7-8F",IF(AND(INT(H55/100)&gt;=9,INT(H55/100)&lt;=10),"9-10F",IF(AND(INT(H55/100)&gt;=11,INT(H55/100)&lt;=12),"11-12F",IF(INT(H55/100)&gt;=13,"13以上F","")))))))))</f>
        <v>7-8F</v>
      </c>
      <c r="U55" s="33">
        <f>VLOOKUP($T$1&amp;T55,【1】定价因子!E:F,2,0)</f>
        <v>1.02</v>
      </c>
      <c r="V55" s="33" t="str">
        <f>IF(COUNTIFS(户型资产表!E:E,I55,户型资产表!H:H,"操作台")&gt;0,"有","无")</f>
        <v>有</v>
      </c>
      <c r="W55" s="33" t="str">
        <f>IF(COUNTIFS(户型资产表!E:E,I55,户型资产表!H:H,"书桌")&gt;0,"有","无")</f>
        <v>有</v>
      </c>
      <c r="X55" s="33" t="str">
        <f t="array" ref="X55">IF(SUMPRODUCT((户型资产表!E:E=I55)*((户型资产表!I:I="沙发01单人")+(户型资产表!I:I="单人沙发02")))&gt;0,"有","无")</f>
        <v>无</v>
      </c>
      <c r="Y55" s="33" t="str">
        <f t="array" ref="Y55">IF(SUMPRODUCT((户型资产表!E:E=I55)*((户型资产表!I:I="沙发02两人")+(户型资产表!I:I="双人沙发01")))&gt;0,"有","无")</f>
        <v>无</v>
      </c>
      <c r="Z55" s="33" t="str">
        <f>IF(COUNTIFS(户型资产表!E:E,I55,户型资产表!H:H,"餐桌")&gt;0,"有","无")</f>
        <v>无</v>
      </c>
      <c r="AA55" s="33" t="str">
        <f>IF(COUNTIFS(户型资产表!E:E,I55,户型资产表!H:H,"吸油烟机")&gt;0,"有","无")</f>
        <v>无</v>
      </c>
      <c r="AB55" s="33" t="str">
        <f>IF(COUNTIFS(户型资产表!E:E,I55,户型资产表!H:H,"冰箱")&gt;0,"有","无")</f>
        <v>无</v>
      </c>
      <c r="AC55" s="33" t="str">
        <f>IF(COUNTIFS(户型资产表!E:E,I55,户型资产表!H:H,"电视柜")&gt;0,"有","无")</f>
        <v>无</v>
      </c>
      <c r="AD55" s="41" t="str">
        <f t="shared" si="15"/>
        <v>适中</v>
      </c>
      <c r="AE55" s="33">
        <f>VLOOKUP($AD$1&amp;AD55,【1】定价因子!E:F,2,0)</f>
        <v>1</v>
      </c>
      <c r="AF55" s="41" t="str">
        <f t="shared" si="16"/>
        <v>适中</v>
      </c>
      <c r="AG55" s="33">
        <f>VLOOKUP($AF$1&amp;AF55,【1】定价因子!E:F,2,0)</f>
        <v>1</v>
      </c>
      <c r="AH55" s="41" t="str">
        <f t="shared" si="17"/>
        <v>适中</v>
      </c>
      <c r="AI55" s="33">
        <f>VLOOKUP($AH$1&amp;AH55,【1】定价因子!E:F,2,0)</f>
        <v>1</v>
      </c>
      <c r="AJ55" s="33" t="str">
        <f>VLOOKUP(H55,'【3-1】大区填-采光基本要素'!A:H,8,0)</f>
        <v>1</v>
      </c>
      <c r="AK55" s="33">
        <f>VLOOKUP($AJ$1&amp;AJ55,【1】定价因子!E:F,2,0)</f>
        <v>0.91</v>
      </c>
      <c r="AL55" s="34">
        <f t="shared" si="18"/>
        <v>1529.56073088</v>
      </c>
      <c r="AM55" s="42">
        <v>1470</v>
      </c>
      <c r="AN55" s="43">
        <f t="shared" si="19"/>
        <v>-0.0389397620359495</v>
      </c>
    </row>
    <row r="56" spans="1:40">
      <c r="A56" s="37" t="str">
        <f>'【2】运营中心填-基本信息&amp;审核标准'!$E$2</f>
        <v>兴围西4-11栋</v>
      </c>
      <c r="B56" s="13">
        <f t="shared" si="12"/>
        <v>7</v>
      </c>
      <c r="C56" s="13">
        <f t="shared" si="10"/>
        <v>8</v>
      </c>
      <c r="D56" s="13">
        <f t="shared" si="11"/>
        <v>64</v>
      </c>
      <c r="E56" s="13"/>
      <c r="F56" s="13">
        <f t="shared" si="13"/>
        <v>8</v>
      </c>
      <c r="G56" s="13"/>
      <c r="H56" s="38">
        <v>708</v>
      </c>
      <c r="I56" s="39" t="s">
        <v>508</v>
      </c>
      <c r="J56" s="39" t="s">
        <v>43</v>
      </c>
      <c r="K56" s="13"/>
      <c r="L56" s="40">
        <f>VLOOKUP(J56,'【3】大区填-楼栋基准格局定价'!B:H,7,0)</f>
        <v>2445.5088</v>
      </c>
      <c r="M56" s="41" t="str">
        <f t="shared" si="14"/>
        <v>较狭小</v>
      </c>
      <c r="N56" s="41">
        <v>20.04</v>
      </c>
      <c r="O56" s="33">
        <f>VLOOKUP($M$1&amp;M56,【1】定价因子!E:F,2,0)</f>
        <v>0.95</v>
      </c>
      <c r="P56" s="33" t="str">
        <f>IF(COUNTIFS(户型资产表!E:E,I56,户型资产表!H:H,"阳台门")&gt;0,"有","无")</f>
        <v>无</v>
      </c>
      <c r="Q56" s="33">
        <f>VLOOKUP($P$1&amp;P56,【1】定价因子!E:F,2,0)</f>
        <v>1</v>
      </c>
      <c r="R56" s="33" t="str">
        <f>IF('【2】运营中心填-基本信息&amp;审核标准'!$D$4="是","无",IF(INT(H56/100)&gt;9,"9F",INT(H56/100)&amp;"F"))</f>
        <v>无</v>
      </c>
      <c r="S56" s="33">
        <f>VLOOKUP(R56,【1】定价因子!D:F,3,0)</f>
        <v>1</v>
      </c>
      <c r="T56" s="33" t="str">
        <f>IF('【2】运营中心填-基本信息&amp;审核标准'!$D$4="否","无",IF(INT(H56/100)=1,"1F",IF(AND(INT(H56/100)&gt;=2,INT(H56/100)&lt;=3),"2-3F",IF(INT(H56/100)=4,"4F",IF(AND(INT(H56/100)&gt;=5,INT(H56/100)&lt;=6),"5-6F",IF(AND(INT(H56/100)&gt;=7,INT(H56/100)&lt;=8),"7-8F",IF(AND(INT(H56/100)&gt;=9,INT(H56/100)&lt;=10),"9-10F",IF(AND(INT(H56/100)&gt;=11,INT(H56/100)&lt;=12),"11-12F",IF(INT(H56/100)&gt;=13,"13以上F","")))))))))</f>
        <v>7-8F</v>
      </c>
      <c r="U56" s="33">
        <f>VLOOKUP($T$1&amp;T56,【1】定价因子!E:F,2,0)</f>
        <v>1.02</v>
      </c>
      <c r="V56" s="33" t="str">
        <f>IF(COUNTIFS(户型资产表!E:E,I56,户型资产表!H:H,"操作台")&gt;0,"有","无")</f>
        <v>有</v>
      </c>
      <c r="W56" s="33" t="str">
        <f>IF(COUNTIFS(户型资产表!E:E,I56,户型资产表!H:H,"书桌")&gt;0,"有","无")</f>
        <v>无</v>
      </c>
      <c r="X56" s="33" t="str">
        <f t="array" ref="X56">IF(SUMPRODUCT((户型资产表!E:E=I56)*((户型资产表!I:I="沙发01单人")+(户型资产表!I:I="单人沙发02")))&gt;0,"有","无")</f>
        <v>无</v>
      </c>
      <c r="Y56" s="33" t="str">
        <f t="array" ref="Y56">IF(SUMPRODUCT((户型资产表!E:E=I56)*((户型资产表!I:I="沙发02两人")+(户型资产表!I:I="双人沙发01")))&gt;0,"有","无")</f>
        <v>有</v>
      </c>
      <c r="Z56" s="33" t="str">
        <f>IF(COUNTIFS(户型资产表!E:E,I56,户型资产表!H:H,"餐桌")&gt;0,"有","无")</f>
        <v>有</v>
      </c>
      <c r="AA56" s="33" t="str">
        <f>IF(COUNTIFS(户型资产表!E:E,I56,户型资产表!H:H,"吸油烟机")&gt;0,"有","无")</f>
        <v>有</v>
      </c>
      <c r="AB56" s="33" t="str">
        <f>IF(COUNTIFS(户型资产表!E:E,I56,户型资产表!H:H,"冰箱")&gt;0,"有","无")</f>
        <v>无</v>
      </c>
      <c r="AC56" s="33" t="str">
        <f>IF(COUNTIFS(户型资产表!E:E,I56,户型资产表!H:H,"电视柜")&gt;0,"有","无")</f>
        <v>无</v>
      </c>
      <c r="AD56" s="41" t="str">
        <f t="shared" si="15"/>
        <v>适中</v>
      </c>
      <c r="AE56" s="33">
        <f>VLOOKUP($AD$1&amp;AD56,【1】定价因子!E:F,2,0)</f>
        <v>1</v>
      </c>
      <c r="AF56" s="41" t="s">
        <v>63</v>
      </c>
      <c r="AG56" s="33">
        <f>VLOOKUP($AF$1&amp;AF56,【1】定价因子!E:F,2,0)</f>
        <v>1</v>
      </c>
      <c r="AH56" s="41" t="str">
        <f t="shared" si="17"/>
        <v>适中</v>
      </c>
      <c r="AI56" s="33">
        <f>VLOOKUP($AH$1&amp;AH56,【1】定价因子!E:F,2,0)</f>
        <v>1</v>
      </c>
      <c r="AJ56" s="33" t="str">
        <f>VLOOKUP(H56,'【3-1】大区填-采光基本要素'!A:H,8,0)</f>
        <v>2</v>
      </c>
      <c r="AK56" s="33">
        <f>VLOOKUP($AJ$1&amp;AJ56,【1】定价因子!E:F,2,0)</f>
        <v>0.96</v>
      </c>
      <c r="AL56" s="34">
        <f t="shared" si="18"/>
        <v>2274.910106112</v>
      </c>
      <c r="AM56" s="42">
        <v>2200</v>
      </c>
      <c r="AN56" s="43">
        <f t="shared" si="19"/>
        <v>-0.0329288203128286</v>
      </c>
    </row>
    <row r="57" spans="1:40">
      <c r="A57" s="37" t="str">
        <f>'【2】运营中心填-基本信息&amp;审核标准'!$E$2</f>
        <v>兴围西4-11栋</v>
      </c>
      <c r="B57" s="13">
        <f t="shared" si="12"/>
        <v>8</v>
      </c>
      <c r="C57" s="13">
        <f t="shared" si="10"/>
        <v>8</v>
      </c>
      <c r="D57" s="13">
        <f t="shared" si="11"/>
        <v>64</v>
      </c>
      <c r="E57" s="13"/>
      <c r="F57" s="13">
        <f t="shared" si="13"/>
        <v>8</v>
      </c>
      <c r="G57" s="13"/>
      <c r="H57" s="38">
        <v>801</v>
      </c>
      <c r="I57" s="39" t="s">
        <v>505</v>
      </c>
      <c r="J57" s="39" t="s">
        <v>40</v>
      </c>
      <c r="K57" s="13"/>
      <c r="L57" s="40">
        <f>VLOOKUP(J57,'【3】大区填-楼栋基准格局定价'!B:H,7,0)</f>
        <v>1647.8784</v>
      </c>
      <c r="M57" s="41" t="str">
        <f t="shared" si="14"/>
        <v>较狭小</v>
      </c>
      <c r="N57" s="41">
        <v>10.96</v>
      </c>
      <c r="O57" s="33">
        <f>VLOOKUP($M$1&amp;M57,【1】定价因子!E:F,2,0)</f>
        <v>0.95</v>
      </c>
      <c r="P57" s="33" t="str">
        <f>IF(COUNTIFS(户型资产表!E:E,I57,户型资产表!H:H,"阳台门")&gt;0,"有","无")</f>
        <v>无</v>
      </c>
      <c r="Q57" s="33">
        <f>VLOOKUP($P$1&amp;P57,【1】定价因子!E:F,2,0)</f>
        <v>1</v>
      </c>
      <c r="R57" s="33" t="str">
        <f>IF('【2】运营中心填-基本信息&amp;审核标准'!$D$4="是","无",IF(INT(H57/100)&gt;9,"9F",INT(H57/100)&amp;"F"))</f>
        <v>无</v>
      </c>
      <c r="S57" s="33">
        <f>VLOOKUP(R57,【1】定价因子!D:F,3,0)</f>
        <v>1</v>
      </c>
      <c r="T57" s="33" t="str">
        <f>IF('【2】运营中心填-基本信息&amp;审核标准'!$D$4="否","无",IF(INT(H57/100)=1,"1F",IF(AND(INT(H57/100)&gt;=2,INT(H57/100)&lt;=3),"2-3F",IF(INT(H57/100)=4,"4F",IF(AND(INT(H57/100)&gt;=5,INT(H57/100)&lt;=6),"5-6F",IF(AND(INT(H57/100)&gt;=7,INT(H57/100)&lt;=8),"7-8F",IF(AND(INT(H57/100)&gt;=9,INT(H57/100)&lt;=10),"9-10F",IF(AND(INT(H57/100)&gt;=11,INT(H57/100)&lt;=12),"11-12F",IF(INT(H57/100)&gt;=13,"13以上F","")))))))))</f>
        <v>7-8F</v>
      </c>
      <c r="U57" s="33">
        <f>VLOOKUP($T$1&amp;T57,【1】定价因子!E:F,2,0)</f>
        <v>1.02</v>
      </c>
      <c r="V57" s="33" t="str">
        <f>IF(COUNTIFS(户型资产表!E:E,I57,户型资产表!H:H,"操作台")&gt;0,"有","无")</f>
        <v>有</v>
      </c>
      <c r="W57" s="33" t="str">
        <f>IF(COUNTIFS(户型资产表!E:E,I57,户型资产表!H:H,"书桌")&gt;0,"有","无")</f>
        <v>有</v>
      </c>
      <c r="X57" s="33" t="str">
        <f t="array" ref="X57">IF(SUMPRODUCT((户型资产表!E:E=I57)*((户型资产表!I:I="沙发01单人")+(户型资产表!I:I="单人沙发02")))&gt;0,"有","无")</f>
        <v>无</v>
      </c>
      <c r="Y57" s="33" t="str">
        <f t="array" ref="Y57">IF(SUMPRODUCT((户型资产表!E:E=I57)*((户型资产表!I:I="沙发02两人")+(户型资产表!I:I="双人沙发01")))&gt;0,"有","无")</f>
        <v>无</v>
      </c>
      <c r="Z57" s="33" t="str">
        <f>IF(COUNTIFS(户型资产表!E:E,I57,户型资产表!H:H,"餐桌")&gt;0,"有","无")</f>
        <v>无</v>
      </c>
      <c r="AA57" s="33" t="str">
        <f>IF(COUNTIFS(户型资产表!E:E,I57,户型资产表!H:H,"吸油烟机")&gt;0,"有","无")</f>
        <v>无</v>
      </c>
      <c r="AB57" s="33" t="str">
        <f>IF(COUNTIFS(户型资产表!E:E,I57,户型资产表!H:H,"冰箱")&gt;0,"有","无")</f>
        <v>无</v>
      </c>
      <c r="AC57" s="33" t="str">
        <f>IF(COUNTIFS(户型资产表!E:E,I57,户型资产表!H:H,"电视柜")&gt;0,"有","无")</f>
        <v>无</v>
      </c>
      <c r="AD57" s="41" t="str">
        <f t="shared" si="15"/>
        <v>适中</v>
      </c>
      <c r="AE57" s="33">
        <f>VLOOKUP($AD$1&amp;AD57,【1】定价因子!E:F,2,0)</f>
        <v>1</v>
      </c>
      <c r="AF57" s="41" t="str">
        <f t="shared" si="16"/>
        <v>适中</v>
      </c>
      <c r="AG57" s="33">
        <f>VLOOKUP($AF$1&amp;AF57,【1】定价因子!E:F,2,0)</f>
        <v>1</v>
      </c>
      <c r="AH57" s="41" t="str">
        <f t="shared" si="17"/>
        <v>适中</v>
      </c>
      <c r="AI57" s="33">
        <f>VLOOKUP($AH$1&amp;AH57,【1】定价因子!E:F,2,0)</f>
        <v>1</v>
      </c>
      <c r="AJ57" s="33" t="str">
        <f>VLOOKUP(H57,'【3-1】大区填-采光基本要素'!A:H,8,0)</f>
        <v>5</v>
      </c>
      <c r="AK57" s="33">
        <f>VLOOKUP($AJ$1&amp;AJ57,【1】定价因子!E:F,2,0)</f>
        <v>1.06</v>
      </c>
      <c r="AL57" s="34">
        <f t="shared" si="18"/>
        <v>1692.601819776</v>
      </c>
      <c r="AM57" s="42">
        <v>1540</v>
      </c>
      <c r="AN57" s="43">
        <f t="shared" si="19"/>
        <v>-0.0901581328774631</v>
      </c>
    </row>
    <row r="58" spans="1:40">
      <c r="A58" s="37" t="str">
        <f>'【2】运营中心填-基本信息&amp;审核标准'!$E$2</f>
        <v>兴围西4-11栋</v>
      </c>
      <c r="B58" s="13">
        <f t="shared" si="12"/>
        <v>8</v>
      </c>
      <c r="C58" s="13">
        <f t="shared" si="10"/>
        <v>8</v>
      </c>
      <c r="D58" s="13">
        <f t="shared" si="11"/>
        <v>64</v>
      </c>
      <c r="E58" s="13"/>
      <c r="F58" s="13">
        <f t="shared" si="13"/>
        <v>8</v>
      </c>
      <c r="G58" s="13"/>
      <c r="H58" s="38">
        <v>802</v>
      </c>
      <c r="I58" s="39" t="s">
        <v>499</v>
      </c>
      <c r="J58" s="39" t="s">
        <v>43</v>
      </c>
      <c r="K58" s="13"/>
      <c r="L58" s="40">
        <f>VLOOKUP(J58,'【3】大区填-楼栋基准格局定价'!B:H,7,0)</f>
        <v>2445.5088</v>
      </c>
      <c r="M58" s="41" t="str">
        <f t="shared" si="14"/>
        <v>很狭小</v>
      </c>
      <c r="N58" s="41">
        <v>18.86</v>
      </c>
      <c r="O58" s="33">
        <f>VLOOKUP($M$1&amp;M58,【1】定价因子!E:F,2,0)</f>
        <v>0.9</v>
      </c>
      <c r="P58" s="33" t="str">
        <f>IF(COUNTIFS(户型资产表!E:E,I58,户型资产表!H:H,"阳台门")&gt;0,"有","无")</f>
        <v>无</v>
      </c>
      <c r="Q58" s="33">
        <f>VLOOKUP($P$1&amp;P58,【1】定价因子!E:F,2,0)</f>
        <v>1</v>
      </c>
      <c r="R58" s="33" t="str">
        <f>IF('【2】运营中心填-基本信息&amp;审核标准'!$D$4="是","无",IF(INT(H58/100)&gt;9,"9F",INT(H58/100)&amp;"F"))</f>
        <v>无</v>
      </c>
      <c r="S58" s="33">
        <f>VLOOKUP(R58,【1】定价因子!D:F,3,0)</f>
        <v>1</v>
      </c>
      <c r="T58" s="33" t="str">
        <f>IF('【2】运营中心填-基本信息&amp;审核标准'!$D$4="否","无",IF(INT(H58/100)=1,"1F",IF(AND(INT(H58/100)&gt;=2,INT(H58/100)&lt;=3),"2-3F",IF(INT(H58/100)=4,"4F",IF(AND(INT(H58/100)&gt;=5,INT(H58/100)&lt;=6),"5-6F",IF(AND(INT(H58/100)&gt;=7,INT(H58/100)&lt;=8),"7-8F",IF(AND(INT(H58/100)&gt;=9,INT(H58/100)&lt;=10),"9-10F",IF(AND(INT(H58/100)&gt;=11,INT(H58/100)&lt;=12),"11-12F",IF(INT(H58/100)&gt;=13,"13以上F","")))))))))</f>
        <v>7-8F</v>
      </c>
      <c r="U58" s="33">
        <f>VLOOKUP($T$1&amp;T58,【1】定价因子!E:F,2,0)</f>
        <v>1.02</v>
      </c>
      <c r="V58" s="33" t="str">
        <f>IF(COUNTIFS(户型资产表!E:E,I58,户型资产表!H:H,"操作台")&gt;0,"有","无")</f>
        <v>有</v>
      </c>
      <c r="W58" s="33" t="str">
        <f>IF(COUNTIFS(户型资产表!E:E,I58,户型资产表!H:H,"书桌")&gt;0,"有","无")</f>
        <v>有</v>
      </c>
      <c r="X58" s="33" t="str">
        <f t="array" ref="X58">IF(SUMPRODUCT((户型资产表!E:E=I58)*((户型资产表!I:I="沙发01单人")+(户型资产表!I:I="单人沙发02")))&gt;0,"有","无")</f>
        <v>无</v>
      </c>
      <c r="Y58" s="33" t="str">
        <f t="array" ref="Y58">IF(SUMPRODUCT((户型资产表!E:E=I58)*((户型资产表!I:I="沙发02两人")+(户型资产表!I:I="双人沙发01")))&gt;0,"有","无")</f>
        <v>有</v>
      </c>
      <c r="Z58" s="33" t="str">
        <f>IF(COUNTIFS(户型资产表!E:E,I58,户型资产表!H:H,"餐桌")&gt;0,"有","无")</f>
        <v>有</v>
      </c>
      <c r="AA58" s="33" t="str">
        <f>IF(COUNTIFS(户型资产表!E:E,I58,户型资产表!H:H,"吸油烟机")&gt;0,"有","无")</f>
        <v>无</v>
      </c>
      <c r="AB58" s="33" t="str">
        <f>IF(COUNTIFS(户型资产表!E:E,I58,户型资产表!H:H,"冰箱")&gt;0,"有","无")</f>
        <v>无</v>
      </c>
      <c r="AC58" s="33" t="str">
        <f>IF(COUNTIFS(户型资产表!E:E,I58,户型资产表!H:H,"电视柜")&gt;0,"有","无")</f>
        <v>无</v>
      </c>
      <c r="AD58" s="41" t="str">
        <f t="shared" si="15"/>
        <v>适中</v>
      </c>
      <c r="AE58" s="33">
        <f>VLOOKUP($AD$1&amp;AD58,【1】定价因子!E:F,2,0)</f>
        <v>1</v>
      </c>
      <c r="AF58" s="41" t="s">
        <v>63</v>
      </c>
      <c r="AG58" s="33">
        <f>VLOOKUP($AF$1&amp;AF58,【1】定价因子!E:F,2,0)</f>
        <v>1</v>
      </c>
      <c r="AH58" s="41" t="str">
        <f t="shared" si="17"/>
        <v>适中</v>
      </c>
      <c r="AI58" s="33">
        <f>VLOOKUP($AH$1&amp;AH58,【1】定价因子!E:F,2,0)</f>
        <v>1</v>
      </c>
      <c r="AJ58" s="33" t="str">
        <f>VLOOKUP(H58,'【3-1】大区填-采光基本要素'!A:H,8,0)</f>
        <v>2</v>
      </c>
      <c r="AK58" s="33">
        <f>VLOOKUP($AJ$1&amp;AJ58,【1】定价因子!E:F,2,0)</f>
        <v>0.96</v>
      </c>
      <c r="AL58" s="34">
        <f t="shared" si="18"/>
        <v>2155.177995264</v>
      </c>
      <c r="AM58" s="42">
        <v>2100</v>
      </c>
      <c r="AN58" s="43">
        <f t="shared" si="19"/>
        <v>-0.0256025234970167</v>
      </c>
    </row>
    <row r="59" spans="1:40">
      <c r="A59" s="37" t="str">
        <f>'【2】运营中心填-基本信息&amp;审核标准'!$E$2</f>
        <v>兴围西4-11栋</v>
      </c>
      <c r="B59" s="13">
        <f t="shared" si="12"/>
        <v>8</v>
      </c>
      <c r="C59" s="13">
        <f t="shared" si="10"/>
        <v>8</v>
      </c>
      <c r="D59" s="13">
        <f t="shared" si="11"/>
        <v>64</v>
      </c>
      <c r="E59" s="13"/>
      <c r="F59" s="13">
        <f t="shared" si="13"/>
        <v>8</v>
      </c>
      <c r="G59" s="13"/>
      <c r="H59" s="38">
        <v>803</v>
      </c>
      <c r="I59" s="39" t="s">
        <v>506</v>
      </c>
      <c r="J59" s="39" t="s">
        <v>40</v>
      </c>
      <c r="K59" s="13"/>
      <c r="L59" s="40">
        <f>VLOOKUP(J59,'【3】大区填-楼栋基准格局定价'!B:H,7,0)</f>
        <v>1647.8784</v>
      </c>
      <c r="M59" s="41" t="str">
        <f t="shared" si="14"/>
        <v>适中</v>
      </c>
      <c r="N59" s="41">
        <v>13.87</v>
      </c>
      <c r="O59" s="33">
        <f>VLOOKUP($M$1&amp;M59,【1】定价因子!E:F,2,0)</f>
        <v>1</v>
      </c>
      <c r="P59" s="33" t="str">
        <f>IF(COUNTIFS(户型资产表!E:E,I59,户型资产表!H:H,"阳台门")&gt;0,"有","无")</f>
        <v>有</v>
      </c>
      <c r="Q59" s="33">
        <f>VLOOKUP($P$1&amp;P59,【1】定价因子!E:F,2,0)</f>
        <v>1.07</v>
      </c>
      <c r="R59" s="33" t="str">
        <f>IF('【2】运营中心填-基本信息&amp;审核标准'!$D$4="是","无",IF(INT(H59/100)&gt;9,"9F",INT(H59/100)&amp;"F"))</f>
        <v>无</v>
      </c>
      <c r="S59" s="33">
        <f>VLOOKUP(R59,【1】定价因子!D:F,3,0)</f>
        <v>1</v>
      </c>
      <c r="T59" s="33" t="str">
        <f>IF('【2】运营中心填-基本信息&amp;审核标准'!$D$4="否","无",IF(INT(H59/100)=1,"1F",IF(AND(INT(H59/100)&gt;=2,INT(H59/100)&lt;=3),"2-3F",IF(INT(H59/100)=4,"4F",IF(AND(INT(H59/100)&gt;=5,INT(H59/100)&lt;=6),"5-6F",IF(AND(INT(H59/100)&gt;=7,INT(H59/100)&lt;=8),"7-8F",IF(AND(INT(H59/100)&gt;=9,INT(H59/100)&lt;=10),"9-10F",IF(AND(INT(H59/100)&gt;=11,INT(H59/100)&lt;=12),"11-12F",IF(INT(H59/100)&gt;=13,"13以上F","")))))))))</f>
        <v>7-8F</v>
      </c>
      <c r="U59" s="33">
        <f>VLOOKUP($T$1&amp;T59,【1】定价因子!E:F,2,0)</f>
        <v>1.02</v>
      </c>
      <c r="V59" s="33" t="str">
        <f>IF(COUNTIFS(户型资产表!E:E,I59,户型资产表!H:H,"操作台")&gt;0,"有","无")</f>
        <v>有</v>
      </c>
      <c r="W59" s="33" t="str">
        <f>IF(COUNTIFS(户型资产表!E:E,I59,户型资产表!H:H,"书桌")&gt;0,"有","无")</f>
        <v>有</v>
      </c>
      <c r="X59" s="33" t="str">
        <f t="array" ref="X59">IF(SUMPRODUCT((户型资产表!E:E=I59)*((户型资产表!I:I="沙发01单人")+(户型资产表!I:I="单人沙发02")))&gt;0,"有","无")</f>
        <v>无</v>
      </c>
      <c r="Y59" s="33" t="str">
        <f t="array" ref="Y59">IF(SUMPRODUCT((户型资产表!E:E=I59)*((户型资产表!I:I="沙发02两人")+(户型资产表!I:I="双人沙发01")))&gt;0,"有","无")</f>
        <v>无</v>
      </c>
      <c r="Z59" s="33" t="str">
        <f>IF(COUNTIFS(户型资产表!E:E,I59,户型资产表!H:H,"餐桌")&gt;0,"有","无")</f>
        <v>无</v>
      </c>
      <c r="AA59" s="33" t="str">
        <f>IF(COUNTIFS(户型资产表!E:E,I59,户型资产表!H:H,"吸油烟机")&gt;0,"有","无")</f>
        <v>无</v>
      </c>
      <c r="AB59" s="33" t="str">
        <f>IF(COUNTIFS(户型资产表!E:E,I59,户型资产表!H:H,"冰箱")&gt;0,"有","无")</f>
        <v>无</v>
      </c>
      <c r="AC59" s="33" t="str">
        <f>IF(COUNTIFS(户型资产表!E:E,I59,户型资产表!H:H,"电视柜")&gt;0,"有","无")</f>
        <v>无</v>
      </c>
      <c r="AD59" s="41" t="str">
        <f t="shared" si="15"/>
        <v>适中</v>
      </c>
      <c r="AE59" s="33">
        <f>VLOOKUP($AD$1&amp;AD59,【1】定价因子!E:F,2,0)</f>
        <v>1</v>
      </c>
      <c r="AF59" s="41" t="str">
        <f t="shared" si="16"/>
        <v>适中</v>
      </c>
      <c r="AG59" s="33">
        <f>VLOOKUP($AF$1&amp;AF59,【1】定价因子!E:F,2,0)</f>
        <v>1</v>
      </c>
      <c r="AH59" s="41" t="str">
        <f t="shared" si="17"/>
        <v>适中</v>
      </c>
      <c r="AI59" s="33">
        <f>VLOOKUP($AH$1&amp;AH59,【1】定价因子!E:F,2,0)</f>
        <v>1</v>
      </c>
      <c r="AJ59" s="33" t="str">
        <f>VLOOKUP(H59,'【3-1】大区填-采光基本要素'!A:H,8,0)</f>
        <v>4</v>
      </c>
      <c r="AK59" s="33">
        <f>VLOOKUP($AJ$1&amp;AJ59,【1】定价因子!E:F,2,0)</f>
        <v>1.03</v>
      </c>
      <c r="AL59" s="34">
        <f t="shared" si="18"/>
        <v>1852.4493203328</v>
      </c>
      <c r="AM59" s="42">
        <v>1680</v>
      </c>
      <c r="AN59" s="43">
        <f t="shared" si="19"/>
        <v>-0.0930925982373535</v>
      </c>
    </row>
    <row r="60" spans="1:40">
      <c r="A60" s="37" t="str">
        <f>'【2】运营中心填-基本信息&amp;审核标准'!$E$2</f>
        <v>兴围西4-11栋</v>
      </c>
      <c r="B60" s="13">
        <f t="shared" si="12"/>
        <v>8</v>
      </c>
      <c r="C60" s="13">
        <f t="shared" si="10"/>
        <v>8</v>
      </c>
      <c r="D60" s="13">
        <f t="shared" si="11"/>
        <v>64</v>
      </c>
      <c r="E60" s="13"/>
      <c r="F60" s="13">
        <f t="shared" si="13"/>
        <v>8</v>
      </c>
      <c r="G60" s="13"/>
      <c r="H60" s="38">
        <v>804</v>
      </c>
      <c r="I60" s="39" t="s">
        <v>507</v>
      </c>
      <c r="J60" s="39" t="s">
        <v>40</v>
      </c>
      <c r="K60" s="13"/>
      <c r="L60" s="40">
        <f>VLOOKUP(J60,'【3】大区填-楼栋基准格局定价'!B:H,7,0)</f>
        <v>1647.8784</v>
      </c>
      <c r="M60" s="41" t="s">
        <v>63</v>
      </c>
      <c r="N60" s="41">
        <v>19.76</v>
      </c>
      <c r="O60" s="33">
        <f>VLOOKUP($M$1&amp;M60,【1】定价因子!E:F,2,0)</f>
        <v>1</v>
      </c>
      <c r="P60" s="33" t="str">
        <f>IF(COUNTIFS(户型资产表!E:E,I60,户型资产表!H:H,"阳台门")&gt;0,"有","无")</f>
        <v>无</v>
      </c>
      <c r="Q60" s="33">
        <f>VLOOKUP($P$1&amp;P60,【1】定价因子!E:F,2,0)</f>
        <v>1</v>
      </c>
      <c r="R60" s="33" t="str">
        <f>IF('【2】运营中心填-基本信息&amp;审核标准'!$D$4="是","无",IF(INT(H60/100)&gt;9,"9F",INT(H60/100)&amp;"F"))</f>
        <v>无</v>
      </c>
      <c r="S60" s="33">
        <f>VLOOKUP(R60,【1】定价因子!D:F,3,0)</f>
        <v>1</v>
      </c>
      <c r="T60" s="33" t="str">
        <f>IF('【2】运营中心填-基本信息&amp;审核标准'!$D$4="否","无",IF(INT(H60/100)=1,"1F",IF(AND(INT(H60/100)&gt;=2,INT(H60/100)&lt;=3),"2-3F",IF(INT(H60/100)=4,"4F",IF(AND(INT(H60/100)&gt;=5,INT(H60/100)&lt;=6),"5-6F",IF(AND(INT(H60/100)&gt;=7,INT(H60/100)&lt;=8),"7-8F",IF(AND(INT(H60/100)&gt;=9,INT(H60/100)&lt;=10),"9-10F",IF(AND(INT(H60/100)&gt;=11,INT(H60/100)&lt;=12),"11-12F",IF(INT(H60/100)&gt;=13,"13以上F","")))))))))</f>
        <v>7-8F</v>
      </c>
      <c r="U60" s="33">
        <f>VLOOKUP($T$1&amp;T60,【1】定价因子!E:F,2,0)</f>
        <v>1.02</v>
      </c>
      <c r="V60" s="33" t="str">
        <f>IF(COUNTIFS(户型资产表!E:E,I60,户型资产表!H:H,"操作台")&gt;0,"有","无")</f>
        <v>有</v>
      </c>
      <c r="W60" s="33" t="str">
        <f>IF(COUNTIFS(户型资产表!E:E,I60,户型资产表!H:H,"书桌")&gt;0,"有","无")</f>
        <v>有</v>
      </c>
      <c r="X60" s="33" t="str">
        <f t="array" ref="X60">IF(SUMPRODUCT((户型资产表!E:E=I60)*((户型资产表!I:I="沙发01单人")+(户型资产表!I:I="单人沙发02")))&gt;0,"有","无")</f>
        <v>无</v>
      </c>
      <c r="Y60" s="33" t="str">
        <f t="array" ref="Y60">IF(SUMPRODUCT((户型资产表!E:E=I60)*((户型资产表!I:I="沙发02两人")+(户型资产表!I:I="双人沙发01")))&gt;0,"有","无")</f>
        <v>无</v>
      </c>
      <c r="Z60" s="33" t="str">
        <f>IF(COUNTIFS(户型资产表!E:E,I60,户型资产表!H:H,"餐桌")&gt;0,"有","无")</f>
        <v>无</v>
      </c>
      <c r="AA60" s="33" t="str">
        <f>IF(COUNTIFS(户型资产表!E:E,I60,户型资产表!H:H,"吸油烟机")&gt;0,"有","无")</f>
        <v>无</v>
      </c>
      <c r="AB60" s="33" t="str">
        <f>IF(COUNTIFS(户型资产表!E:E,I60,户型资产表!H:H,"冰箱")&gt;0,"有","无")</f>
        <v>无</v>
      </c>
      <c r="AC60" s="33" t="str">
        <f>IF(COUNTIFS(户型资产表!E:E,I60,户型资产表!H:H,"电视柜")&gt;0,"有","无")</f>
        <v>无</v>
      </c>
      <c r="AD60" s="41" t="str">
        <f t="shared" si="15"/>
        <v>适中</v>
      </c>
      <c r="AE60" s="33">
        <f>VLOOKUP($AD$1&amp;AD60,【1】定价因子!E:F,2,0)</f>
        <v>1</v>
      </c>
      <c r="AF60" s="41" t="str">
        <f t="shared" si="16"/>
        <v>适中</v>
      </c>
      <c r="AG60" s="33">
        <f>VLOOKUP($AF$1&amp;AF60,【1】定价因子!E:F,2,0)</f>
        <v>1</v>
      </c>
      <c r="AH60" s="41" t="str">
        <f t="shared" si="17"/>
        <v>适中</v>
      </c>
      <c r="AI60" s="33">
        <f>VLOOKUP($AH$1&amp;AH60,【1】定价因子!E:F,2,0)</f>
        <v>1</v>
      </c>
      <c r="AJ60" s="33" t="str">
        <f>VLOOKUP(H60,'【3-1】大区填-采光基本要素'!A:H,8,0)</f>
        <v>2</v>
      </c>
      <c r="AK60" s="33">
        <f>VLOOKUP($AJ$1&amp;AJ60,【1】定价因子!E:F,2,0)</f>
        <v>0.96</v>
      </c>
      <c r="AL60" s="34">
        <f t="shared" si="18"/>
        <v>1613.60252928</v>
      </c>
      <c r="AM60" s="42">
        <v>1470</v>
      </c>
      <c r="AN60" s="43">
        <f t="shared" si="19"/>
        <v>-0.0889949827632437</v>
      </c>
    </row>
    <row r="61" spans="1:40">
      <c r="A61" s="37" t="str">
        <f>'【2】运营中心填-基本信息&amp;审核标准'!$E$2</f>
        <v>兴围西4-11栋</v>
      </c>
      <c r="B61" s="13">
        <f t="shared" si="12"/>
        <v>8</v>
      </c>
      <c r="C61" s="13">
        <f t="shared" si="10"/>
        <v>8</v>
      </c>
      <c r="D61" s="13">
        <f t="shared" si="11"/>
        <v>64</v>
      </c>
      <c r="E61" s="13"/>
      <c r="F61" s="13">
        <f t="shared" si="13"/>
        <v>8</v>
      </c>
      <c r="G61" s="13"/>
      <c r="H61" s="38">
        <v>805</v>
      </c>
      <c r="I61" s="39" t="s">
        <v>502</v>
      </c>
      <c r="J61" s="39" t="s">
        <v>40</v>
      </c>
      <c r="K61" s="13"/>
      <c r="L61" s="40">
        <f>VLOOKUP(J61,'【3】大区填-楼栋基准格局定价'!B:H,7,0)</f>
        <v>1647.8784</v>
      </c>
      <c r="M61" s="41" t="str">
        <f t="shared" si="14"/>
        <v>适中</v>
      </c>
      <c r="N61" s="41">
        <v>13.79</v>
      </c>
      <c r="O61" s="33">
        <f>VLOOKUP($M$1&amp;M61,【1】定价因子!E:F,2,0)</f>
        <v>1</v>
      </c>
      <c r="P61" s="33" t="str">
        <f>IF(COUNTIFS(户型资产表!E:E,I61,户型资产表!H:H,"阳台门")&gt;0,"有","无")</f>
        <v>无</v>
      </c>
      <c r="Q61" s="33">
        <f>VLOOKUP($P$1&amp;P61,【1】定价因子!E:F,2,0)</f>
        <v>1</v>
      </c>
      <c r="R61" s="33" t="str">
        <f>IF('【2】运营中心填-基本信息&amp;审核标准'!$D$4="是","无",IF(INT(H61/100)&gt;9,"9F",INT(H61/100)&amp;"F"))</f>
        <v>无</v>
      </c>
      <c r="S61" s="33">
        <f>VLOOKUP(R61,【1】定价因子!D:F,3,0)</f>
        <v>1</v>
      </c>
      <c r="T61" s="33" t="str">
        <f>IF('【2】运营中心填-基本信息&amp;审核标准'!$D$4="否","无",IF(INT(H61/100)=1,"1F",IF(AND(INT(H61/100)&gt;=2,INT(H61/100)&lt;=3),"2-3F",IF(INT(H61/100)=4,"4F",IF(AND(INT(H61/100)&gt;=5,INT(H61/100)&lt;=6),"5-6F",IF(AND(INT(H61/100)&gt;=7,INT(H61/100)&lt;=8),"7-8F",IF(AND(INT(H61/100)&gt;=9,INT(H61/100)&lt;=10),"9-10F",IF(AND(INT(H61/100)&gt;=11,INT(H61/100)&lt;=12),"11-12F",IF(INT(H61/100)&gt;=13,"13以上F","")))))))))</f>
        <v>7-8F</v>
      </c>
      <c r="U61" s="33">
        <f>VLOOKUP($T$1&amp;T61,【1】定价因子!E:F,2,0)</f>
        <v>1.02</v>
      </c>
      <c r="V61" s="33" t="str">
        <f>IF(COUNTIFS(户型资产表!E:E,I61,户型资产表!H:H,"操作台")&gt;0,"有","无")</f>
        <v>有</v>
      </c>
      <c r="W61" s="33" t="str">
        <f>IF(COUNTIFS(户型资产表!E:E,I61,户型资产表!H:H,"书桌")&gt;0,"有","无")</f>
        <v>有</v>
      </c>
      <c r="X61" s="33" t="str">
        <f t="array" ref="X61">IF(SUMPRODUCT((户型资产表!E:E=I61)*((户型资产表!I:I="沙发01单人")+(户型资产表!I:I="单人沙发02")))&gt;0,"有","无")</f>
        <v>无</v>
      </c>
      <c r="Y61" s="33" t="str">
        <f t="array" ref="Y61">IF(SUMPRODUCT((户型资产表!E:E=I61)*((户型资产表!I:I="沙发02两人")+(户型资产表!I:I="双人沙发01")))&gt;0,"有","无")</f>
        <v>无</v>
      </c>
      <c r="Z61" s="33" t="str">
        <f>IF(COUNTIFS(户型资产表!E:E,I61,户型资产表!H:H,"餐桌")&gt;0,"有","无")</f>
        <v>无</v>
      </c>
      <c r="AA61" s="33" t="str">
        <f>IF(COUNTIFS(户型资产表!E:E,I61,户型资产表!H:H,"吸油烟机")&gt;0,"有","无")</f>
        <v>无</v>
      </c>
      <c r="AB61" s="33" t="str">
        <f>IF(COUNTIFS(户型资产表!E:E,I61,户型资产表!H:H,"冰箱")&gt;0,"有","无")</f>
        <v>无</v>
      </c>
      <c r="AC61" s="33" t="str">
        <f>IF(COUNTIFS(户型资产表!E:E,I61,户型资产表!H:H,"电视柜")&gt;0,"有","无")</f>
        <v>无</v>
      </c>
      <c r="AD61" s="41" t="str">
        <f t="shared" si="15"/>
        <v>适中</v>
      </c>
      <c r="AE61" s="33">
        <f>VLOOKUP($AD$1&amp;AD61,【1】定价因子!E:F,2,0)</f>
        <v>1</v>
      </c>
      <c r="AF61" s="41" t="str">
        <f t="shared" si="16"/>
        <v>适中</v>
      </c>
      <c r="AG61" s="33">
        <f>VLOOKUP($AF$1&amp;AF61,【1】定价因子!E:F,2,0)</f>
        <v>1</v>
      </c>
      <c r="AH61" s="41" t="str">
        <f t="shared" si="17"/>
        <v>适中</v>
      </c>
      <c r="AI61" s="33">
        <f>VLOOKUP($AH$1&amp;AH61,【1】定价因子!E:F,2,0)</f>
        <v>1</v>
      </c>
      <c r="AJ61" s="33" t="str">
        <f>VLOOKUP(H61,'【3-1】大区填-采光基本要素'!A:H,8,0)</f>
        <v>4</v>
      </c>
      <c r="AK61" s="33">
        <f>VLOOKUP($AJ$1&amp;AJ61,【1】定价因子!E:F,2,0)</f>
        <v>1.03</v>
      </c>
      <c r="AL61" s="34">
        <f t="shared" si="18"/>
        <v>1731.26104704</v>
      </c>
      <c r="AM61" s="42">
        <v>1570</v>
      </c>
      <c r="AN61" s="43">
        <f t="shared" si="19"/>
        <v>-0.0931465808207917</v>
      </c>
    </row>
    <row r="62" spans="1:40">
      <c r="A62" s="37" t="str">
        <f>'【2】运营中心填-基本信息&amp;审核标准'!$E$2</f>
        <v>兴围西4-11栋</v>
      </c>
      <c r="B62" s="13">
        <f t="shared" si="12"/>
        <v>8</v>
      </c>
      <c r="C62" s="13">
        <f t="shared" si="10"/>
        <v>8</v>
      </c>
      <c r="D62" s="13">
        <f t="shared" si="11"/>
        <v>64</v>
      </c>
      <c r="E62" s="13"/>
      <c r="F62" s="13">
        <f t="shared" si="13"/>
        <v>8</v>
      </c>
      <c r="G62" s="13"/>
      <c r="H62" s="38">
        <v>806</v>
      </c>
      <c r="I62" s="39" t="s">
        <v>503</v>
      </c>
      <c r="J62" s="39" t="s">
        <v>43</v>
      </c>
      <c r="K62" s="13"/>
      <c r="L62" s="40">
        <f>VLOOKUP(J62,'【3】大区填-楼栋基准格局定价'!B:H,7,0)</f>
        <v>2445.5088</v>
      </c>
      <c r="M62" s="41" t="str">
        <f t="shared" si="14"/>
        <v>很狭小</v>
      </c>
      <c r="N62" s="41">
        <v>11.35</v>
      </c>
      <c r="O62" s="33">
        <f>VLOOKUP($M$1&amp;M62,【1】定价因子!E:F,2,0)</f>
        <v>0.9</v>
      </c>
      <c r="P62" s="33" t="str">
        <f>IF(COUNTIFS(户型资产表!E:E,I62,户型资产表!H:H,"阳台门")&gt;0,"有","无")</f>
        <v>无</v>
      </c>
      <c r="Q62" s="33">
        <f>VLOOKUP($P$1&amp;P62,【1】定价因子!E:F,2,0)</f>
        <v>1</v>
      </c>
      <c r="R62" s="33" t="str">
        <f>IF('【2】运营中心填-基本信息&amp;审核标准'!$D$4="是","无",IF(INT(H62/100)&gt;9,"9F",INT(H62/100)&amp;"F"))</f>
        <v>无</v>
      </c>
      <c r="S62" s="33">
        <f>VLOOKUP(R62,【1】定价因子!D:F,3,0)</f>
        <v>1</v>
      </c>
      <c r="T62" s="33" t="str">
        <f>IF('【2】运营中心填-基本信息&amp;审核标准'!$D$4="否","无",IF(INT(H62/100)=1,"1F",IF(AND(INT(H62/100)&gt;=2,INT(H62/100)&lt;=3),"2-3F",IF(INT(H62/100)=4,"4F",IF(AND(INT(H62/100)&gt;=5,INT(H62/100)&lt;=6),"5-6F",IF(AND(INT(H62/100)&gt;=7,INT(H62/100)&lt;=8),"7-8F",IF(AND(INT(H62/100)&gt;=9,INT(H62/100)&lt;=10),"9-10F",IF(AND(INT(H62/100)&gt;=11,INT(H62/100)&lt;=12),"11-12F",IF(INT(H62/100)&gt;=13,"13以上F","")))))))))</f>
        <v>7-8F</v>
      </c>
      <c r="U62" s="33">
        <f>VLOOKUP($T$1&amp;T62,【1】定价因子!E:F,2,0)</f>
        <v>1.02</v>
      </c>
      <c r="V62" s="33" t="str">
        <f>IF(COUNTIFS(户型资产表!E:E,I62,户型资产表!H:H,"操作台")&gt;0,"有","无")</f>
        <v>有</v>
      </c>
      <c r="W62" s="33" t="str">
        <f>IF(COUNTIFS(户型资产表!E:E,I62,户型资产表!H:H,"书桌")&gt;0,"有","无")</f>
        <v>无</v>
      </c>
      <c r="X62" s="33" t="str">
        <f t="array" ref="X62">IF(SUMPRODUCT((户型资产表!E:E=I62)*((户型资产表!I:I="沙发01单人")+(户型资产表!I:I="单人沙发02")))&gt;0,"有","无")</f>
        <v>无</v>
      </c>
      <c r="Y62" s="33" t="str">
        <f t="array" ref="Y62">IF(SUMPRODUCT((户型资产表!E:E=I62)*((户型资产表!I:I="沙发02两人")+(户型资产表!I:I="双人沙发01")))&gt;0,"有","无")</f>
        <v>有</v>
      </c>
      <c r="Z62" s="33" t="str">
        <f>IF(COUNTIFS(户型资产表!E:E,I62,户型资产表!H:H,"餐桌")&gt;0,"有","无")</f>
        <v>有</v>
      </c>
      <c r="AA62" s="33" t="str">
        <f>IF(COUNTIFS(户型资产表!E:E,I62,户型资产表!H:H,"吸油烟机")&gt;0,"有","无")</f>
        <v>无</v>
      </c>
      <c r="AB62" s="33" t="str">
        <f>IF(COUNTIFS(户型资产表!E:E,I62,户型资产表!H:H,"冰箱")&gt;0,"有","无")</f>
        <v>无</v>
      </c>
      <c r="AC62" s="33" t="str">
        <f>IF(COUNTIFS(户型资产表!E:E,I62,户型资产表!H:H,"电视柜")&gt;0,"有","无")</f>
        <v>无</v>
      </c>
      <c r="AD62" s="41" t="str">
        <f t="shared" si="15"/>
        <v>适中</v>
      </c>
      <c r="AE62" s="33">
        <f>VLOOKUP($AD$1&amp;AD62,【1】定价因子!E:F,2,0)</f>
        <v>1</v>
      </c>
      <c r="AF62" s="41" t="str">
        <f t="shared" si="16"/>
        <v>适中</v>
      </c>
      <c r="AG62" s="33">
        <f>VLOOKUP($AF$1&amp;AF62,【1】定价因子!E:F,2,0)</f>
        <v>1</v>
      </c>
      <c r="AH62" s="41" t="str">
        <f t="shared" si="17"/>
        <v>适中</v>
      </c>
      <c r="AI62" s="33">
        <f>VLOOKUP($AH$1&amp;AH62,【1】定价因子!E:F,2,0)</f>
        <v>1</v>
      </c>
      <c r="AJ62" s="33" t="str">
        <f>VLOOKUP(H62,'【3-1】大区填-采光基本要素'!A:H,8,0)</f>
        <v>1</v>
      </c>
      <c r="AK62" s="33">
        <f>VLOOKUP($AJ$1&amp;AJ62,【1】定价因子!E:F,2,0)</f>
        <v>0.91</v>
      </c>
      <c r="AL62" s="34">
        <f t="shared" si="18"/>
        <v>2042.929141344</v>
      </c>
      <c r="AM62" s="42">
        <v>2030</v>
      </c>
      <c r="AN62" s="43">
        <f t="shared" si="19"/>
        <v>-0.0063287272584962</v>
      </c>
    </row>
    <row r="63" spans="1:40">
      <c r="A63" s="37" t="str">
        <f>'【2】运营中心填-基本信息&amp;审核标准'!$E$2</f>
        <v>兴围西4-11栋</v>
      </c>
      <c r="B63" s="13">
        <f t="shared" si="12"/>
        <v>8</v>
      </c>
      <c r="C63" s="13">
        <f t="shared" si="10"/>
        <v>8</v>
      </c>
      <c r="D63" s="13">
        <f t="shared" si="11"/>
        <v>64</v>
      </c>
      <c r="E63" s="13"/>
      <c r="F63" s="13">
        <f t="shared" si="13"/>
        <v>8</v>
      </c>
      <c r="G63" s="13"/>
      <c r="H63" s="38">
        <v>807</v>
      </c>
      <c r="I63" s="39" t="s">
        <v>501</v>
      </c>
      <c r="J63" s="39" t="s">
        <v>40</v>
      </c>
      <c r="K63" s="13"/>
      <c r="L63" s="40">
        <f>VLOOKUP(J63,'【3】大区填-楼栋基准格局定价'!B:H,7,0)</f>
        <v>1647.8784</v>
      </c>
      <c r="M63" s="41" t="str">
        <f t="shared" si="14"/>
        <v>适中</v>
      </c>
      <c r="N63" s="41">
        <v>13.81</v>
      </c>
      <c r="O63" s="33">
        <f>VLOOKUP($M$1&amp;M63,【1】定价因子!E:F,2,0)</f>
        <v>1</v>
      </c>
      <c r="P63" s="33" t="str">
        <f>IF(COUNTIFS(户型资产表!E:E,I63,户型资产表!H:H,"阳台门")&gt;0,"有","无")</f>
        <v>无</v>
      </c>
      <c r="Q63" s="33">
        <f>VLOOKUP($P$1&amp;P63,【1】定价因子!E:F,2,0)</f>
        <v>1</v>
      </c>
      <c r="R63" s="33" t="str">
        <f>IF('【2】运营中心填-基本信息&amp;审核标准'!$D$4="是","无",IF(INT(H63/100)&gt;9,"9F",INT(H63/100)&amp;"F"))</f>
        <v>无</v>
      </c>
      <c r="S63" s="33">
        <f>VLOOKUP(R63,【1】定价因子!D:F,3,0)</f>
        <v>1</v>
      </c>
      <c r="T63" s="33" t="str">
        <f>IF('【2】运营中心填-基本信息&amp;审核标准'!$D$4="否","无",IF(INT(H63/100)=1,"1F",IF(AND(INT(H63/100)&gt;=2,INT(H63/100)&lt;=3),"2-3F",IF(INT(H63/100)=4,"4F",IF(AND(INT(H63/100)&gt;=5,INT(H63/100)&lt;=6),"5-6F",IF(AND(INT(H63/100)&gt;=7,INT(H63/100)&lt;=8),"7-8F",IF(AND(INT(H63/100)&gt;=9,INT(H63/100)&lt;=10),"9-10F",IF(AND(INT(H63/100)&gt;=11,INT(H63/100)&lt;=12),"11-12F",IF(INT(H63/100)&gt;=13,"13以上F","")))))))))</f>
        <v>7-8F</v>
      </c>
      <c r="U63" s="33">
        <f>VLOOKUP($T$1&amp;T63,【1】定价因子!E:F,2,0)</f>
        <v>1.02</v>
      </c>
      <c r="V63" s="33" t="str">
        <f>IF(COUNTIFS(户型资产表!E:E,I63,户型资产表!H:H,"操作台")&gt;0,"有","无")</f>
        <v>有</v>
      </c>
      <c r="W63" s="33" t="str">
        <f>IF(COUNTIFS(户型资产表!E:E,I63,户型资产表!H:H,"书桌")&gt;0,"有","无")</f>
        <v>有</v>
      </c>
      <c r="X63" s="33" t="str">
        <f t="array" ref="X63">IF(SUMPRODUCT((户型资产表!E:E=I63)*((户型资产表!I:I="沙发01单人")+(户型资产表!I:I="单人沙发02")))&gt;0,"有","无")</f>
        <v>无</v>
      </c>
      <c r="Y63" s="33" t="str">
        <f t="array" ref="Y63">IF(SUMPRODUCT((户型资产表!E:E=I63)*((户型资产表!I:I="沙发02两人")+(户型资产表!I:I="双人沙发01")))&gt;0,"有","无")</f>
        <v>无</v>
      </c>
      <c r="Z63" s="33" t="str">
        <f>IF(COUNTIFS(户型资产表!E:E,I63,户型资产表!H:H,"餐桌")&gt;0,"有","无")</f>
        <v>无</v>
      </c>
      <c r="AA63" s="33" t="str">
        <f>IF(COUNTIFS(户型资产表!E:E,I63,户型资产表!H:H,"吸油烟机")&gt;0,"有","无")</f>
        <v>无</v>
      </c>
      <c r="AB63" s="33" t="str">
        <f>IF(COUNTIFS(户型资产表!E:E,I63,户型资产表!H:H,"冰箱")&gt;0,"有","无")</f>
        <v>无</v>
      </c>
      <c r="AC63" s="33" t="str">
        <f>IF(COUNTIFS(户型资产表!E:E,I63,户型资产表!H:H,"电视柜")&gt;0,"有","无")</f>
        <v>无</v>
      </c>
      <c r="AD63" s="41" t="str">
        <f t="shared" si="15"/>
        <v>适中</v>
      </c>
      <c r="AE63" s="33">
        <f>VLOOKUP($AD$1&amp;AD63,【1】定价因子!E:F,2,0)</f>
        <v>1</v>
      </c>
      <c r="AF63" s="41" t="str">
        <f t="shared" si="16"/>
        <v>适中</v>
      </c>
      <c r="AG63" s="33">
        <f>VLOOKUP($AF$1&amp;AF63,【1】定价因子!E:F,2,0)</f>
        <v>1</v>
      </c>
      <c r="AH63" s="41" t="str">
        <f t="shared" si="17"/>
        <v>适中</v>
      </c>
      <c r="AI63" s="33">
        <f>VLOOKUP($AH$1&amp;AH63,【1】定价因子!E:F,2,0)</f>
        <v>1</v>
      </c>
      <c r="AJ63" s="33" t="str">
        <f>VLOOKUP(H63,'【3-1】大区填-采光基本要素'!A:H,8,0)</f>
        <v>1</v>
      </c>
      <c r="AK63" s="33">
        <f>VLOOKUP($AJ$1&amp;AJ63,【1】定价因子!E:F,2,0)</f>
        <v>0.91</v>
      </c>
      <c r="AL63" s="34">
        <f t="shared" si="18"/>
        <v>1529.56073088</v>
      </c>
      <c r="AM63" s="42">
        <v>1470</v>
      </c>
      <c r="AN63" s="43">
        <f t="shared" si="19"/>
        <v>-0.0389397620359495</v>
      </c>
    </row>
    <row r="64" spans="1:40">
      <c r="A64" s="37" t="str">
        <f>'【2】运营中心填-基本信息&amp;审核标准'!$E$2</f>
        <v>兴围西4-11栋</v>
      </c>
      <c r="B64" s="13">
        <f t="shared" si="12"/>
        <v>8</v>
      </c>
      <c r="C64" s="13">
        <f t="shared" si="10"/>
        <v>8</v>
      </c>
      <c r="D64" s="13">
        <f t="shared" si="11"/>
        <v>64</v>
      </c>
      <c r="E64" s="13"/>
      <c r="F64" s="13">
        <f t="shared" si="13"/>
        <v>8</v>
      </c>
      <c r="G64" s="13"/>
      <c r="H64" s="38">
        <v>808</v>
      </c>
      <c r="I64" s="39" t="s">
        <v>508</v>
      </c>
      <c r="J64" s="39" t="s">
        <v>43</v>
      </c>
      <c r="K64" s="13"/>
      <c r="L64" s="40">
        <f>VLOOKUP(J64,'【3】大区填-楼栋基准格局定价'!B:H,7,0)</f>
        <v>2445.5088</v>
      </c>
      <c r="M64" s="41" t="str">
        <f t="shared" si="14"/>
        <v>较狭小</v>
      </c>
      <c r="N64" s="41">
        <v>20.04</v>
      </c>
      <c r="O64" s="33">
        <f>VLOOKUP($M$1&amp;M64,【1】定价因子!E:F,2,0)</f>
        <v>0.95</v>
      </c>
      <c r="P64" s="33" t="str">
        <f>IF(COUNTIFS(户型资产表!E:E,I64,户型资产表!H:H,"阳台门")&gt;0,"有","无")</f>
        <v>无</v>
      </c>
      <c r="Q64" s="33">
        <f>VLOOKUP($P$1&amp;P64,【1】定价因子!E:F,2,0)</f>
        <v>1</v>
      </c>
      <c r="R64" s="33" t="str">
        <f>IF('【2】运营中心填-基本信息&amp;审核标准'!$D$4="是","无",IF(INT(H64/100)&gt;9,"9F",INT(H64/100)&amp;"F"))</f>
        <v>无</v>
      </c>
      <c r="S64" s="33">
        <f>VLOOKUP(R64,【1】定价因子!D:F,3,0)</f>
        <v>1</v>
      </c>
      <c r="T64" s="33" t="str">
        <f>IF('【2】运营中心填-基本信息&amp;审核标准'!$D$4="否","无",IF(INT(H64/100)=1,"1F",IF(AND(INT(H64/100)&gt;=2,INT(H64/100)&lt;=3),"2-3F",IF(INT(H64/100)=4,"4F",IF(AND(INT(H64/100)&gt;=5,INT(H64/100)&lt;=6),"5-6F",IF(AND(INT(H64/100)&gt;=7,INT(H64/100)&lt;=8),"7-8F",IF(AND(INT(H64/100)&gt;=9,INT(H64/100)&lt;=10),"9-10F",IF(AND(INT(H64/100)&gt;=11,INT(H64/100)&lt;=12),"11-12F",IF(INT(H64/100)&gt;=13,"13以上F","")))))))))</f>
        <v>7-8F</v>
      </c>
      <c r="U64" s="33">
        <f>VLOOKUP($T$1&amp;T64,【1】定价因子!E:F,2,0)</f>
        <v>1.02</v>
      </c>
      <c r="V64" s="33" t="str">
        <f>IF(COUNTIFS(户型资产表!E:E,I64,户型资产表!H:H,"操作台")&gt;0,"有","无")</f>
        <v>有</v>
      </c>
      <c r="W64" s="33" t="str">
        <f>IF(COUNTIFS(户型资产表!E:E,I64,户型资产表!H:H,"书桌")&gt;0,"有","无")</f>
        <v>无</v>
      </c>
      <c r="X64" s="33" t="str">
        <f t="array" ref="X64">IF(SUMPRODUCT((户型资产表!E:E=I64)*((户型资产表!I:I="沙发01单人")+(户型资产表!I:I="单人沙发02")))&gt;0,"有","无")</f>
        <v>无</v>
      </c>
      <c r="Y64" s="33" t="str">
        <f t="array" ref="Y64">IF(SUMPRODUCT((户型资产表!E:E=I64)*((户型资产表!I:I="沙发02两人")+(户型资产表!I:I="双人沙发01")))&gt;0,"有","无")</f>
        <v>有</v>
      </c>
      <c r="Z64" s="33" t="str">
        <f>IF(COUNTIFS(户型资产表!E:E,I64,户型资产表!H:H,"餐桌")&gt;0,"有","无")</f>
        <v>有</v>
      </c>
      <c r="AA64" s="33" t="str">
        <f>IF(COUNTIFS(户型资产表!E:E,I64,户型资产表!H:H,"吸油烟机")&gt;0,"有","无")</f>
        <v>有</v>
      </c>
      <c r="AB64" s="33" t="str">
        <f>IF(COUNTIFS(户型资产表!E:E,I64,户型资产表!H:H,"冰箱")&gt;0,"有","无")</f>
        <v>无</v>
      </c>
      <c r="AC64" s="33" t="str">
        <f>IF(COUNTIFS(户型资产表!E:E,I64,户型资产表!H:H,"电视柜")&gt;0,"有","无")</f>
        <v>无</v>
      </c>
      <c r="AD64" s="41" t="str">
        <f t="shared" si="15"/>
        <v>适中</v>
      </c>
      <c r="AE64" s="33">
        <f>VLOOKUP($AD$1&amp;AD64,【1】定价因子!E:F,2,0)</f>
        <v>1</v>
      </c>
      <c r="AF64" s="41" t="s">
        <v>63</v>
      </c>
      <c r="AG64" s="33">
        <f>VLOOKUP($AF$1&amp;AF64,【1】定价因子!E:F,2,0)</f>
        <v>1</v>
      </c>
      <c r="AH64" s="41" t="str">
        <f t="shared" si="17"/>
        <v>适中</v>
      </c>
      <c r="AI64" s="33">
        <f>VLOOKUP($AH$1&amp;AH64,【1】定价因子!E:F,2,0)</f>
        <v>1</v>
      </c>
      <c r="AJ64" s="33" t="str">
        <f>VLOOKUP(H64,'【3-1】大区填-采光基本要素'!A:H,8,0)</f>
        <v>2</v>
      </c>
      <c r="AK64" s="33">
        <f>VLOOKUP($AJ$1&amp;AJ64,【1】定价因子!E:F,2,0)</f>
        <v>0.96</v>
      </c>
      <c r="AL64" s="34">
        <f t="shared" si="18"/>
        <v>2274.910106112</v>
      </c>
      <c r="AM64" s="42">
        <v>2200</v>
      </c>
      <c r="AN64" s="43">
        <f t="shared" si="19"/>
        <v>-0.0329288203128286</v>
      </c>
    </row>
    <row r="65" spans="1:40">
      <c r="A65" s="37" t="str">
        <f>'【2】运营中心填-基本信息&amp;审核标准'!$E$2</f>
        <v>兴围西4-11栋</v>
      </c>
      <c r="B65" s="13">
        <f t="shared" si="12"/>
        <v>9</v>
      </c>
      <c r="C65" s="13">
        <f t="shared" si="10"/>
        <v>8</v>
      </c>
      <c r="D65" s="13">
        <f t="shared" si="11"/>
        <v>64</v>
      </c>
      <c r="E65" s="13"/>
      <c r="F65" s="13">
        <f t="shared" si="13"/>
        <v>8</v>
      </c>
      <c r="G65" s="13"/>
      <c r="H65" s="38">
        <v>901</v>
      </c>
      <c r="I65" s="39" t="s">
        <v>505</v>
      </c>
      <c r="J65" s="39" t="s">
        <v>40</v>
      </c>
      <c r="K65" s="13"/>
      <c r="L65" s="40">
        <f>VLOOKUP(J65,'【3】大区填-楼栋基准格局定价'!B:H,7,0)</f>
        <v>1647.8784</v>
      </c>
      <c r="M65" s="41" t="str">
        <f t="shared" si="14"/>
        <v>较狭小</v>
      </c>
      <c r="N65" s="41">
        <v>10.96</v>
      </c>
      <c r="O65" s="33">
        <f>VLOOKUP($M$1&amp;M65,【1】定价因子!E:F,2,0)</f>
        <v>0.95</v>
      </c>
      <c r="P65" s="33" t="str">
        <f>IF(COUNTIFS(户型资产表!E:E,I65,户型资产表!H:H,"阳台门")&gt;0,"有","无")</f>
        <v>无</v>
      </c>
      <c r="Q65" s="33">
        <f>VLOOKUP($P$1&amp;P65,【1】定价因子!E:F,2,0)</f>
        <v>1</v>
      </c>
      <c r="R65" s="33" t="str">
        <f>IF('【2】运营中心填-基本信息&amp;审核标准'!$D$4="是","无",IF(INT(H65/100)&gt;9,"9F",INT(H65/100)&amp;"F"))</f>
        <v>无</v>
      </c>
      <c r="S65" s="33">
        <f>VLOOKUP(R65,【1】定价因子!D:F,3,0)</f>
        <v>1</v>
      </c>
      <c r="T65" s="33" t="str">
        <f>IF('【2】运营中心填-基本信息&amp;审核标准'!$D$4="否","无",IF(INT(H65/100)=1,"1F",IF(AND(INT(H65/100)&gt;=2,INT(H65/100)&lt;=3),"2-3F",IF(INT(H65/100)=4,"4F",IF(AND(INT(H65/100)&gt;=5,INT(H65/100)&lt;=6),"5-6F",IF(AND(INT(H65/100)&gt;=7,INT(H65/100)&lt;=8),"7-8F",IF(AND(INT(H65/100)&gt;=9,INT(H65/100)&lt;=10),"9-10F",IF(AND(INT(H65/100)&gt;=11,INT(H65/100)&lt;=12),"11-12F",IF(INT(H65/100)&gt;=13,"13以上F","")))))))))</f>
        <v>9-10F</v>
      </c>
      <c r="U65" s="33">
        <f>VLOOKUP($T$1&amp;T65,【1】定价因子!E:F,2,0)</f>
        <v>1.03</v>
      </c>
      <c r="V65" s="33" t="str">
        <f>IF(COUNTIFS(户型资产表!E:E,I65,户型资产表!H:H,"操作台")&gt;0,"有","无")</f>
        <v>有</v>
      </c>
      <c r="W65" s="33" t="str">
        <f>IF(COUNTIFS(户型资产表!E:E,I65,户型资产表!H:H,"书桌")&gt;0,"有","无")</f>
        <v>有</v>
      </c>
      <c r="X65" s="33" t="str">
        <f t="array" ref="X65">IF(SUMPRODUCT((户型资产表!E:E=I65)*((户型资产表!I:I="沙发01单人")+(户型资产表!I:I="单人沙发02")))&gt;0,"有","无")</f>
        <v>无</v>
      </c>
      <c r="Y65" s="33" t="str">
        <f t="array" ref="Y65">IF(SUMPRODUCT((户型资产表!E:E=I65)*((户型资产表!I:I="沙发02两人")+(户型资产表!I:I="双人沙发01")))&gt;0,"有","无")</f>
        <v>无</v>
      </c>
      <c r="Z65" s="33" t="str">
        <f>IF(COUNTIFS(户型资产表!E:E,I65,户型资产表!H:H,"餐桌")&gt;0,"有","无")</f>
        <v>无</v>
      </c>
      <c r="AA65" s="33" t="str">
        <f>IF(COUNTIFS(户型资产表!E:E,I65,户型资产表!H:H,"吸油烟机")&gt;0,"有","无")</f>
        <v>无</v>
      </c>
      <c r="AB65" s="33" t="str">
        <f>IF(COUNTIFS(户型资产表!E:E,I65,户型资产表!H:H,"冰箱")&gt;0,"有","无")</f>
        <v>无</v>
      </c>
      <c r="AC65" s="33" t="str">
        <f>IF(COUNTIFS(户型资产表!E:E,I65,户型资产表!H:H,"电视柜")&gt;0,"有","无")</f>
        <v>无</v>
      </c>
      <c r="AD65" s="41" t="str">
        <f t="shared" si="15"/>
        <v>适中</v>
      </c>
      <c r="AE65" s="33">
        <f>VLOOKUP($AD$1&amp;AD65,【1】定价因子!E:F,2,0)</f>
        <v>1</v>
      </c>
      <c r="AF65" s="41" t="str">
        <f t="shared" si="16"/>
        <v>适中</v>
      </c>
      <c r="AG65" s="33">
        <f>VLOOKUP($AF$1&amp;AF65,【1】定价因子!E:F,2,0)</f>
        <v>1</v>
      </c>
      <c r="AH65" s="41" t="str">
        <f t="shared" si="17"/>
        <v>适中</v>
      </c>
      <c r="AI65" s="33">
        <f>VLOOKUP($AH$1&amp;AH65,【1】定价因子!E:F,2,0)</f>
        <v>1</v>
      </c>
      <c r="AJ65" s="33" t="str">
        <f>VLOOKUP(H65,'【3-1】大区填-采光基本要素'!A:H,8,0)</f>
        <v>5</v>
      </c>
      <c r="AK65" s="33">
        <f>VLOOKUP($AJ$1&amp;AJ65,【1】定价因子!E:F,2,0)</f>
        <v>1.06</v>
      </c>
      <c r="AL65" s="34">
        <f t="shared" si="18"/>
        <v>1709.195955264</v>
      </c>
      <c r="AM65" s="42">
        <v>1540</v>
      </c>
      <c r="AN65" s="43">
        <f t="shared" si="19"/>
        <v>-0.0989915490631186</v>
      </c>
    </row>
    <row r="66" spans="1:40">
      <c r="A66" s="37" t="str">
        <f>'【2】运营中心填-基本信息&amp;审核标准'!$E$2</f>
        <v>兴围西4-11栋</v>
      </c>
      <c r="B66" s="13">
        <f t="shared" si="12"/>
        <v>9</v>
      </c>
      <c r="C66" s="13">
        <f t="shared" ref="C66:C72" si="20">COUNTIF($B$2:$B$72,B66)</f>
        <v>8</v>
      </c>
      <c r="D66" s="13">
        <f t="shared" ref="D66:D72" si="21">COUNTIF(C$2:C$72,C66)</f>
        <v>64</v>
      </c>
      <c r="E66" s="13"/>
      <c r="F66" s="13">
        <f t="shared" si="13"/>
        <v>8</v>
      </c>
      <c r="G66" s="13"/>
      <c r="H66" s="38">
        <v>902</v>
      </c>
      <c r="I66" s="39" t="s">
        <v>499</v>
      </c>
      <c r="J66" s="39" t="s">
        <v>43</v>
      </c>
      <c r="K66" s="13"/>
      <c r="L66" s="40">
        <f>VLOOKUP(J66,'【3】大区填-楼栋基准格局定价'!B:H,7,0)</f>
        <v>2445.5088</v>
      </c>
      <c r="M66" s="41" t="str">
        <f t="shared" si="14"/>
        <v>很狭小</v>
      </c>
      <c r="N66" s="41">
        <v>18.86</v>
      </c>
      <c r="O66" s="33">
        <f>VLOOKUP($M$1&amp;M66,【1】定价因子!E:F,2,0)</f>
        <v>0.9</v>
      </c>
      <c r="P66" s="33" t="str">
        <f>IF(COUNTIFS(户型资产表!E:E,I66,户型资产表!H:H,"阳台门")&gt;0,"有","无")</f>
        <v>无</v>
      </c>
      <c r="Q66" s="33">
        <f>VLOOKUP($P$1&amp;P66,【1】定价因子!E:F,2,0)</f>
        <v>1</v>
      </c>
      <c r="R66" s="33" t="str">
        <f>IF('【2】运营中心填-基本信息&amp;审核标准'!$D$4="是","无",IF(INT(H66/100)&gt;9,"9F",INT(H66/100)&amp;"F"))</f>
        <v>无</v>
      </c>
      <c r="S66" s="33">
        <f>VLOOKUP(R66,【1】定价因子!D:F,3,0)</f>
        <v>1</v>
      </c>
      <c r="T66" s="33" t="str">
        <f>IF('【2】运营中心填-基本信息&amp;审核标准'!$D$4="否","无",IF(INT(H66/100)=1,"1F",IF(AND(INT(H66/100)&gt;=2,INT(H66/100)&lt;=3),"2-3F",IF(INT(H66/100)=4,"4F",IF(AND(INT(H66/100)&gt;=5,INT(H66/100)&lt;=6),"5-6F",IF(AND(INT(H66/100)&gt;=7,INT(H66/100)&lt;=8),"7-8F",IF(AND(INT(H66/100)&gt;=9,INT(H66/100)&lt;=10),"9-10F",IF(AND(INT(H66/100)&gt;=11,INT(H66/100)&lt;=12),"11-12F",IF(INT(H66/100)&gt;=13,"13以上F","")))))))))</f>
        <v>9-10F</v>
      </c>
      <c r="U66" s="33">
        <f>VLOOKUP($T$1&amp;T66,【1】定价因子!E:F,2,0)</f>
        <v>1.03</v>
      </c>
      <c r="V66" s="33" t="str">
        <f>IF(COUNTIFS(户型资产表!E:E,I66,户型资产表!H:H,"操作台")&gt;0,"有","无")</f>
        <v>有</v>
      </c>
      <c r="W66" s="33" t="str">
        <f>IF(COUNTIFS(户型资产表!E:E,I66,户型资产表!H:H,"书桌")&gt;0,"有","无")</f>
        <v>有</v>
      </c>
      <c r="X66" s="33" t="str">
        <f t="array" ref="X66">IF(SUMPRODUCT((户型资产表!E:E=I66)*((户型资产表!I:I="沙发01单人")+(户型资产表!I:I="单人沙发02")))&gt;0,"有","无")</f>
        <v>无</v>
      </c>
      <c r="Y66" s="33" t="str">
        <f t="array" ref="Y66">IF(SUMPRODUCT((户型资产表!E:E=I66)*((户型资产表!I:I="沙发02两人")+(户型资产表!I:I="双人沙发01")))&gt;0,"有","无")</f>
        <v>有</v>
      </c>
      <c r="Z66" s="33" t="str">
        <f>IF(COUNTIFS(户型资产表!E:E,I66,户型资产表!H:H,"餐桌")&gt;0,"有","无")</f>
        <v>有</v>
      </c>
      <c r="AA66" s="33" t="str">
        <f>IF(COUNTIFS(户型资产表!E:E,I66,户型资产表!H:H,"吸油烟机")&gt;0,"有","无")</f>
        <v>无</v>
      </c>
      <c r="AB66" s="33" t="str">
        <f>IF(COUNTIFS(户型资产表!E:E,I66,户型资产表!H:H,"冰箱")&gt;0,"有","无")</f>
        <v>无</v>
      </c>
      <c r="AC66" s="33" t="str">
        <f>IF(COUNTIFS(户型资产表!E:E,I66,户型资产表!H:H,"电视柜")&gt;0,"有","无")</f>
        <v>无</v>
      </c>
      <c r="AD66" s="41" t="str">
        <f t="shared" si="15"/>
        <v>适中</v>
      </c>
      <c r="AE66" s="33">
        <f>VLOOKUP($AD$1&amp;AD66,【1】定价因子!E:F,2,0)</f>
        <v>1</v>
      </c>
      <c r="AF66" s="41" t="s">
        <v>63</v>
      </c>
      <c r="AG66" s="33">
        <f>VLOOKUP($AF$1&amp;AF66,【1】定价因子!E:F,2,0)</f>
        <v>1</v>
      </c>
      <c r="AH66" s="41" t="str">
        <f t="shared" si="17"/>
        <v>适中</v>
      </c>
      <c r="AI66" s="33">
        <f>VLOOKUP($AH$1&amp;AH66,【1】定价因子!E:F,2,0)</f>
        <v>1</v>
      </c>
      <c r="AJ66" s="33" t="str">
        <f>VLOOKUP(H66,'【3-1】大区填-采光基本要素'!A:H,8,0)</f>
        <v>2</v>
      </c>
      <c r="AK66" s="33">
        <f>VLOOKUP($AJ$1&amp;AJ66,【1】定价因子!E:F,2,0)</f>
        <v>0.96</v>
      </c>
      <c r="AL66" s="34">
        <f t="shared" si="18"/>
        <v>2176.307191296</v>
      </c>
      <c r="AM66" s="42">
        <v>2100</v>
      </c>
      <c r="AN66" s="43">
        <f t="shared" si="19"/>
        <v>-0.0350626931718031</v>
      </c>
    </row>
    <row r="67" spans="1:40">
      <c r="A67" s="37" t="str">
        <f>'【2】运营中心填-基本信息&amp;审核标准'!$E$2</f>
        <v>兴围西4-11栋</v>
      </c>
      <c r="B67" s="13">
        <f t="shared" ref="B67:B72" si="22">INT(H67/100)</f>
        <v>9</v>
      </c>
      <c r="C67" s="13">
        <f t="shared" si="20"/>
        <v>8</v>
      </c>
      <c r="D67" s="13">
        <f t="shared" si="21"/>
        <v>64</v>
      </c>
      <c r="E67" s="13"/>
      <c r="F67" s="13">
        <f t="shared" ref="F67:F72" si="23">IF(D67=$E$2,C67,"")</f>
        <v>8</v>
      </c>
      <c r="G67" s="13"/>
      <c r="H67" s="38">
        <v>903</v>
      </c>
      <c r="I67" s="39" t="s">
        <v>506</v>
      </c>
      <c r="J67" s="39" t="s">
        <v>40</v>
      </c>
      <c r="K67" s="13"/>
      <c r="L67" s="40">
        <f>VLOOKUP(J67,'【3】大区填-楼栋基准格局定价'!B:H,7,0)</f>
        <v>1647.8784</v>
      </c>
      <c r="M67" s="41" t="str">
        <f t="shared" ref="M67:M72" si="24">IF(OR(J67="开间",J67="二人宿舍"),IF(N67&lt;10,"很狭小",IF(N67&lt;13,"较狭小",IF(N67&lt;17,"适中",IF(N67&lt;20,"较宽敞","很宽敞")))),IF(OR(J67="一居室",J67="四人宿舍"),IF(N67&lt;20,"很狭小",IF(N67&lt;23,"较狭小",IF(N67&lt;26,"适中",IF(N67&lt;28,"较宽敞","很宽敞")))),IF(OR(J67="二居室",J67="六人宿舍"),IF(N67&lt;30,"很狭小",IF(N67&lt;35,"较狭小",IF(N67&lt;40,"适中",IF(N67&lt;45,"较宽敞","很宽敞")))),"")))</f>
        <v>适中</v>
      </c>
      <c r="N67" s="41">
        <v>13.87</v>
      </c>
      <c r="O67" s="33">
        <f>VLOOKUP($M$1&amp;M67,【1】定价因子!E:F,2,0)</f>
        <v>1</v>
      </c>
      <c r="P67" s="33" t="str">
        <f>IF(COUNTIFS(户型资产表!E:E,I67,户型资产表!H:H,"阳台门")&gt;0,"有","无")</f>
        <v>有</v>
      </c>
      <c r="Q67" s="33">
        <f>VLOOKUP($P$1&amp;P67,【1】定价因子!E:F,2,0)</f>
        <v>1.07</v>
      </c>
      <c r="R67" s="33" t="str">
        <f>IF('【2】运营中心填-基本信息&amp;审核标准'!$D$4="是","无",IF(INT(H67/100)&gt;9,"9F",INT(H67/100)&amp;"F"))</f>
        <v>无</v>
      </c>
      <c r="S67" s="33">
        <f>VLOOKUP(R67,【1】定价因子!D:F,3,0)</f>
        <v>1</v>
      </c>
      <c r="T67" s="33" t="str">
        <f>IF('【2】运营中心填-基本信息&amp;审核标准'!$D$4="否","无",IF(INT(H67/100)=1,"1F",IF(AND(INT(H67/100)&gt;=2,INT(H67/100)&lt;=3),"2-3F",IF(INT(H67/100)=4,"4F",IF(AND(INT(H67/100)&gt;=5,INT(H67/100)&lt;=6),"5-6F",IF(AND(INT(H67/100)&gt;=7,INT(H67/100)&lt;=8),"7-8F",IF(AND(INT(H67/100)&gt;=9,INT(H67/100)&lt;=10),"9-10F",IF(AND(INT(H67/100)&gt;=11,INT(H67/100)&lt;=12),"11-12F",IF(INT(H67/100)&gt;=13,"13以上F","")))))))))</f>
        <v>9-10F</v>
      </c>
      <c r="U67" s="33">
        <f>VLOOKUP($T$1&amp;T67,【1】定价因子!E:F,2,0)</f>
        <v>1.03</v>
      </c>
      <c r="V67" s="33" t="str">
        <f>IF(COUNTIFS(户型资产表!E:E,I67,户型资产表!H:H,"操作台")&gt;0,"有","无")</f>
        <v>有</v>
      </c>
      <c r="W67" s="33" t="str">
        <f>IF(COUNTIFS(户型资产表!E:E,I67,户型资产表!H:H,"书桌")&gt;0,"有","无")</f>
        <v>有</v>
      </c>
      <c r="X67" s="33" t="str">
        <f t="array" ref="X67">IF(SUMPRODUCT((户型资产表!E:E=I67)*((户型资产表!I:I="沙发01单人")+(户型资产表!I:I="单人沙发02")))&gt;0,"有","无")</f>
        <v>无</v>
      </c>
      <c r="Y67" s="33" t="str">
        <f t="array" ref="Y67">IF(SUMPRODUCT((户型资产表!E:E=I67)*((户型资产表!I:I="沙发02两人")+(户型资产表!I:I="双人沙发01")))&gt;0,"有","无")</f>
        <v>无</v>
      </c>
      <c r="Z67" s="33" t="str">
        <f>IF(COUNTIFS(户型资产表!E:E,I67,户型资产表!H:H,"餐桌")&gt;0,"有","无")</f>
        <v>无</v>
      </c>
      <c r="AA67" s="33" t="str">
        <f>IF(COUNTIFS(户型资产表!E:E,I67,户型资产表!H:H,"吸油烟机")&gt;0,"有","无")</f>
        <v>无</v>
      </c>
      <c r="AB67" s="33" t="str">
        <f>IF(COUNTIFS(户型资产表!E:E,I67,户型资产表!H:H,"冰箱")&gt;0,"有","无")</f>
        <v>无</v>
      </c>
      <c r="AC67" s="33" t="str">
        <f>IF(COUNTIFS(户型资产表!E:E,I67,户型资产表!H:H,"电视柜")&gt;0,"有","无")</f>
        <v>无</v>
      </c>
      <c r="AD67" s="41" t="str">
        <f t="shared" ref="AD67:AD72" si="25">IF(J67="开间",IF(AND(V67="无",W67="无"),"缺失",IF(AND(V67="无",W67="有"),"缺失（操作台）",IF(AND(V67="有",W67="无"),"缺失（书桌）",IF(AND(V67="有",W67="有"),IF(OR(AA67="有",Y67="有"),"充足（油烟机/双人沙发）",IF(OR(X67="有",Z67="有"),"充足（单人沙发/餐桌）",IF(AND(OR(X67="有",Y67="有"),Z67="有"),"非常充足","适中"))),"")))),"适中")</f>
        <v>适中</v>
      </c>
      <c r="AE67" s="33">
        <f>VLOOKUP($AD$1&amp;AD67,【1】定价因子!E:F,2,0)</f>
        <v>1</v>
      </c>
      <c r="AF67" s="41" t="str">
        <f t="shared" ref="AF67:AF71" si="26">IF(J67="一居室",IF(AND(V67="无",Y67="无",Z67="无"),"缺失",IF(OR(AND(Z67="有",V67="无",Y67="无"),AND(Z67="有",V67="无",Y67="有"),AND(Z67="有",V67="有",Y67="无"),AND(Z67="无",V67="有",Y67="无"),AND(Z67="无",V67="无",Y67="有")),"缺失（操作台/双人沙发）",IF(AND(V67="有",Y67="有",Z67="无"),"缺失（餐桌）",IF(AND(V67="有",Y67="有",Z67="有"),IF(AND(W67="无",AA67="有"),"充配（油烟机）",IF(AND(W67="有",AA67="无"),"充配（书桌）",IF(AND(W67="有",AA67="有"),"非常充配","适中"))),"")))),"适中")</f>
        <v>适中</v>
      </c>
      <c r="AG67" s="33">
        <f>VLOOKUP($AF$1&amp;AF67,【1】定价因子!E:F,2,0)</f>
        <v>1</v>
      </c>
      <c r="AH67" s="41" t="str">
        <f t="shared" ref="AH67:AH72" si="27">IF(J67="二居室",IF(AND(Y67="无",Z67="无",AC67="无",V67="无"),"缺失",IF(OR(AND(Y67="无",Z67="无",AC67="有"),AND(Y67="无",Z67="无",V67="有"),AND(Y67="无",Z67="无",AC67="有",V67="有"),AND(Y67="无",Z67="有",AC67="无"),AND(Y67="无",Z67="有",V67="无"),AND(Y67="无",Z67="有",AC67="有"),AND(Y67="无",Z67="有",V67="有"),AND(Y67="有",Z67="无",AC67="无"),AND(Y67="有",Z67="无",V67="无"),AND(Y67="有",Z67="无",AC67="有"),AND(Y67="有",Z67="无",V67="有")),"缺失（沙发/餐桌）",IF(AND(Y67="有",Z67="有",OR(AC67="无",V67="无")),"缺失（电视柜/操作台）",IF(AND(Y67="有",Z67="有",AC67="有",V67="有"),IF(OR(AA67="有",AB67="有"),"充配（油烟机/冰箱）",IF(AND(AA67="无",AB67="无"),"适中","")),"")))),"适中")</f>
        <v>适中</v>
      </c>
      <c r="AI67" s="33">
        <f>VLOOKUP($AH$1&amp;AH67,【1】定价因子!E:F,2,0)</f>
        <v>1</v>
      </c>
      <c r="AJ67" s="33" t="str">
        <f>VLOOKUP(H67,'【3-1】大区填-采光基本要素'!A:H,8,0)</f>
        <v>4</v>
      </c>
      <c r="AK67" s="33">
        <f>VLOOKUP($AJ$1&amp;AJ67,【1】定价因子!E:F,2,0)</f>
        <v>1.03</v>
      </c>
      <c r="AL67" s="34">
        <f t="shared" ref="AL67:AL72" si="28">L67*PRODUCT(AG67,AK67,AE67,U67,S67,Q67,O67)</f>
        <v>1870.6105881792</v>
      </c>
      <c r="AM67" s="42">
        <v>1690</v>
      </c>
      <c r="AN67" s="43">
        <f t="shared" ref="AN67:AN72" si="29">AM67/AL67-1</f>
        <v>-0.0965516763994163</v>
      </c>
    </row>
    <row r="68" spans="1:40">
      <c r="A68" s="37" t="str">
        <f>'【2】运营中心填-基本信息&amp;审核标准'!$E$2</f>
        <v>兴围西4-11栋</v>
      </c>
      <c r="B68" s="13">
        <f t="shared" si="22"/>
        <v>9</v>
      </c>
      <c r="C68" s="13">
        <f t="shared" si="20"/>
        <v>8</v>
      </c>
      <c r="D68" s="13">
        <f t="shared" si="21"/>
        <v>64</v>
      </c>
      <c r="E68" s="13"/>
      <c r="F68" s="13">
        <f t="shared" si="23"/>
        <v>8</v>
      </c>
      <c r="G68" s="13"/>
      <c r="H68" s="38">
        <v>904</v>
      </c>
      <c r="I68" s="39" t="s">
        <v>507</v>
      </c>
      <c r="J68" s="39" t="s">
        <v>40</v>
      </c>
      <c r="K68" s="13"/>
      <c r="L68" s="40">
        <f>VLOOKUP(J68,'【3】大区填-楼栋基准格局定价'!B:H,7,0)</f>
        <v>1647.8784</v>
      </c>
      <c r="M68" s="41" t="s">
        <v>63</v>
      </c>
      <c r="N68" s="41">
        <v>19.76</v>
      </c>
      <c r="O68" s="33">
        <f>VLOOKUP($M$1&amp;M68,【1】定价因子!E:F,2,0)</f>
        <v>1</v>
      </c>
      <c r="P68" s="33" t="str">
        <f>IF(COUNTIFS(户型资产表!E:E,I68,户型资产表!H:H,"阳台门")&gt;0,"有","无")</f>
        <v>无</v>
      </c>
      <c r="Q68" s="33">
        <f>VLOOKUP($P$1&amp;P68,【1】定价因子!E:F,2,0)</f>
        <v>1</v>
      </c>
      <c r="R68" s="33" t="str">
        <f>IF('【2】运营中心填-基本信息&amp;审核标准'!$D$4="是","无",IF(INT(H68/100)&gt;9,"9F",INT(H68/100)&amp;"F"))</f>
        <v>无</v>
      </c>
      <c r="S68" s="33">
        <f>VLOOKUP(R68,【1】定价因子!D:F,3,0)</f>
        <v>1</v>
      </c>
      <c r="T68" s="33" t="str">
        <f>IF('【2】运营中心填-基本信息&amp;审核标准'!$D$4="否","无",IF(INT(H68/100)=1,"1F",IF(AND(INT(H68/100)&gt;=2,INT(H68/100)&lt;=3),"2-3F",IF(INT(H68/100)=4,"4F",IF(AND(INT(H68/100)&gt;=5,INT(H68/100)&lt;=6),"5-6F",IF(AND(INT(H68/100)&gt;=7,INT(H68/100)&lt;=8),"7-8F",IF(AND(INT(H68/100)&gt;=9,INT(H68/100)&lt;=10),"9-10F",IF(AND(INT(H68/100)&gt;=11,INT(H68/100)&lt;=12),"11-12F",IF(INT(H68/100)&gt;=13,"13以上F","")))))))))</f>
        <v>9-10F</v>
      </c>
      <c r="U68" s="33">
        <f>VLOOKUP($T$1&amp;T68,【1】定价因子!E:F,2,0)</f>
        <v>1.03</v>
      </c>
      <c r="V68" s="33" t="str">
        <f>IF(COUNTIFS(户型资产表!E:E,I68,户型资产表!H:H,"操作台")&gt;0,"有","无")</f>
        <v>有</v>
      </c>
      <c r="W68" s="33" t="str">
        <f>IF(COUNTIFS(户型资产表!E:E,I68,户型资产表!H:H,"书桌")&gt;0,"有","无")</f>
        <v>有</v>
      </c>
      <c r="X68" s="33" t="str">
        <f t="array" ref="X68">IF(SUMPRODUCT((户型资产表!E:E=I68)*((户型资产表!I:I="沙发01单人")+(户型资产表!I:I="单人沙发02")))&gt;0,"有","无")</f>
        <v>无</v>
      </c>
      <c r="Y68" s="33" t="str">
        <f t="array" ref="Y68">IF(SUMPRODUCT((户型资产表!E:E=I68)*((户型资产表!I:I="沙发02两人")+(户型资产表!I:I="双人沙发01")))&gt;0,"有","无")</f>
        <v>无</v>
      </c>
      <c r="Z68" s="33" t="str">
        <f>IF(COUNTIFS(户型资产表!E:E,I68,户型资产表!H:H,"餐桌")&gt;0,"有","无")</f>
        <v>无</v>
      </c>
      <c r="AA68" s="33" t="str">
        <f>IF(COUNTIFS(户型资产表!E:E,I68,户型资产表!H:H,"吸油烟机")&gt;0,"有","无")</f>
        <v>无</v>
      </c>
      <c r="AB68" s="33" t="str">
        <f>IF(COUNTIFS(户型资产表!E:E,I68,户型资产表!H:H,"冰箱")&gt;0,"有","无")</f>
        <v>无</v>
      </c>
      <c r="AC68" s="33" t="str">
        <f>IF(COUNTIFS(户型资产表!E:E,I68,户型资产表!H:H,"电视柜")&gt;0,"有","无")</f>
        <v>无</v>
      </c>
      <c r="AD68" s="41" t="str">
        <f t="shared" si="25"/>
        <v>适中</v>
      </c>
      <c r="AE68" s="33">
        <f>VLOOKUP($AD$1&amp;AD68,【1】定价因子!E:F,2,0)</f>
        <v>1</v>
      </c>
      <c r="AF68" s="41" t="str">
        <f t="shared" si="26"/>
        <v>适中</v>
      </c>
      <c r="AG68" s="33">
        <f>VLOOKUP($AF$1&amp;AF68,【1】定价因子!E:F,2,0)</f>
        <v>1</v>
      </c>
      <c r="AH68" s="41" t="str">
        <f t="shared" si="27"/>
        <v>适中</v>
      </c>
      <c r="AI68" s="33">
        <f>VLOOKUP($AH$1&amp;AH68,【1】定价因子!E:F,2,0)</f>
        <v>1</v>
      </c>
      <c r="AJ68" s="33" t="str">
        <f>VLOOKUP(H68,'【3-1】大区填-采光基本要素'!A:H,8,0)</f>
        <v>2</v>
      </c>
      <c r="AK68" s="33">
        <f>VLOOKUP($AJ$1&amp;AJ68,【1】定价因子!E:F,2,0)</f>
        <v>0.96</v>
      </c>
      <c r="AL68" s="34">
        <f t="shared" si="28"/>
        <v>1629.42216192</v>
      </c>
      <c r="AM68" s="42">
        <v>1470</v>
      </c>
      <c r="AN68" s="43">
        <f t="shared" si="29"/>
        <v>-0.0978396916684549</v>
      </c>
    </row>
    <row r="69" spans="1:40">
      <c r="A69" s="37" t="str">
        <f>'【2】运营中心填-基本信息&amp;审核标准'!$E$2</f>
        <v>兴围西4-11栋</v>
      </c>
      <c r="B69" s="13">
        <f t="shared" si="22"/>
        <v>9</v>
      </c>
      <c r="C69" s="13">
        <f t="shared" si="20"/>
        <v>8</v>
      </c>
      <c r="D69" s="13">
        <f t="shared" si="21"/>
        <v>64</v>
      </c>
      <c r="E69" s="13"/>
      <c r="F69" s="13">
        <f t="shared" si="23"/>
        <v>8</v>
      </c>
      <c r="G69" s="13"/>
      <c r="H69" s="38">
        <v>905</v>
      </c>
      <c r="I69" s="39" t="s">
        <v>502</v>
      </c>
      <c r="J69" s="39" t="s">
        <v>40</v>
      </c>
      <c r="K69" s="13"/>
      <c r="L69" s="40">
        <f>VLOOKUP(J69,'【3】大区填-楼栋基准格局定价'!B:H,7,0)</f>
        <v>1647.8784</v>
      </c>
      <c r="M69" s="41" t="str">
        <f t="shared" si="24"/>
        <v>适中</v>
      </c>
      <c r="N69" s="41">
        <v>13.79</v>
      </c>
      <c r="O69" s="33">
        <f>VLOOKUP($M$1&amp;M69,【1】定价因子!E:F,2,0)</f>
        <v>1</v>
      </c>
      <c r="P69" s="33" t="str">
        <f>IF(COUNTIFS(户型资产表!E:E,I69,户型资产表!H:H,"阳台门")&gt;0,"有","无")</f>
        <v>无</v>
      </c>
      <c r="Q69" s="33">
        <f>VLOOKUP($P$1&amp;P69,【1】定价因子!E:F,2,0)</f>
        <v>1</v>
      </c>
      <c r="R69" s="33" t="str">
        <f>IF('【2】运营中心填-基本信息&amp;审核标准'!$D$4="是","无",IF(INT(H69/100)&gt;9,"9F",INT(H69/100)&amp;"F"))</f>
        <v>无</v>
      </c>
      <c r="S69" s="33">
        <f>VLOOKUP(R69,【1】定价因子!D:F,3,0)</f>
        <v>1</v>
      </c>
      <c r="T69" s="33" t="str">
        <f>IF('【2】运营中心填-基本信息&amp;审核标准'!$D$4="否","无",IF(INT(H69/100)=1,"1F",IF(AND(INT(H69/100)&gt;=2,INT(H69/100)&lt;=3),"2-3F",IF(INT(H69/100)=4,"4F",IF(AND(INT(H69/100)&gt;=5,INT(H69/100)&lt;=6),"5-6F",IF(AND(INT(H69/100)&gt;=7,INT(H69/100)&lt;=8),"7-8F",IF(AND(INT(H69/100)&gt;=9,INT(H69/100)&lt;=10),"9-10F",IF(AND(INT(H69/100)&gt;=11,INT(H69/100)&lt;=12),"11-12F",IF(INT(H69/100)&gt;=13,"13以上F","")))))))))</f>
        <v>9-10F</v>
      </c>
      <c r="U69" s="33">
        <f>VLOOKUP($T$1&amp;T69,【1】定价因子!E:F,2,0)</f>
        <v>1.03</v>
      </c>
      <c r="V69" s="33" t="str">
        <f>IF(COUNTIFS(户型资产表!E:E,I69,户型资产表!H:H,"操作台")&gt;0,"有","无")</f>
        <v>有</v>
      </c>
      <c r="W69" s="33" t="str">
        <f>IF(COUNTIFS(户型资产表!E:E,I69,户型资产表!H:H,"书桌")&gt;0,"有","无")</f>
        <v>有</v>
      </c>
      <c r="X69" s="33" t="str">
        <f t="array" ref="X69">IF(SUMPRODUCT((户型资产表!E:E=I69)*((户型资产表!I:I="沙发01单人")+(户型资产表!I:I="单人沙发02")))&gt;0,"有","无")</f>
        <v>无</v>
      </c>
      <c r="Y69" s="33" t="str">
        <f t="array" ref="Y69">IF(SUMPRODUCT((户型资产表!E:E=I69)*((户型资产表!I:I="沙发02两人")+(户型资产表!I:I="双人沙发01")))&gt;0,"有","无")</f>
        <v>无</v>
      </c>
      <c r="Z69" s="33" t="str">
        <f>IF(COUNTIFS(户型资产表!E:E,I69,户型资产表!H:H,"餐桌")&gt;0,"有","无")</f>
        <v>无</v>
      </c>
      <c r="AA69" s="33" t="str">
        <f>IF(COUNTIFS(户型资产表!E:E,I69,户型资产表!H:H,"吸油烟机")&gt;0,"有","无")</f>
        <v>无</v>
      </c>
      <c r="AB69" s="33" t="str">
        <f>IF(COUNTIFS(户型资产表!E:E,I69,户型资产表!H:H,"冰箱")&gt;0,"有","无")</f>
        <v>无</v>
      </c>
      <c r="AC69" s="33" t="str">
        <f>IF(COUNTIFS(户型资产表!E:E,I69,户型资产表!H:H,"电视柜")&gt;0,"有","无")</f>
        <v>无</v>
      </c>
      <c r="AD69" s="41" t="str">
        <f t="shared" si="25"/>
        <v>适中</v>
      </c>
      <c r="AE69" s="33">
        <f>VLOOKUP($AD$1&amp;AD69,【1】定价因子!E:F,2,0)</f>
        <v>1</v>
      </c>
      <c r="AF69" s="41" t="str">
        <f t="shared" si="26"/>
        <v>适中</v>
      </c>
      <c r="AG69" s="33">
        <f>VLOOKUP($AF$1&amp;AF69,【1】定价因子!E:F,2,0)</f>
        <v>1</v>
      </c>
      <c r="AH69" s="41" t="str">
        <f t="shared" si="27"/>
        <v>适中</v>
      </c>
      <c r="AI69" s="33">
        <f>VLOOKUP($AH$1&amp;AH69,【1】定价因子!E:F,2,0)</f>
        <v>1</v>
      </c>
      <c r="AJ69" s="33" t="str">
        <f>VLOOKUP(H69,'【3-1】大区填-采光基本要素'!A:H,8,0)</f>
        <v>4</v>
      </c>
      <c r="AK69" s="33">
        <f>VLOOKUP($AJ$1&amp;AJ69,【1】定价因子!E:F,2,0)</f>
        <v>1.03</v>
      </c>
      <c r="AL69" s="34">
        <f t="shared" si="28"/>
        <v>1748.23419456</v>
      </c>
      <c r="AM69" s="42">
        <v>1580</v>
      </c>
      <c r="AN69" s="43">
        <f t="shared" si="29"/>
        <v>-0.0962309255152978</v>
      </c>
    </row>
    <row r="70" spans="1:40">
      <c r="A70" s="37" t="str">
        <f>'【2】运营中心填-基本信息&amp;审核标准'!$E$2</f>
        <v>兴围西4-11栋</v>
      </c>
      <c r="B70" s="13">
        <f t="shared" si="22"/>
        <v>9</v>
      </c>
      <c r="C70" s="13">
        <f t="shared" si="20"/>
        <v>8</v>
      </c>
      <c r="D70" s="13">
        <f t="shared" si="21"/>
        <v>64</v>
      </c>
      <c r="E70" s="13"/>
      <c r="F70" s="13">
        <f t="shared" si="23"/>
        <v>8</v>
      </c>
      <c r="G70" s="13"/>
      <c r="H70" s="38">
        <v>906</v>
      </c>
      <c r="I70" s="39" t="s">
        <v>503</v>
      </c>
      <c r="J70" s="39" t="s">
        <v>43</v>
      </c>
      <c r="K70" s="13"/>
      <c r="L70" s="40">
        <f>VLOOKUP(J70,'【3】大区填-楼栋基准格局定价'!B:H,7,0)</f>
        <v>2445.5088</v>
      </c>
      <c r="M70" s="41" t="str">
        <f t="shared" si="24"/>
        <v>很狭小</v>
      </c>
      <c r="N70" s="41">
        <v>11.35</v>
      </c>
      <c r="O70" s="33">
        <f>VLOOKUP($M$1&amp;M70,【1】定价因子!E:F,2,0)</f>
        <v>0.9</v>
      </c>
      <c r="P70" s="33" t="str">
        <f>IF(COUNTIFS(户型资产表!E:E,I70,户型资产表!H:H,"阳台门")&gt;0,"有","无")</f>
        <v>无</v>
      </c>
      <c r="Q70" s="33">
        <f>VLOOKUP($P$1&amp;P70,【1】定价因子!E:F,2,0)</f>
        <v>1</v>
      </c>
      <c r="R70" s="33" t="str">
        <f>IF('【2】运营中心填-基本信息&amp;审核标准'!$D$4="是","无",IF(INT(H70/100)&gt;9,"9F",INT(H70/100)&amp;"F"))</f>
        <v>无</v>
      </c>
      <c r="S70" s="33">
        <f>VLOOKUP(R70,【1】定价因子!D:F,3,0)</f>
        <v>1</v>
      </c>
      <c r="T70" s="33" t="str">
        <f>IF('【2】运营中心填-基本信息&amp;审核标准'!$D$4="否","无",IF(INT(H70/100)=1,"1F",IF(AND(INT(H70/100)&gt;=2,INT(H70/100)&lt;=3),"2-3F",IF(INT(H70/100)=4,"4F",IF(AND(INT(H70/100)&gt;=5,INT(H70/100)&lt;=6),"5-6F",IF(AND(INT(H70/100)&gt;=7,INT(H70/100)&lt;=8),"7-8F",IF(AND(INT(H70/100)&gt;=9,INT(H70/100)&lt;=10),"9-10F",IF(AND(INT(H70/100)&gt;=11,INT(H70/100)&lt;=12),"11-12F",IF(INT(H70/100)&gt;=13,"13以上F","")))))))))</f>
        <v>9-10F</v>
      </c>
      <c r="U70" s="33">
        <f>VLOOKUP($T$1&amp;T70,【1】定价因子!E:F,2,0)</f>
        <v>1.03</v>
      </c>
      <c r="V70" s="33" t="str">
        <f>IF(COUNTIFS(户型资产表!E:E,I70,户型资产表!H:H,"操作台")&gt;0,"有","无")</f>
        <v>有</v>
      </c>
      <c r="W70" s="33" t="str">
        <f>IF(COUNTIFS(户型资产表!E:E,I70,户型资产表!H:H,"书桌")&gt;0,"有","无")</f>
        <v>无</v>
      </c>
      <c r="X70" s="33" t="str">
        <f t="array" ref="X70">IF(SUMPRODUCT((户型资产表!E:E=I70)*((户型资产表!I:I="沙发01单人")+(户型资产表!I:I="单人沙发02")))&gt;0,"有","无")</f>
        <v>无</v>
      </c>
      <c r="Y70" s="33" t="str">
        <f t="array" ref="Y70">IF(SUMPRODUCT((户型资产表!E:E=I70)*((户型资产表!I:I="沙发02两人")+(户型资产表!I:I="双人沙发01")))&gt;0,"有","无")</f>
        <v>有</v>
      </c>
      <c r="Z70" s="33" t="str">
        <f>IF(COUNTIFS(户型资产表!E:E,I70,户型资产表!H:H,"餐桌")&gt;0,"有","无")</f>
        <v>有</v>
      </c>
      <c r="AA70" s="33" t="str">
        <f>IF(COUNTIFS(户型资产表!E:E,I70,户型资产表!H:H,"吸油烟机")&gt;0,"有","无")</f>
        <v>无</v>
      </c>
      <c r="AB70" s="33" t="str">
        <f>IF(COUNTIFS(户型资产表!E:E,I70,户型资产表!H:H,"冰箱")&gt;0,"有","无")</f>
        <v>无</v>
      </c>
      <c r="AC70" s="33" t="str">
        <f>IF(COUNTIFS(户型资产表!E:E,I70,户型资产表!H:H,"电视柜")&gt;0,"有","无")</f>
        <v>无</v>
      </c>
      <c r="AD70" s="41" t="str">
        <f t="shared" si="25"/>
        <v>适中</v>
      </c>
      <c r="AE70" s="33">
        <f>VLOOKUP($AD$1&amp;AD70,【1】定价因子!E:F,2,0)</f>
        <v>1</v>
      </c>
      <c r="AF70" s="41" t="str">
        <f t="shared" si="26"/>
        <v>适中</v>
      </c>
      <c r="AG70" s="33">
        <f>VLOOKUP($AF$1&amp;AF70,【1】定价因子!E:F,2,0)</f>
        <v>1</v>
      </c>
      <c r="AH70" s="41" t="str">
        <f t="shared" si="27"/>
        <v>适中</v>
      </c>
      <c r="AI70" s="33">
        <f>VLOOKUP($AH$1&amp;AH70,【1】定价因子!E:F,2,0)</f>
        <v>1</v>
      </c>
      <c r="AJ70" s="33" t="str">
        <f>VLOOKUP(H70,'【3-1】大区填-采光基本要素'!A:H,8,0)</f>
        <v>1</v>
      </c>
      <c r="AK70" s="33">
        <f>VLOOKUP($AJ$1&amp;AJ70,【1】定价因子!E:F,2,0)</f>
        <v>0.91</v>
      </c>
      <c r="AL70" s="34">
        <f t="shared" si="28"/>
        <v>2062.957858416</v>
      </c>
      <c r="AM70" s="42">
        <v>2030</v>
      </c>
      <c r="AN70" s="43">
        <f t="shared" si="29"/>
        <v>-0.0159760211686081</v>
      </c>
    </row>
    <row r="71" spans="1:40">
      <c r="A71" s="37" t="str">
        <f>'【2】运营中心填-基本信息&amp;审核标准'!$E$2</f>
        <v>兴围西4-11栋</v>
      </c>
      <c r="B71" s="13">
        <f t="shared" si="22"/>
        <v>9</v>
      </c>
      <c r="C71" s="13">
        <f t="shared" si="20"/>
        <v>8</v>
      </c>
      <c r="D71" s="13">
        <f t="shared" si="21"/>
        <v>64</v>
      </c>
      <c r="E71" s="13"/>
      <c r="F71" s="13">
        <f t="shared" si="23"/>
        <v>8</v>
      </c>
      <c r="G71" s="13"/>
      <c r="H71" s="38">
        <v>907</v>
      </c>
      <c r="I71" s="39" t="s">
        <v>501</v>
      </c>
      <c r="J71" s="39" t="s">
        <v>40</v>
      </c>
      <c r="K71" s="13"/>
      <c r="L71" s="40">
        <f>VLOOKUP(J71,'【3】大区填-楼栋基准格局定价'!B:H,7,0)</f>
        <v>1647.8784</v>
      </c>
      <c r="M71" s="41" t="str">
        <f t="shared" si="24"/>
        <v>适中</v>
      </c>
      <c r="N71" s="41">
        <v>13.81</v>
      </c>
      <c r="O71" s="33">
        <f>VLOOKUP($M$1&amp;M71,【1】定价因子!E:F,2,0)</f>
        <v>1</v>
      </c>
      <c r="P71" s="33" t="str">
        <f>IF(COUNTIFS(户型资产表!E:E,I71,户型资产表!H:H,"阳台门")&gt;0,"有","无")</f>
        <v>无</v>
      </c>
      <c r="Q71" s="33">
        <f>VLOOKUP($P$1&amp;P71,【1】定价因子!E:F,2,0)</f>
        <v>1</v>
      </c>
      <c r="R71" s="33" t="str">
        <f>IF('【2】运营中心填-基本信息&amp;审核标准'!$D$4="是","无",IF(INT(H71/100)&gt;9,"9F",INT(H71/100)&amp;"F"))</f>
        <v>无</v>
      </c>
      <c r="S71" s="33">
        <f>VLOOKUP(R71,【1】定价因子!D:F,3,0)</f>
        <v>1</v>
      </c>
      <c r="T71" s="33" t="str">
        <f>IF('【2】运营中心填-基本信息&amp;审核标准'!$D$4="否","无",IF(INT(H71/100)=1,"1F",IF(AND(INT(H71/100)&gt;=2,INT(H71/100)&lt;=3),"2-3F",IF(INT(H71/100)=4,"4F",IF(AND(INT(H71/100)&gt;=5,INT(H71/100)&lt;=6),"5-6F",IF(AND(INT(H71/100)&gt;=7,INT(H71/100)&lt;=8),"7-8F",IF(AND(INT(H71/100)&gt;=9,INT(H71/100)&lt;=10),"9-10F",IF(AND(INT(H71/100)&gt;=11,INT(H71/100)&lt;=12),"11-12F",IF(INT(H71/100)&gt;=13,"13以上F","")))))))))</f>
        <v>9-10F</v>
      </c>
      <c r="U71" s="33">
        <f>VLOOKUP($T$1&amp;T71,【1】定价因子!E:F,2,0)</f>
        <v>1.03</v>
      </c>
      <c r="V71" s="33" t="str">
        <f>IF(COUNTIFS(户型资产表!E:E,I71,户型资产表!H:H,"操作台")&gt;0,"有","无")</f>
        <v>有</v>
      </c>
      <c r="W71" s="33" t="str">
        <f>IF(COUNTIFS(户型资产表!E:E,I71,户型资产表!H:H,"书桌")&gt;0,"有","无")</f>
        <v>有</v>
      </c>
      <c r="X71" s="33" t="str">
        <f t="array" ref="X71">IF(SUMPRODUCT((户型资产表!E:E=I71)*((户型资产表!I:I="沙发01单人")+(户型资产表!I:I="单人沙发02")))&gt;0,"有","无")</f>
        <v>无</v>
      </c>
      <c r="Y71" s="33" t="str">
        <f t="array" ref="Y71">IF(SUMPRODUCT((户型资产表!E:E=I71)*((户型资产表!I:I="沙发02两人")+(户型资产表!I:I="双人沙发01")))&gt;0,"有","无")</f>
        <v>无</v>
      </c>
      <c r="Z71" s="33" t="str">
        <f>IF(COUNTIFS(户型资产表!E:E,I71,户型资产表!H:H,"餐桌")&gt;0,"有","无")</f>
        <v>无</v>
      </c>
      <c r="AA71" s="33" t="str">
        <f>IF(COUNTIFS(户型资产表!E:E,I71,户型资产表!H:H,"吸油烟机")&gt;0,"有","无")</f>
        <v>无</v>
      </c>
      <c r="AB71" s="33" t="str">
        <f>IF(COUNTIFS(户型资产表!E:E,I71,户型资产表!H:H,"冰箱")&gt;0,"有","无")</f>
        <v>无</v>
      </c>
      <c r="AC71" s="33" t="str">
        <f>IF(COUNTIFS(户型资产表!E:E,I71,户型资产表!H:H,"电视柜")&gt;0,"有","无")</f>
        <v>无</v>
      </c>
      <c r="AD71" s="41" t="str">
        <f t="shared" si="25"/>
        <v>适中</v>
      </c>
      <c r="AE71" s="33">
        <f>VLOOKUP($AD$1&amp;AD71,【1】定价因子!E:F,2,0)</f>
        <v>1</v>
      </c>
      <c r="AF71" s="41" t="str">
        <f t="shared" si="26"/>
        <v>适中</v>
      </c>
      <c r="AG71" s="33">
        <f>VLOOKUP($AF$1&amp;AF71,【1】定价因子!E:F,2,0)</f>
        <v>1</v>
      </c>
      <c r="AH71" s="41" t="str">
        <f t="shared" si="27"/>
        <v>适中</v>
      </c>
      <c r="AI71" s="33">
        <f>VLOOKUP($AH$1&amp;AH71,【1】定价因子!E:F,2,0)</f>
        <v>1</v>
      </c>
      <c r="AJ71" s="33" t="str">
        <f>VLOOKUP(H71,'【3-1】大区填-采光基本要素'!A:H,8,0)</f>
        <v>1</v>
      </c>
      <c r="AK71" s="33">
        <f>VLOOKUP($AJ$1&amp;AJ71,【1】定价因子!E:F,2,0)</f>
        <v>0.91</v>
      </c>
      <c r="AL71" s="34">
        <f t="shared" si="28"/>
        <v>1544.55642432</v>
      </c>
      <c r="AM71" s="42">
        <v>1470</v>
      </c>
      <c r="AN71" s="43">
        <f t="shared" si="29"/>
        <v>-0.0482704439579306</v>
      </c>
    </row>
    <row r="72" spans="1:40">
      <c r="A72" s="37" t="str">
        <f>'【2】运营中心填-基本信息&amp;审核标准'!$E$2</f>
        <v>兴围西4-11栋</v>
      </c>
      <c r="B72" s="13">
        <f t="shared" si="22"/>
        <v>9</v>
      </c>
      <c r="C72" s="13">
        <f t="shared" si="20"/>
        <v>8</v>
      </c>
      <c r="D72" s="13">
        <f t="shared" si="21"/>
        <v>64</v>
      </c>
      <c r="E72" s="13"/>
      <c r="F72" s="13">
        <f t="shared" si="23"/>
        <v>8</v>
      </c>
      <c r="G72" s="13"/>
      <c r="H72" s="38">
        <v>908</v>
      </c>
      <c r="I72" s="39" t="s">
        <v>508</v>
      </c>
      <c r="J72" s="39" t="s">
        <v>43</v>
      </c>
      <c r="K72" s="13"/>
      <c r="L72" s="40">
        <f>VLOOKUP(J72,'【3】大区填-楼栋基准格局定价'!B:H,7,0)</f>
        <v>2445.5088</v>
      </c>
      <c r="M72" s="41" t="str">
        <f t="shared" si="24"/>
        <v>较狭小</v>
      </c>
      <c r="N72" s="41">
        <v>20.04</v>
      </c>
      <c r="O72" s="33">
        <f>VLOOKUP($M$1&amp;M72,【1】定价因子!E:F,2,0)</f>
        <v>0.95</v>
      </c>
      <c r="P72" s="33" t="str">
        <f>IF(COUNTIFS(户型资产表!E:E,I72,户型资产表!H:H,"阳台门")&gt;0,"有","无")</f>
        <v>无</v>
      </c>
      <c r="Q72" s="33">
        <f>VLOOKUP($P$1&amp;P72,【1】定价因子!E:F,2,0)</f>
        <v>1</v>
      </c>
      <c r="R72" s="33" t="str">
        <f>IF('【2】运营中心填-基本信息&amp;审核标准'!$D$4="是","无",IF(INT(H72/100)&gt;9,"9F",INT(H72/100)&amp;"F"))</f>
        <v>无</v>
      </c>
      <c r="S72" s="33">
        <f>VLOOKUP(R72,【1】定价因子!D:F,3,0)</f>
        <v>1</v>
      </c>
      <c r="T72" s="33" t="str">
        <f>IF('【2】运营中心填-基本信息&amp;审核标准'!$D$4="否","无",IF(INT(H72/100)=1,"1F",IF(AND(INT(H72/100)&gt;=2,INT(H72/100)&lt;=3),"2-3F",IF(INT(H72/100)=4,"4F",IF(AND(INT(H72/100)&gt;=5,INT(H72/100)&lt;=6),"5-6F",IF(AND(INT(H72/100)&gt;=7,INT(H72/100)&lt;=8),"7-8F",IF(AND(INT(H72/100)&gt;=9,INT(H72/100)&lt;=10),"9-10F",IF(AND(INT(H72/100)&gt;=11,INT(H72/100)&lt;=12),"11-12F",IF(INT(H72/100)&gt;=13,"13以上F","")))))))))</f>
        <v>9-10F</v>
      </c>
      <c r="U72" s="33">
        <f>VLOOKUP($T$1&amp;T72,【1】定价因子!E:F,2,0)</f>
        <v>1.03</v>
      </c>
      <c r="V72" s="33" t="str">
        <f>IF(COUNTIFS(户型资产表!E:E,I72,户型资产表!H:H,"操作台")&gt;0,"有","无")</f>
        <v>有</v>
      </c>
      <c r="W72" s="33" t="str">
        <f>IF(COUNTIFS(户型资产表!E:E,I72,户型资产表!H:H,"书桌")&gt;0,"有","无")</f>
        <v>无</v>
      </c>
      <c r="X72" s="33" t="str">
        <f t="array" ref="X72">IF(SUMPRODUCT((户型资产表!E:E=I72)*((户型资产表!I:I="沙发01单人")+(户型资产表!I:I="单人沙发02")))&gt;0,"有","无")</f>
        <v>无</v>
      </c>
      <c r="Y72" s="33" t="str">
        <f t="array" ref="Y72">IF(SUMPRODUCT((户型资产表!E:E=I72)*((户型资产表!I:I="沙发02两人")+(户型资产表!I:I="双人沙发01")))&gt;0,"有","无")</f>
        <v>有</v>
      </c>
      <c r="Z72" s="33" t="str">
        <f>IF(COUNTIFS(户型资产表!E:E,I72,户型资产表!H:H,"餐桌")&gt;0,"有","无")</f>
        <v>有</v>
      </c>
      <c r="AA72" s="33" t="str">
        <f>IF(COUNTIFS(户型资产表!E:E,I72,户型资产表!H:H,"吸油烟机")&gt;0,"有","无")</f>
        <v>有</v>
      </c>
      <c r="AB72" s="33" t="str">
        <f>IF(COUNTIFS(户型资产表!E:E,I72,户型资产表!H:H,"冰箱")&gt;0,"有","无")</f>
        <v>无</v>
      </c>
      <c r="AC72" s="33" t="str">
        <f>IF(COUNTIFS(户型资产表!E:E,I72,户型资产表!H:H,"电视柜")&gt;0,"有","无")</f>
        <v>无</v>
      </c>
      <c r="AD72" s="41" t="str">
        <f t="shared" si="25"/>
        <v>适中</v>
      </c>
      <c r="AE72" s="33">
        <f>VLOOKUP($AD$1&amp;AD72,【1】定价因子!E:F,2,0)</f>
        <v>1</v>
      </c>
      <c r="AF72" s="41" t="s">
        <v>63</v>
      </c>
      <c r="AG72" s="33">
        <f>VLOOKUP($AF$1&amp;AF72,【1】定价因子!E:F,2,0)</f>
        <v>1</v>
      </c>
      <c r="AH72" s="41" t="str">
        <f t="shared" si="27"/>
        <v>适中</v>
      </c>
      <c r="AI72" s="33">
        <f>VLOOKUP($AH$1&amp;AH72,【1】定价因子!E:F,2,0)</f>
        <v>1</v>
      </c>
      <c r="AJ72" s="33" t="str">
        <f>VLOOKUP(H72,'【3-1】大区填-采光基本要素'!A:H,8,0)</f>
        <v>2</v>
      </c>
      <c r="AK72" s="33">
        <f>VLOOKUP($AJ$1&amp;AJ72,【1】定价因子!E:F,2,0)</f>
        <v>0.96</v>
      </c>
      <c r="AL72" s="34">
        <f t="shared" si="28"/>
        <v>2297.213146368</v>
      </c>
      <c r="AM72" s="42">
        <v>2200</v>
      </c>
      <c r="AN72" s="43">
        <f t="shared" si="29"/>
        <v>-0.0423178608923157</v>
      </c>
    </row>
  </sheetData>
  <autoFilter xmlns:etc="http://www.wps.cn/officeDocument/2017/etCustomData" ref="A1:AN72" etc:filterBottomFollowUsedRange="0">
    <extLst/>
  </autoFilter>
  <dataValidations count="1">
    <dataValidation type="list" allowBlank="1" showInputMessage="1" showErrorMessage="1" sqref="AJ1">
      <formula1>目录!$A$9:$A$16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1"/>
  <sheetViews>
    <sheetView workbookViewId="0">
      <selection activeCell="A1" sqref="A1:T631"/>
    </sheetView>
  </sheetViews>
  <sheetFormatPr defaultColWidth="9" defaultRowHeight="14"/>
  <sheetData>
    <row r="1" spans="1:20">
      <c r="A1" t="s">
        <v>509</v>
      </c>
      <c r="E1" t="s">
        <v>494</v>
      </c>
      <c r="H1" t="s">
        <v>510</v>
      </c>
      <c r="K1" t="s">
        <v>511</v>
      </c>
      <c r="Q1" t="s">
        <v>512</v>
      </c>
    </row>
    <row r="2" spans="1:20">
      <c r="B2" t="s">
        <v>513</v>
      </c>
    </row>
    <row r="3" spans="1:20">
      <c r="B3" t="s">
        <v>25</v>
      </c>
      <c r="C3" t="s">
        <v>514</v>
      </c>
      <c r="D3" t="s">
        <v>515</v>
      </c>
      <c r="E3" t="s">
        <v>516</v>
      </c>
      <c r="F3" t="s">
        <v>517</v>
      </c>
      <c r="G3" t="s">
        <v>518</v>
      </c>
      <c r="H3" t="s">
        <v>519</v>
      </c>
      <c r="I3" t="s">
        <v>520</v>
      </c>
      <c r="J3" t="s">
        <v>521</v>
      </c>
      <c r="K3" t="s">
        <v>522</v>
      </c>
      <c r="L3" t="s">
        <v>523</v>
      </c>
      <c r="M3" t="s">
        <v>524</v>
      </c>
      <c r="N3" t="s">
        <v>525</v>
      </c>
      <c r="O3" t="s">
        <v>526</v>
      </c>
      <c r="P3" t="s">
        <v>527</v>
      </c>
      <c r="Q3" t="s">
        <v>337</v>
      </c>
      <c r="R3" t="s">
        <v>528</v>
      </c>
      <c r="S3" t="s">
        <v>529</v>
      </c>
      <c r="T3" t="s">
        <v>530</v>
      </c>
    </row>
    <row r="4" spans="1:20">
      <c r="B4" t="s">
        <v>531</v>
      </c>
      <c r="L4" t="s">
        <v>532</v>
      </c>
    </row>
    <row r="5" spans="1:20">
      <c r="B5">
        <v>1</v>
      </c>
      <c r="C5" t="s">
        <v>533</v>
      </c>
      <c r="D5" t="s">
        <v>534</v>
      </c>
      <c r="E5" t="s">
        <v>492</v>
      </c>
      <c r="F5" t="s">
        <v>535</v>
      </c>
      <c r="G5" t="s">
        <v>536</v>
      </c>
      <c r="H5" t="s">
        <v>537</v>
      </c>
      <c r="I5" t="s">
        <v>538</v>
      </c>
      <c r="K5" t="s">
        <v>539</v>
      </c>
      <c r="L5" t="s">
        <v>532</v>
      </c>
      <c r="M5" t="s">
        <v>540</v>
      </c>
      <c r="N5" t="s">
        <v>541</v>
      </c>
      <c r="O5" t="s">
        <v>540</v>
      </c>
      <c r="P5">
        <v>1</v>
      </c>
      <c r="Q5" t="s">
        <v>542</v>
      </c>
      <c r="R5">
        <v>920</v>
      </c>
    </row>
    <row r="6" spans="1:20">
      <c r="B6">
        <v>2</v>
      </c>
      <c r="C6" t="s">
        <v>533</v>
      </c>
      <c r="D6" t="s">
        <v>534</v>
      </c>
      <c r="E6" t="s">
        <v>492</v>
      </c>
      <c r="F6" t="s">
        <v>535</v>
      </c>
      <c r="G6" t="s">
        <v>536</v>
      </c>
      <c r="H6" t="s">
        <v>543</v>
      </c>
      <c r="I6" t="s">
        <v>544</v>
      </c>
      <c r="K6" t="s">
        <v>545</v>
      </c>
      <c r="L6" t="s">
        <v>532</v>
      </c>
      <c r="M6" t="s">
        <v>540</v>
      </c>
      <c r="N6" t="s">
        <v>546</v>
      </c>
      <c r="O6" t="s">
        <v>540</v>
      </c>
      <c r="P6">
        <v>1</v>
      </c>
      <c r="Q6" t="s">
        <v>547</v>
      </c>
      <c r="R6">
        <v>380</v>
      </c>
    </row>
    <row r="7" spans="1:20">
      <c r="B7">
        <v>3</v>
      </c>
      <c r="C7" t="s">
        <v>533</v>
      </c>
      <c r="D7" t="s">
        <v>534</v>
      </c>
      <c r="E7" t="s">
        <v>492</v>
      </c>
      <c r="F7" t="s">
        <v>535</v>
      </c>
      <c r="G7" t="s">
        <v>548</v>
      </c>
      <c r="H7" t="s">
        <v>549</v>
      </c>
      <c r="I7" t="s">
        <v>550</v>
      </c>
      <c r="K7" t="s">
        <v>551</v>
      </c>
      <c r="L7" t="s">
        <v>532</v>
      </c>
      <c r="M7" t="s">
        <v>540</v>
      </c>
      <c r="N7" t="s">
        <v>552</v>
      </c>
      <c r="O7" t="s">
        <v>540</v>
      </c>
      <c r="P7">
        <v>1</v>
      </c>
      <c r="Q7" t="s">
        <v>553</v>
      </c>
      <c r="R7">
        <v>14</v>
      </c>
    </row>
    <row r="8" spans="1:20">
      <c r="B8">
        <v>4</v>
      </c>
      <c r="C8" t="s">
        <v>533</v>
      </c>
      <c r="D8" t="s">
        <v>534</v>
      </c>
      <c r="E8" t="s">
        <v>492</v>
      </c>
      <c r="F8" t="s">
        <v>535</v>
      </c>
      <c r="G8" t="s">
        <v>548</v>
      </c>
      <c r="H8" t="s">
        <v>554</v>
      </c>
      <c r="I8" t="s">
        <v>555</v>
      </c>
      <c r="K8" t="s">
        <v>556</v>
      </c>
      <c r="L8" t="s">
        <v>532</v>
      </c>
      <c r="M8" t="s">
        <v>540</v>
      </c>
      <c r="N8" t="s">
        <v>557</v>
      </c>
      <c r="O8" t="s">
        <v>540</v>
      </c>
      <c r="P8">
        <v>1</v>
      </c>
      <c r="Q8" t="s">
        <v>553</v>
      </c>
      <c r="R8">
        <v>33</v>
      </c>
    </row>
    <row r="9" spans="1:20">
      <c r="B9">
        <v>5</v>
      </c>
      <c r="C9" t="s">
        <v>533</v>
      </c>
      <c r="D9" t="s">
        <v>534</v>
      </c>
      <c r="E9" t="s">
        <v>492</v>
      </c>
      <c r="F9" t="s">
        <v>558</v>
      </c>
      <c r="G9" t="s">
        <v>559</v>
      </c>
      <c r="H9" t="s">
        <v>560</v>
      </c>
      <c r="I9" t="s">
        <v>561</v>
      </c>
      <c r="K9" t="s">
        <v>562</v>
      </c>
      <c r="L9" t="s">
        <v>532</v>
      </c>
      <c r="M9" t="s">
        <v>540</v>
      </c>
      <c r="N9" t="s">
        <v>563</v>
      </c>
      <c r="O9" t="s">
        <v>540</v>
      </c>
      <c r="P9">
        <v>1</v>
      </c>
      <c r="Q9" t="s">
        <v>553</v>
      </c>
      <c r="R9">
        <v>223</v>
      </c>
    </row>
    <row r="10" spans="1:20">
      <c r="B10">
        <v>6</v>
      </c>
      <c r="C10" t="s">
        <v>533</v>
      </c>
      <c r="D10" t="s">
        <v>534</v>
      </c>
      <c r="E10" t="s">
        <v>492</v>
      </c>
      <c r="F10" t="s">
        <v>558</v>
      </c>
      <c r="G10" t="s">
        <v>559</v>
      </c>
      <c r="H10" t="s">
        <v>564</v>
      </c>
      <c r="I10" t="s">
        <v>565</v>
      </c>
      <c r="K10" t="s">
        <v>566</v>
      </c>
      <c r="L10" t="s">
        <v>532</v>
      </c>
      <c r="M10" t="s">
        <v>540</v>
      </c>
      <c r="N10" t="s">
        <v>540</v>
      </c>
      <c r="O10" t="s">
        <v>540</v>
      </c>
      <c r="P10">
        <v>1</v>
      </c>
      <c r="Q10" t="s">
        <v>567</v>
      </c>
      <c r="R10">
        <v>640</v>
      </c>
    </row>
    <row r="11" spans="1:20">
      <c r="B11">
        <v>7</v>
      </c>
      <c r="C11" t="s">
        <v>533</v>
      </c>
      <c r="D11" t="s">
        <v>534</v>
      </c>
      <c r="E11" t="s">
        <v>492</v>
      </c>
      <c r="F11" t="s">
        <v>558</v>
      </c>
      <c r="G11" t="s">
        <v>559</v>
      </c>
      <c r="H11" t="s">
        <v>568</v>
      </c>
      <c r="I11" t="s">
        <v>569</v>
      </c>
      <c r="K11" t="s">
        <v>570</v>
      </c>
      <c r="L11" t="s">
        <v>532</v>
      </c>
      <c r="M11" t="s">
        <v>540</v>
      </c>
      <c r="N11" t="s">
        <v>540</v>
      </c>
      <c r="O11" t="s">
        <v>540</v>
      </c>
      <c r="P11">
        <v>1</v>
      </c>
      <c r="Q11" t="s">
        <v>567</v>
      </c>
      <c r="R11">
        <v>425</v>
      </c>
    </row>
    <row r="12" spans="1:20">
      <c r="B12">
        <v>8</v>
      </c>
      <c r="C12" t="s">
        <v>533</v>
      </c>
      <c r="D12" t="s">
        <v>534</v>
      </c>
      <c r="E12" t="s">
        <v>492</v>
      </c>
      <c r="F12" t="s">
        <v>558</v>
      </c>
      <c r="G12" t="s">
        <v>559</v>
      </c>
      <c r="H12" t="s">
        <v>571</v>
      </c>
      <c r="I12" t="s">
        <v>572</v>
      </c>
      <c r="K12" t="s">
        <v>573</v>
      </c>
      <c r="L12" t="s">
        <v>532</v>
      </c>
      <c r="M12" t="s">
        <v>540</v>
      </c>
      <c r="N12" t="s">
        <v>574</v>
      </c>
      <c r="O12" t="s">
        <v>540</v>
      </c>
      <c r="P12">
        <v>1</v>
      </c>
      <c r="Q12" t="s">
        <v>553</v>
      </c>
      <c r="R12">
        <v>959</v>
      </c>
    </row>
    <row r="13" spans="1:20">
      <c r="B13">
        <v>9</v>
      </c>
      <c r="C13" t="s">
        <v>533</v>
      </c>
      <c r="D13" t="s">
        <v>534</v>
      </c>
      <c r="E13" t="s">
        <v>492</v>
      </c>
      <c r="F13" t="s">
        <v>558</v>
      </c>
      <c r="G13" t="s">
        <v>575</v>
      </c>
      <c r="H13" t="s">
        <v>576</v>
      </c>
      <c r="I13" t="s">
        <v>577</v>
      </c>
      <c r="K13" t="s">
        <v>578</v>
      </c>
      <c r="L13" t="s">
        <v>532</v>
      </c>
      <c r="M13" t="s">
        <v>540</v>
      </c>
      <c r="N13" t="s">
        <v>540</v>
      </c>
      <c r="O13" t="s">
        <v>540</v>
      </c>
      <c r="P13">
        <v>1</v>
      </c>
      <c r="Q13" t="s">
        <v>553</v>
      </c>
      <c r="R13">
        <v>1680</v>
      </c>
    </row>
    <row r="14" spans="1:20">
      <c r="B14">
        <v>10</v>
      </c>
      <c r="C14" t="s">
        <v>533</v>
      </c>
      <c r="D14" t="s">
        <v>534</v>
      </c>
      <c r="E14" t="s">
        <v>492</v>
      </c>
      <c r="F14" t="s">
        <v>558</v>
      </c>
      <c r="G14" t="s">
        <v>579</v>
      </c>
      <c r="H14" t="s">
        <v>580</v>
      </c>
      <c r="I14" t="s">
        <v>581</v>
      </c>
      <c r="K14" t="s">
        <v>582</v>
      </c>
      <c r="L14" t="s">
        <v>532</v>
      </c>
      <c r="M14" t="s">
        <v>540</v>
      </c>
      <c r="N14" t="s">
        <v>583</v>
      </c>
      <c r="O14" t="s">
        <v>540</v>
      </c>
      <c r="P14">
        <v>1</v>
      </c>
      <c r="Q14" t="s">
        <v>553</v>
      </c>
      <c r="R14">
        <v>56</v>
      </c>
    </row>
    <row r="15" spans="1:20">
      <c r="B15">
        <v>11</v>
      </c>
      <c r="C15" t="s">
        <v>533</v>
      </c>
      <c r="D15" t="s">
        <v>534</v>
      </c>
      <c r="E15" t="s">
        <v>492</v>
      </c>
      <c r="F15" t="s">
        <v>558</v>
      </c>
      <c r="G15" t="s">
        <v>579</v>
      </c>
      <c r="H15" t="s">
        <v>584</v>
      </c>
      <c r="I15" t="s">
        <v>585</v>
      </c>
      <c r="K15" t="s">
        <v>586</v>
      </c>
      <c r="L15" t="s">
        <v>532</v>
      </c>
      <c r="M15" t="s">
        <v>540</v>
      </c>
      <c r="N15" t="s">
        <v>587</v>
      </c>
      <c r="O15" t="s">
        <v>540</v>
      </c>
      <c r="P15">
        <v>1</v>
      </c>
      <c r="Q15" t="s">
        <v>553</v>
      </c>
      <c r="R15">
        <v>74</v>
      </c>
    </row>
    <row r="16" spans="1:20">
      <c r="B16">
        <v>12</v>
      </c>
      <c r="C16" t="s">
        <v>533</v>
      </c>
      <c r="D16" t="s">
        <v>534</v>
      </c>
      <c r="E16" t="s">
        <v>492</v>
      </c>
      <c r="F16" t="s">
        <v>558</v>
      </c>
      <c r="G16" t="s">
        <v>588</v>
      </c>
      <c r="H16" t="s">
        <v>589</v>
      </c>
      <c r="I16" t="s">
        <v>590</v>
      </c>
      <c r="K16" t="s">
        <v>591</v>
      </c>
      <c r="L16" t="s">
        <v>532</v>
      </c>
      <c r="M16" t="s">
        <v>540</v>
      </c>
      <c r="N16" t="s">
        <v>592</v>
      </c>
      <c r="O16" t="s">
        <v>540</v>
      </c>
      <c r="P16">
        <v>1</v>
      </c>
      <c r="Q16" t="s">
        <v>553</v>
      </c>
      <c r="R16">
        <v>84</v>
      </c>
    </row>
    <row r="17" spans="2:18">
      <c r="B17">
        <v>13</v>
      </c>
      <c r="C17" t="s">
        <v>533</v>
      </c>
      <c r="D17" t="s">
        <v>534</v>
      </c>
      <c r="E17" t="s">
        <v>492</v>
      </c>
      <c r="F17" t="s">
        <v>558</v>
      </c>
      <c r="G17" t="s">
        <v>593</v>
      </c>
      <c r="H17" t="s">
        <v>594</v>
      </c>
      <c r="I17" t="s">
        <v>595</v>
      </c>
      <c r="K17" t="s">
        <v>596</v>
      </c>
      <c r="L17" t="s">
        <v>532</v>
      </c>
      <c r="M17" t="s">
        <v>540</v>
      </c>
      <c r="N17" t="s">
        <v>597</v>
      </c>
      <c r="O17" t="s">
        <v>540</v>
      </c>
      <c r="P17">
        <v>1</v>
      </c>
      <c r="Q17" t="s">
        <v>553</v>
      </c>
      <c r="R17">
        <v>165</v>
      </c>
    </row>
    <row r="18" spans="2:18">
      <c r="B18">
        <v>14</v>
      </c>
      <c r="C18" t="s">
        <v>533</v>
      </c>
      <c r="D18" t="s">
        <v>534</v>
      </c>
      <c r="E18" t="s">
        <v>492</v>
      </c>
      <c r="F18" t="s">
        <v>558</v>
      </c>
      <c r="G18" t="s">
        <v>559</v>
      </c>
      <c r="H18" t="s">
        <v>598</v>
      </c>
      <c r="I18" t="s">
        <v>599</v>
      </c>
      <c r="K18" t="s">
        <v>600</v>
      </c>
      <c r="L18" t="s">
        <v>532</v>
      </c>
      <c r="M18" t="s">
        <v>540</v>
      </c>
      <c r="N18" t="s">
        <v>540</v>
      </c>
      <c r="O18" t="s">
        <v>540</v>
      </c>
      <c r="P18">
        <v>1</v>
      </c>
      <c r="Q18" t="s">
        <v>553</v>
      </c>
      <c r="R18">
        <v>43</v>
      </c>
    </row>
    <row r="19" spans="2:18">
      <c r="B19">
        <v>15</v>
      </c>
      <c r="C19" t="s">
        <v>533</v>
      </c>
      <c r="D19" t="s">
        <v>534</v>
      </c>
      <c r="E19" t="s">
        <v>492</v>
      </c>
      <c r="F19" t="s">
        <v>558</v>
      </c>
      <c r="G19" t="s">
        <v>559</v>
      </c>
      <c r="H19" t="s">
        <v>601</v>
      </c>
      <c r="I19" t="s">
        <v>602</v>
      </c>
      <c r="K19" t="s">
        <v>603</v>
      </c>
      <c r="L19" t="s">
        <v>532</v>
      </c>
      <c r="M19" t="s">
        <v>540</v>
      </c>
      <c r="N19" t="s">
        <v>604</v>
      </c>
      <c r="O19" t="s">
        <v>540</v>
      </c>
      <c r="P19">
        <v>1</v>
      </c>
      <c r="Q19" t="s">
        <v>553</v>
      </c>
      <c r="R19">
        <v>77</v>
      </c>
    </row>
    <row r="20" spans="2:18">
      <c r="B20">
        <v>16</v>
      </c>
      <c r="C20" t="s">
        <v>533</v>
      </c>
      <c r="D20" t="s">
        <v>534</v>
      </c>
      <c r="E20" t="s">
        <v>492</v>
      </c>
      <c r="F20" t="s">
        <v>558</v>
      </c>
      <c r="G20" t="s">
        <v>536</v>
      </c>
      <c r="H20" t="s">
        <v>605</v>
      </c>
      <c r="I20" t="s">
        <v>606</v>
      </c>
      <c r="K20" t="s">
        <v>607</v>
      </c>
      <c r="L20" t="s">
        <v>532</v>
      </c>
      <c r="M20" t="s">
        <v>540</v>
      </c>
      <c r="N20" t="s">
        <v>608</v>
      </c>
      <c r="O20" t="s">
        <v>540</v>
      </c>
      <c r="P20">
        <v>1</v>
      </c>
      <c r="Q20" t="s">
        <v>609</v>
      </c>
      <c r="R20">
        <v>424</v>
      </c>
    </row>
    <row r="21" spans="2:18">
      <c r="B21">
        <v>17</v>
      </c>
      <c r="C21" t="s">
        <v>533</v>
      </c>
      <c r="D21" t="s">
        <v>534</v>
      </c>
      <c r="E21" t="s">
        <v>492</v>
      </c>
      <c r="F21" t="s">
        <v>558</v>
      </c>
      <c r="G21" t="s">
        <v>610</v>
      </c>
      <c r="H21" t="s">
        <v>611</v>
      </c>
      <c r="I21" t="s">
        <v>612</v>
      </c>
      <c r="K21" t="s">
        <v>613</v>
      </c>
      <c r="L21" t="s">
        <v>532</v>
      </c>
      <c r="M21" t="s">
        <v>540</v>
      </c>
      <c r="N21" t="s">
        <v>614</v>
      </c>
      <c r="O21" t="s">
        <v>540</v>
      </c>
      <c r="P21">
        <v>1</v>
      </c>
      <c r="Q21" t="s">
        <v>615</v>
      </c>
      <c r="R21">
        <v>53</v>
      </c>
    </row>
    <row r="22" spans="2:18">
      <c r="B22">
        <v>18</v>
      </c>
      <c r="C22" t="s">
        <v>533</v>
      </c>
      <c r="D22" t="s">
        <v>534</v>
      </c>
      <c r="E22" t="s">
        <v>492</v>
      </c>
      <c r="F22" t="s">
        <v>558</v>
      </c>
      <c r="G22" t="s">
        <v>559</v>
      </c>
      <c r="H22" t="s">
        <v>477</v>
      </c>
      <c r="I22" t="s">
        <v>616</v>
      </c>
      <c r="K22" t="s">
        <v>617</v>
      </c>
      <c r="L22" t="s">
        <v>532</v>
      </c>
      <c r="M22" t="s">
        <v>540</v>
      </c>
      <c r="N22" t="s">
        <v>540</v>
      </c>
      <c r="O22" t="s">
        <v>540</v>
      </c>
      <c r="P22">
        <v>1</v>
      </c>
      <c r="Q22" t="s">
        <v>618</v>
      </c>
      <c r="R22">
        <v>875</v>
      </c>
    </row>
    <row r="23" spans="2:18">
      <c r="B23">
        <v>19</v>
      </c>
      <c r="C23" t="s">
        <v>533</v>
      </c>
      <c r="D23" t="s">
        <v>534</v>
      </c>
      <c r="E23" t="s">
        <v>492</v>
      </c>
      <c r="F23" t="s">
        <v>558</v>
      </c>
      <c r="G23" t="s">
        <v>559</v>
      </c>
      <c r="H23" t="s">
        <v>478</v>
      </c>
      <c r="I23" t="s">
        <v>619</v>
      </c>
      <c r="K23" t="s">
        <v>620</v>
      </c>
      <c r="L23" t="s">
        <v>532</v>
      </c>
      <c r="M23" t="s">
        <v>540</v>
      </c>
      <c r="N23" t="s">
        <v>621</v>
      </c>
      <c r="O23" t="s">
        <v>540</v>
      </c>
      <c r="P23">
        <v>1</v>
      </c>
      <c r="Q23" t="s">
        <v>567</v>
      </c>
      <c r="R23">
        <v>289</v>
      </c>
    </row>
    <row r="24" spans="2:18">
      <c r="B24">
        <v>20</v>
      </c>
      <c r="C24" t="s">
        <v>533</v>
      </c>
      <c r="D24" t="s">
        <v>534</v>
      </c>
      <c r="E24" t="s">
        <v>492</v>
      </c>
      <c r="F24" t="s">
        <v>558</v>
      </c>
      <c r="G24" t="s">
        <v>559</v>
      </c>
      <c r="H24" t="s">
        <v>622</v>
      </c>
      <c r="I24" t="s">
        <v>623</v>
      </c>
      <c r="K24" t="s">
        <v>624</v>
      </c>
      <c r="L24" t="s">
        <v>532</v>
      </c>
      <c r="M24" t="s">
        <v>540</v>
      </c>
      <c r="N24" t="s">
        <v>625</v>
      </c>
      <c r="O24" t="s">
        <v>540</v>
      </c>
      <c r="P24">
        <v>1</v>
      </c>
      <c r="Q24" t="s">
        <v>547</v>
      </c>
      <c r="R24">
        <v>92</v>
      </c>
    </row>
    <row r="25" spans="2:18">
      <c r="B25">
        <v>21</v>
      </c>
      <c r="C25" t="s">
        <v>533</v>
      </c>
      <c r="D25" t="s">
        <v>534</v>
      </c>
      <c r="E25" t="s">
        <v>492</v>
      </c>
      <c r="F25" t="s">
        <v>558</v>
      </c>
      <c r="G25" t="s">
        <v>559</v>
      </c>
      <c r="H25" t="s">
        <v>626</v>
      </c>
      <c r="I25" t="s">
        <v>627</v>
      </c>
      <c r="K25" t="s">
        <v>628</v>
      </c>
      <c r="L25" t="s">
        <v>532</v>
      </c>
      <c r="M25" t="s">
        <v>540</v>
      </c>
      <c r="N25" t="s">
        <v>540</v>
      </c>
      <c r="O25" t="s">
        <v>540</v>
      </c>
      <c r="P25">
        <v>1</v>
      </c>
      <c r="Q25" t="s">
        <v>629</v>
      </c>
      <c r="R25">
        <v>58</v>
      </c>
    </row>
    <row r="26" spans="2:18">
      <c r="B26">
        <v>22</v>
      </c>
      <c r="C26" t="s">
        <v>533</v>
      </c>
      <c r="D26" t="s">
        <v>534</v>
      </c>
      <c r="E26" t="s">
        <v>492</v>
      </c>
      <c r="F26" t="s">
        <v>630</v>
      </c>
      <c r="G26" t="s">
        <v>593</v>
      </c>
      <c r="H26" t="s">
        <v>631</v>
      </c>
      <c r="I26" t="s">
        <v>632</v>
      </c>
      <c r="K26" t="s">
        <v>633</v>
      </c>
      <c r="L26" t="s">
        <v>532</v>
      </c>
      <c r="M26" t="s">
        <v>540</v>
      </c>
      <c r="N26" t="s">
        <v>540</v>
      </c>
      <c r="O26" t="s">
        <v>540</v>
      </c>
      <c r="P26">
        <v>1</v>
      </c>
      <c r="Q26" t="s">
        <v>553</v>
      </c>
      <c r="R26">
        <v>41</v>
      </c>
    </row>
    <row r="27" spans="2:18">
      <c r="B27">
        <v>23</v>
      </c>
      <c r="C27" t="s">
        <v>533</v>
      </c>
      <c r="D27" t="s">
        <v>534</v>
      </c>
      <c r="E27" t="s">
        <v>492</v>
      </c>
      <c r="F27" t="s">
        <v>630</v>
      </c>
      <c r="G27" t="s">
        <v>536</v>
      </c>
      <c r="H27" t="s">
        <v>634</v>
      </c>
      <c r="I27" t="s">
        <v>635</v>
      </c>
      <c r="K27" t="s">
        <v>636</v>
      </c>
      <c r="L27" t="s">
        <v>532</v>
      </c>
      <c r="M27" t="s">
        <v>540</v>
      </c>
      <c r="N27" t="s">
        <v>637</v>
      </c>
      <c r="O27" t="s">
        <v>540</v>
      </c>
      <c r="P27">
        <v>1</v>
      </c>
      <c r="Q27" t="s">
        <v>609</v>
      </c>
      <c r="R27">
        <v>290</v>
      </c>
    </row>
    <row r="28" spans="2:18">
      <c r="B28">
        <v>24</v>
      </c>
      <c r="C28" t="s">
        <v>533</v>
      </c>
      <c r="D28" t="s">
        <v>534</v>
      </c>
      <c r="E28" t="s">
        <v>492</v>
      </c>
      <c r="F28" t="s">
        <v>630</v>
      </c>
      <c r="G28" t="s">
        <v>575</v>
      </c>
      <c r="H28" t="s">
        <v>638</v>
      </c>
      <c r="I28" t="s">
        <v>639</v>
      </c>
      <c r="K28" t="s">
        <v>640</v>
      </c>
      <c r="L28" t="s">
        <v>532</v>
      </c>
      <c r="M28" t="s">
        <v>540</v>
      </c>
      <c r="N28" t="s">
        <v>641</v>
      </c>
      <c r="O28" t="s">
        <v>540</v>
      </c>
      <c r="P28">
        <v>1</v>
      </c>
      <c r="Q28" t="s">
        <v>553</v>
      </c>
      <c r="R28">
        <v>100</v>
      </c>
    </row>
    <row r="29" spans="2:18">
      <c r="B29">
        <v>25</v>
      </c>
      <c r="C29" t="s">
        <v>533</v>
      </c>
      <c r="D29" t="s">
        <v>534</v>
      </c>
      <c r="E29" t="s">
        <v>492</v>
      </c>
      <c r="F29" t="s">
        <v>630</v>
      </c>
      <c r="G29" t="s">
        <v>559</v>
      </c>
      <c r="H29" t="s">
        <v>642</v>
      </c>
      <c r="I29" t="s">
        <v>643</v>
      </c>
      <c r="K29" t="s">
        <v>644</v>
      </c>
      <c r="L29" t="s">
        <v>532</v>
      </c>
      <c r="M29" t="s">
        <v>540</v>
      </c>
      <c r="N29" t="s">
        <v>645</v>
      </c>
      <c r="O29" t="s">
        <v>540</v>
      </c>
      <c r="P29">
        <v>1</v>
      </c>
      <c r="Q29" t="s">
        <v>646</v>
      </c>
      <c r="R29">
        <v>55</v>
      </c>
    </row>
    <row r="30" spans="2:18">
      <c r="B30">
        <v>26</v>
      </c>
      <c r="C30" t="s">
        <v>533</v>
      </c>
      <c r="D30" t="s">
        <v>534</v>
      </c>
      <c r="E30" t="s">
        <v>492</v>
      </c>
      <c r="F30" t="s">
        <v>630</v>
      </c>
      <c r="G30" t="s">
        <v>579</v>
      </c>
      <c r="H30" t="s">
        <v>647</v>
      </c>
      <c r="I30" t="s">
        <v>648</v>
      </c>
      <c r="K30" t="s">
        <v>649</v>
      </c>
      <c r="L30" t="s">
        <v>532</v>
      </c>
      <c r="M30" t="s">
        <v>540</v>
      </c>
      <c r="N30" t="s">
        <v>592</v>
      </c>
      <c r="O30" t="s">
        <v>540</v>
      </c>
      <c r="P30">
        <v>1</v>
      </c>
      <c r="Q30" t="s">
        <v>553</v>
      </c>
      <c r="R30">
        <v>66.26</v>
      </c>
    </row>
    <row r="31" spans="2:18">
      <c r="B31">
        <v>27</v>
      </c>
      <c r="C31" t="s">
        <v>533</v>
      </c>
      <c r="D31" t="s">
        <v>534</v>
      </c>
      <c r="E31" t="s">
        <v>492</v>
      </c>
      <c r="F31" t="s">
        <v>630</v>
      </c>
      <c r="G31" t="s">
        <v>650</v>
      </c>
      <c r="H31" t="s">
        <v>651</v>
      </c>
      <c r="I31" t="s">
        <v>652</v>
      </c>
      <c r="K31" t="s">
        <v>653</v>
      </c>
      <c r="L31" t="s">
        <v>532</v>
      </c>
      <c r="M31" t="s">
        <v>540</v>
      </c>
      <c r="N31" t="s">
        <v>654</v>
      </c>
      <c r="O31" t="s">
        <v>540</v>
      </c>
      <c r="P31">
        <v>1</v>
      </c>
      <c r="Q31" t="s">
        <v>553</v>
      </c>
      <c r="R31">
        <v>101</v>
      </c>
    </row>
    <row r="32" spans="2:18">
      <c r="B32">
        <v>28</v>
      </c>
      <c r="C32" t="s">
        <v>533</v>
      </c>
      <c r="D32" t="s">
        <v>534</v>
      </c>
      <c r="E32" t="s">
        <v>492</v>
      </c>
      <c r="F32" t="s">
        <v>630</v>
      </c>
      <c r="G32" t="s">
        <v>650</v>
      </c>
      <c r="H32" t="s">
        <v>655</v>
      </c>
      <c r="I32" t="s">
        <v>656</v>
      </c>
      <c r="K32" t="s">
        <v>657</v>
      </c>
      <c r="L32" t="s">
        <v>532</v>
      </c>
      <c r="M32" t="s">
        <v>540</v>
      </c>
      <c r="N32" t="s">
        <v>658</v>
      </c>
      <c r="O32" t="s">
        <v>540</v>
      </c>
      <c r="P32">
        <v>1</v>
      </c>
      <c r="Q32" t="s">
        <v>553</v>
      </c>
      <c r="R32">
        <v>418</v>
      </c>
    </row>
    <row r="33" spans="2:18">
      <c r="B33">
        <v>29</v>
      </c>
      <c r="C33" t="s">
        <v>533</v>
      </c>
      <c r="D33" t="s">
        <v>534</v>
      </c>
      <c r="E33" t="s">
        <v>492</v>
      </c>
      <c r="F33" t="s">
        <v>630</v>
      </c>
      <c r="G33" t="s">
        <v>650</v>
      </c>
      <c r="H33" t="s">
        <v>659</v>
      </c>
      <c r="I33" t="s">
        <v>660</v>
      </c>
      <c r="K33" t="s">
        <v>661</v>
      </c>
      <c r="L33" t="s">
        <v>532</v>
      </c>
      <c r="M33" t="s">
        <v>540</v>
      </c>
      <c r="N33" t="s">
        <v>662</v>
      </c>
      <c r="O33" t="s">
        <v>540</v>
      </c>
      <c r="P33">
        <v>1</v>
      </c>
      <c r="Q33" t="s">
        <v>553</v>
      </c>
      <c r="R33">
        <v>37</v>
      </c>
    </row>
    <row r="34" spans="2:18">
      <c r="B34">
        <v>30</v>
      </c>
      <c r="C34" t="s">
        <v>533</v>
      </c>
      <c r="D34" t="s">
        <v>534</v>
      </c>
      <c r="E34" t="s">
        <v>492</v>
      </c>
      <c r="F34" t="s">
        <v>630</v>
      </c>
      <c r="G34" t="s">
        <v>575</v>
      </c>
      <c r="H34" t="s">
        <v>663</v>
      </c>
      <c r="I34" t="s">
        <v>664</v>
      </c>
      <c r="K34" t="s">
        <v>665</v>
      </c>
      <c r="L34" t="s">
        <v>532</v>
      </c>
      <c r="M34" t="s">
        <v>540</v>
      </c>
      <c r="N34" t="s">
        <v>666</v>
      </c>
      <c r="O34" t="s">
        <v>540</v>
      </c>
      <c r="P34">
        <v>1</v>
      </c>
      <c r="Q34" t="s">
        <v>667</v>
      </c>
      <c r="R34">
        <v>370</v>
      </c>
    </row>
    <row r="35" spans="2:18">
      <c r="B35">
        <v>31</v>
      </c>
      <c r="C35" t="s">
        <v>533</v>
      </c>
      <c r="D35" t="s">
        <v>534</v>
      </c>
      <c r="E35" t="s">
        <v>492</v>
      </c>
      <c r="F35" t="s">
        <v>630</v>
      </c>
      <c r="G35" t="s">
        <v>548</v>
      </c>
      <c r="H35" t="s">
        <v>668</v>
      </c>
      <c r="I35" t="s">
        <v>669</v>
      </c>
      <c r="K35" t="s">
        <v>670</v>
      </c>
      <c r="L35" t="s">
        <v>532</v>
      </c>
      <c r="M35" t="s">
        <v>540</v>
      </c>
      <c r="N35" t="s">
        <v>671</v>
      </c>
      <c r="O35" t="s">
        <v>540</v>
      </c>
      <c r="P35">
        <v>1</v>
      </c>
      <c r="Q35" t="s">
        <v>567</v>
      </c>
      <c r="R35">
        <v>4.7</v>
      </c>
    </row>
    <row r="36" spans="2:18">
      <c r="B36">
        <v>32</v>
      </c>
      <c r="C36" t="s">
        <v>533</v>
      </c>
      <c r="D36" t="s">
        <v>534</v>
      </c>
      <c r="E36" t="s">
        <v>492</v>
      </c>
      <c r="F36" t="s">
        <v>630</v>
      </c>
      <c r="G36" t="s">
        <v>650</v>
      </c>
      <c r="H36" t="s">
        <v>672</v>
      </c>
      <c r="I36" t="s">
        <v>673</v>
      </c>
      <c r="K36" t="s">
        <v>674</v>
      </c>
      <c r="L36" t="s">
        <v>532</v>
      </c>
      <c r="M36" t="s">
        <v>540</v>
      </c>
      <c r="N36" t="s">
        <v>675</v>
      </c>
      <c r="O36" t="s">
        <v>540</v>
      </c>
      <c r="P36">
        <v>1</v>
      </c>
      <c r="Q36" t="s">
        <v>618</v>
      </c>
      <c r="R36">
        <v>370</v>
      </c>
    </row>
    <row r="37" spans="2:18">
      <c r="B37">
        <v>33</v>
      </c>
      <c r="C37" t="s">
        <v>533</v>
      </c>
      <c r="D37" t="s">
        <v>534</v>
      </c>
      <c r="E37" t="s">
        <v>492</v>
      </c>
      <c r="F37" t="s">
        <v>630</v>
      </c>
      <c r="G37" t="s">
        <v>650</v>
      </c>
      <c r="H37" t="s">
        <v>676</v>
      </c>
      <c r="I37" t="s">
        <v>677</v>
      </c>
      <c r="K37" t="s">
        <v>678</v>
      </c>
      <c r="L37" t="s">
        <v>532</v>
      </c>
      <c r="M37" t="s">
        <v>540</v>
      </c>
      <c r="N37" t="s">
        <v>679</v>
      </c>
      <c r="O37" t="s">
        <v>540</v>
      </c>
      <c r="P37">
        <v>1</v>
      </c>
      <c r="Q37" t="s">
        <v>553</v>
      </c>
      <c r="R37">
        <v>39.5</v>
      </c>
    </row>
    <row r="38" spans="2:18">
      <c r="B38">
        <v>34</v>
      </c>
      <c r="C38" t="s">
        <v>533</v>
      </c>
      <c r="D38" t="s">
        <v>534</v>
      </c>
      <c r="E38" t="s">
        <v>492</v>
      </c>
      <c r="F38" t="s">
        <v>630</v>
      </c>
      <c r="G38" t="s">
        <v>650</v>
      </c>
      <c r="H38" t="s">
        <v>680</v>
      </c>
      <c r="I38" t="s">
        <v>681</v>
      </c>
      <c r="K38" t="s">
        <v>682</v>
      </c>
      <c r="L38" t="s">
        <v>532</v>
      </c>
      <c r="M38" t="s">
        <v>540</v>
      </c>
      <c r="N38" t="s">
        <v>679</v>
      </c>
      <c r="O38" t="s">
        <v>540</v>
      </c>
      <c r="P38">
        <v>1</v>
      </c>
      <c r="Q38" t="s">
        <v>553</v>
      </c>
      <c r="R38">
        <v>17.2</v>
      </c>
    </row>
    <row r="39" spans="2:18">
      <c r="B39">
        <v>1</v>
      </c>
      <c r="C39" t="s">
        <v>533</v>
      </c>
      <c r="D39" t="s">
        <v>534</v>
      </c>
      <c r="E39" t="s">
        <v>493</v>
      </c>
      <c r="F39" t="s">
        <v>535</v>
      </c>
      <c r="G39" t="s">
        <v>536</v>
      </c>
      <c r="H39" t="s">
        <v>537</v>
      </c>
      <c r="I39" t="s">
        <v>538</v>
      </c>
      <c r="K39" t="s">
        <v>539</v>
      </c>
      <c r="L39" t="s">
        <v>532</v>
      </c>
      <c r="M39" t="s">
        <v>540</v>
      </c>
      <c r="N39" t="s">
        <v>541</v>
      </c>
      <c r="O39" t="s">
        <v>540</v>
      </c>
      <c r="P39">
        <v>1</v>
      </c>
      <c r="Q39" t="s">
        <v>542</v>
      </c>
      <c r="R39">
        <v>920</v>
      </c>
    </row>
    <row r="40" spans="2:18">
      <c r="B40">
        <v>2</v>
      </c>
      <c r="C40" t="s">
        <v>533</v>
      </c>
      <c r="D40" t="s">
        <v>534</v>
      </c>
      <c r="E40" t="s">
        <v>493</v>
      </c>
      <c r="F40" t="s">
        <v>535</v>
      </c>
      <c r="G40" t="s">
        <v>536</v>
      </c>
      <c r="H40" t="s">
        <v>543</v>
      </c>
      <c r="I40" t="s">
        <v>544</v>
      </c>
      <c r="K40" t="s">
        <v>545</v>
      </c>
      <c r="L40" t="s">
        <v>532</v>
      </c>
      <c r="M40" t="s">
        <v>540</v>
      </c>
      <c r="N40" t="s">
        <v>546</v>
      </c>
      <c r="O40" t="s">
        <v>540</v>
      </c>
      <c r="P40">
        <v>1</v>
      </c>
      <c r="Q40" t="s">
        <v>547</v>
      </c>
      <c r="R40">
        <v>380</v>
      </c>
    </row>
    <row r="41" spans="2:18">
      <c r="B41">
        <v>3</v>
      </c>
      <c r="C41" t="s">
        <v>533</v>
      </c>
      <c r="D41" t="s">
        <v>534</v>
      </c>
      <c r="E41" t="s">
        <v>493</v>
      </c>
      <c r="F41" t="s">
        <v>535</v>
      </c>
      <c r="G41" t="s">
        <v>548</v>
      </c>
      <c r="H41" t="s">
        <v>549</v>
      </c>
      <c r="I41" t="s">
        <v>550</v>
      </c>
      <c r="K41" t="s">
        <v>551</v>
      </c>
      <c r="L41" t="s">
        <v>532</v>
      </c>
      <c r="M41" t="s">
        <v>540</v>
      </c>
      <c r="N41" t="s">
        <v>552</v>
      </c>
      <c r="O41" t="s">
        <v>540</v>
      </c>
      <c r="P41">
        <v>1</v>
      </c>
      <c r="Q41" t="s">
        <v>553</v>
      </c>
      <c r="R41">
        <v>14</v>
      </c>
    </row>
    <row r="42" spans="2:18">
      <c r="B42">
        <v>4</v>
      </c>
      <c r="C42" t="s">
        <v>533</v>
      </c>
      <c r="D42" t="s">
        <v>534</v>
      </c>
      <c r="E42" t="s">
        <v>493</v>
      </c>
      <c r="F42" t="s">
        <v>535</v>
      </c>
      <c r="G42" t="s">
        <v>548</v>
      </c>
      <c r="H42" t="s">
        <v>554</v>
      </c>
      <c r="I42" t="s">
        <v>555</v>
      </c>
      <c r="K42" t="s">
        <v>556</v>
      </c>
      <c r="L42" t="s">
        <v>532</v>
      </c>
      <c r="M42" t="s">
        <v>540</v>
      </c>
      <c r="N42" t="s">
        <v>557</v>
      </c>
      <c r="O42" t="s">
        <v>540</v>
      </c>
      <c r="P42">
        <v>1</v>
      </c>
      <c r="Q42" t="s">
        <v>553</v>
      </c>
      <c r="R42">
        <v>33</v>
      </c>
    </row>
    <row r="43" spans="2:18">
      <c r="B43">
        <v>5</v>
      </c>
      <c r="C43" t="s">
        <v>533</v>
      </c>
      <c r="D43" t="s">
        <v>534</v>
      </c>
      <c r="E43" t="s">
        <v>493</v>
      </c>
      <c r="F43" t="s">
        <v>558</v>
      </c>
      <c r="G43" t="s">
        <v>559</v>
      </c>
      <c r="H43" t="s">
        <v>560</v>
      </c>
      <c r="I43" t="s">
        <v>561</v>
      </c>
      <c r="K43" t="s">
        <v>562</v>
      </c>
      <c r="L43" t="s">
        <v>532</v>
      </c>
      <c r="M43" t="s">
        <v>540</v>
      </c>
      <c r="N43" t="s">
        <v>563</v>
      </c>
      <c r="O43" t="s">
        <v>540</v>
      </c>
      <c r="P43">
        <v>1</v>
      </c>
      <c r="Q43" t="s">
        <v>553</v>
      </c>
      <c r="R43">
        <v>223</v>
      </c>
    </row>
    <row r="44" spans="2:18">
      <c r="B44">
        <v>6</v>
      </c>
      <c r="C44" t="s">
        <v>533</v>
      </c>
      <c r="D44" t="s">
        <v>534</v>
      </c>
      <c r="E44" t="s">
        <v>493</v>
      </c>
      <c r="F44" t="s">
        <v>558</v>
      </c>
      <c r="G44" t="s">
        <v>559</v>
      </c>
      <c r="H44" t="s">
        <v>564</v>
      </c>
      <c r="I44" t="s">
        <v>565</v>
      </c>
      <c r="K44" t="s">
        <v>566</v>
      </c>
      <c r="L44" t="s">
        <v>532</v>
      </c>
      <c r="M44" t="s">
        <v>540</v>
      </c>
      <c r="N44" t="s">
        <v>540</v>
      </c>
      <c r="O44" t="s">
        <v>540</v>
      </c>
      <c r="P44">
        <v>1</v>
      </c>
      <c r="Q44" t="s">
        <v>567</v>
      </c>
      <c r="R44">
        <v>640</v>
      </c>
    </row>
    <row r="45" spans="2:18">
      <c r="B45">
        <v>7</v>
      </c>
      <c r="C45" t="s">
        <v>533</v>
      </c>
      <c r="D45" t="s">
        <v>534</v>
      </c>
      <c r="E45" t="s">
        <v>493</v>
      </c>
      <c r="F45" t="s">
        <v>558</v>
      </c>
      <c r="G45" t="s">
        <v>559</v>
      </c>
      <c r="H45" t="s">
        <v>568</v>
      </c>
      <c r="I45" t="s">
        <v>569</v>
      </c>
      <c r="K45" t="s">
        <v>570</v>
      </c>
      <c r="L45" t="s">
        <v>532</v>
      </c>
      <c r="M45" t="s">
        <v>540</v>
      </c>
      <c r="N45" t="s">
        <v>540</v>
      </c>
      <c r="O45" t="s">
        <v>540</v>
      </c>
      <c r="P45">
        <v>1</v>
      </c>
      <c r="Q45" t="s">
        <v>567</v>
      </c>
      <c r="R45">
        <v>425</v>
      </c>
    </row>
    <row r="46" spans="2:18">
      <c r="B46">
        <v>8</v>
      </c>
      <c r="C46" t="s">
        <v>533</v>
      </c>
      <c r="D46" t="s">
        <v>534</v>
      </c>
      <c r="E46" t="s">
        <v>493</v>
      </c>
      <c r="F46" t="s">
        <v>558</v>
      </c>
      <c r="G46" t="s">
        <v>559</v>
      </c>
      <c r="H46" t="s">
        <v>571</v>
      </c>
      <c r="I46" t="s">
        <v>572</v>
      </c>
      <c r="K46" t="s">
        <v>573</v>
      </c>
      <c r="L46" t="s">
        <v>532</v>
      </c>
      <c r="M46" t="s">
        <v>540</v>
      </c>
      <c r="N46" t="s">
        <v>574</v>
      </c>
      <c r="O46" t="s">
        <v>540</v>
      </c>
      <c r="P46">
        <v>1</v>
      </c>
      <c r="Q46" t="s">
        <v>553</v>
      </c>
      <c r="R46">
        <v>959</v>
      </c>
    </row>
    <row r="47" spans="2:18">
      <c r="B47">
        <v>9</v>
      </c>
      <c r="C47" t="s">
        <v>533</v>
      </c>
      <c r="D47" t="s">
        <v>534</v>
      </c>
      <c r="E47" t="s">
        <v>493</v>
      </c>
      <c r="F47" t="s">
        <v>558</v>
      </c>
      <c r="G47" t="s">
        <v>575</v>
      </c>
      <c r="H47" t="s">
        <v>576</v>
      </c>
      <c r="I47" t="s">
        <v>577</v>
      </c>
      <c r="K47" t="s">
        <v>578</v>
      </c>
      <c r="L47" t="s">
        <v>532</v>
      </c>
      <c r="M47" t="s">
        <v>540</v>
      </c>
      <c r="N47" t="s">
        <v>540</v>
      </c>
      <c r="O47" t="s">
        <v>540</v>
      </c>
      <c r="P47">
        <v>1</v>
      </c>
      <c r="Q47" t="s">
        <v>553</v>
      </c>
      <c r="R47">
        <v>1680</v>
      </c>
    </row>
    <row r="48" spans="2:18">
      <c r="B48">
        <v>10</v>
      </c>
      <c r="C48" t="s">
        <v>533</v>
      </c>
      <c r="D48" t="s">
        <v>534</v>
      </c>
      <c r="E48" t="s">
        <v>493</v>
      </c>
      <c r="F48" t="s">
        <v>558</v>
      </c>
      <c r="G48" t="s">
        <v>579</v>
      </c>
      <c r="H48" t="s">
        <v>580</v>
      </c>
      <c r="I48" t="s">
        <v>581</v>
      </c>
      <c r="K48" t="s">
        <v>582</v>
      </c>
      <c r="L48" t="s">
        <v>532</v>
      </c>
      <c r="M48" t="s">
        <v>540</v>
      </c>
      <c r="N48" t="s">
        <v>583</v>
      </c>
      <c r="O48" t="s">
        <v>540</v>
      </c>
      <c r="P48">
        <v>1</v>
      </c>
      <c r="Q48" t="s">
        <v>553</v>
      </c>
      <c r="R48">
        <v>56</v>
      </c>
    </row>
    <row r="49" spans="2:18">
      <c r="B49">
        <v>10</v>
      </c>
      <c r="C49" t="s">
        <v>533</v>
      </c>
      <c r="D49" t="s">
        <v>534</v>
      </c>
      <c r="E49" t="s">
        <v>493</v>
      </c>
      <c r="F49" t="s">
        <v>558</v>
      </c>
      <c r="G49" t="s">
        <v>579</v>
      </c>
      <c r="H49" t="s">
        <v>584</v>
      </c>
      <c r="I49" t="s">
        <v>585</v>
      </c>
      <c r="K49" t="s">
        <v>586</v>
      </c>
      <c r="L49" t="s">
        <v>532</v>
      </c>
      <c r="M49" t="s">
        <v>540</v>
      </c>
      <c r="N49" t="s">
        <v>587</v>
      </c>
      <c r="O49" t="s">
        <v>540</v>
      </c>
      <c r="P49">
        <v>1</v>
      </c>
      <c r="Q49" t="s">
        <v>553</v>
      </c>
      <c r="R49">
        <v>74</v>
      </c>
    </row>
    <row r="50" spans="2:18">
      <c r="B50">
        <v>11</v>
      </c>
      <c r="C50" t="s">
        <v>533</v>
      </c>
      <c r="D50" t="s">
        <v>534</v>
      </c>
      <c r="E50" t="s">
        <v>493</v>
      </c>
      <c r="F50" t="s">
        <v>558</v>
      </c>
      <c r="G50" t="s">
        <v>588</v>
      </c>
      <c r="H50" t="s">
        <v>589</v>
      </c>
      <c r="I50" t="s">
        <v>590</v>
      </c>
      <c r="K50" t="s">
        <v>591</v>
      </c>
      <c r="L50" t="s">
        <v>532</v>
      </c>
      <c r="M50" t="s">
        <v>540</v>
      </c>
      <c r="N50" t="s">
        <v>592</v>
      </c>
      <c r="O50" t="s">
        <v>540</v>
      </c>
      <c r="P50">
        <v>1</v>
      </c>
      <c r="Q50" t="s">
        <v>553</v>
      </c>
      <c r="R50">
        <v>84</v>
      </c>
    </row>
    <row r="51" spans="2:18">
      <c r="B51">
        <v>12</v>
      </c>
      <c r="C51" t="s">
        <v>533</v>
      </c>
      <c r="D51" t="s">
        <v>534</v>
      </c>
      <c r="E51" t="s">
        <v>493</v>
      </c>
      <c r="F51" t="s">
        <v>558</v>
      </c>
      <c r="G51" t="s">
        <v>593</v>
      </c>
      <c r="H51" t="s">
        <v>594</v>
      </c>
      <c r="I51" t="s">
        <v>595</v>
      </c>
      <c r="K51" t="s">
        <v>596</v>
      </c>
      <c r="L51" t="s">
        <v>532</v>
      </c>
      <c r="M51" t="s">
        <v>540</v>
      </c>
      <c r="N51" t="s">
        <v>597</v>
      </c>
      <c r="O51" t="s">
        <v>540</v>
      </c>
      <c r="P51">
        <v>1</v>
      </c>
      <c r="Q51" t="s">
        <v>553</v>
      </c>
      <c r="R51">
        <v>165</v>
      </c>
    </row>
    <row r="52" spans="2:18">
      <c r="B52">
        <v>13</v>
      </c>
      <c r="C52" t="s">
        <v>533</v>
      </c>
      <c r="D52" t="s">
        <v>534</v>
      </c>
      <c r="E52" t="s">
        <v>493</v>
      </c>
      <c r="F52" t="s">
        <v>558</v>
      </c>
      <c r="G52" t="s">
        <v>559</v>
      </c>
      <c r="H52" t="s">
        <v>598</v>
      </c>
      <c r="I52" t="s">
        <v>599</v>
      </c>
      <c r="K52" t="s">
        <v>600</v>
      </c>
      <c r="L52" t="s">
        <v>532</v>
      </c>
      <c r="M52" t="s">
        <v>540</v>
      </c>
      <c r="N52" t="s">
        <v>540</v>
      </c>
      <c r="O52" t="s">
        <v>540</v>
      </c>
      <c r="P52">
        <v>1</v>
      </c>
      <c r="Q52" t="s">
        <v>553</v>
      </c>
      <c r="R52">
        <v>43</v>
      </c>
    </row>
    <row r="53" spans="2:18">
      <c r="B53">
        <v>14</v>
      </c>
      <c r="C53" t="s">
        <v>533</v>
      </c>
      <c r="D53" t="s">
        <v>534</v>
      </c>
      <c r="E53" t="s">
        <v>493</v>
      </c>
      <c r="F53" t="s">
        <v>558</v>
      </c>
      <c r="G53" t="s">
        <v>559</v>
      </c>
      <c r="H53" t="s">
        <v>601</v>
      </c>
      <c r="I53" t="s">
        <v>602</v>
      </c>
      <c r="K53" t="s">
        <v>603</v>
      </c>
      <c r="L53" t="s">
        <v>532</v>
      </c>
      <c r="M53" t="s">
        <v>540</v>
      </c>
      <c r="N53" t="s">
        <v>604</v>
      </c>
      <c r="O53" t="s">
        <v>540</v>
      </c>
      <c r="P53">
        <v>1</v>
      </c>
      <c r="Q53" t="s">
        <v>553</v>
      </c>
      <c r="R53">
        <v>77</v>
      </c>
    </row>
    <row r="54" spans="2:18">
      <c r="B54">
        <v>15</v>
      </c>
      <c r="C54" t="s">
        <v>533</v>
      </c>
      <c r="D54" t="s">
        <v>534</v>
      </c>
      <c r="E54" t="s">
        <v>493</v>
      </c>
      <c r="F54" t="s">
        <v>558</v>
      </c>
      <c r="G54" t="s">
        <v>536</v>
      </c>
      <c r="H54" t="s">
        <v>605</v>
      </c>
      <c r="I54" t="s">
        <v>606</v>
      </c>
      <c r="K54" t="s">
        <v>607</v>
      </c>
      <c r="L54" t="s">
        <v>532</v>
      </c>
      <c r="M54" t="s">
        <v>540</v>
      </c>
      <c r="N54" t="s">
        <v>608</v>
      </c>
      <c r="O54" t="s">
        <v>540</v>
      </c>
      <c r="P54">
        <v>1</v>
      </c>
      <c r="Q54" t="s">
        <v>609</v>
      </c>
      <c r="R54">
        <v>424</v>
      </c>
    </row>
    <row r="55" spans="2:18">
      <c r="B55">
        <v>16</v>
      </c>
      <c r="C55" t="s">
        <v>533</v>
      </c>
      <c r="D55" t="s">
        <v>534</v>
      </c>
      <c r="E55" t="s">
        <v>493</v>
      </c>
      <c r="F55" t="s">
        <v>558</v>
      </c>
      <c r="G55" t="s">
        <v>610</v>
      </c>
      <c r="H55" t="s">
        <v>611</v>
      </c>
      <c r="I55" t="s">
        <v>612</v>
      </c>
      <c r="K55" t="s">
        <v>613</v>
      </c>
      <c r="L55" t="s">
        <v>532</v>
      </c>
      <c r="M55" t="s">
        <v>540</v>
      </c>
      <c r="N55" t="s">
        <v>614</v>
      </c>
      <c r="O55" t="s">
        <v>540</v>
      </c>
      <c r="P55">
        <v>1</v>
      </c>
      <c r="Q55" t="s">
        <v>615</v>
      </c>
      <c r="R55">
        <v>53</v>
      </c>
    </row>
    <row r="56" spans="2:18">
      <c r="B56">
        <v>17</v>
      </c>
      <c r="C56" t="s">
        <v>533</v>
      </c>
      <c r="D56" t="s">
        <v>534</v>
      </c>
      <c r="E56" t="s">
        <v>493</v>
      </c>
      <c r="F56" t="s">
        <v>558</v>
      </c>
      <c r="G56" t="s">
        <v>559</v>
      </c>
      <c r="H56" t="s">
        <v>477</v>
      </c>
      <c r="I56" t="s">
        <v>616</v>
      </c>
      <c r="K56" t="s">
        <v>617</v>
      </c>
      <c r="L56" t="s">
        <v>532</v>
      </c>
      <c r="M56" t="s">
        <v>540</v>
      </c>
      <c r="N56" t="s">
        <v>540</v>
      </c>
      <c r="O56" t="s">
        <v>540</v>
      </c>
      <c r="P56">
        <v>1</v>
      </c>
      <c r="Q56" t="s">
        <v>618</v>
      </c>
      <c r="R56">
        <v>875</v>
      </c>
    </row>
    <row r="57" spans="2:18">
      <c r="B57">
        <v>18</v>
      </c>
      <c r="C57" t="s">
        <v>533</v>
      </c>
      <c r="D57" t="s">
        <v>534</v>
      </c>
      <c r="E57" t="s">
        <v>493</v>
      </c>
      <c r="F57" t="s">
        <v>558</v>
      </c>
      <c r="G57" t="s">
        <v>559</v>
      </c>
      <c r="H57" t="s">
        <v>478</v>
      </c>
      <c r="I57" t="s">
        <v>683</v>
      </c>
      <c r="K57" t="s">
        <v>684</v>
      </c>
      <c r="L57" t="s">
        <v>532</v>
      </c>
      <c r="M57" t="s">
        <v>540</v>
      </c>
      <c r="N57" t="s">
        <v>685</v>
      </c>
      <c r="O57" t="s">
        <v>540</v>
      </c>
      <c r="P57">
        <v>1</v>
      </c>
      <c r="Q57" t="s">
        <v>567</v>
      </c>
      <c r="R57">
        <v>331</v>
      </c>
    </row>
    <row r="58" spans="2:18">
      <c r="B58">
        <v>19</v>
      </c>
      <c r="C58" t="s">
        <v>533</v>
      </c>
      <c r="D58" t="s">
        <v>534</v>
      </c>
      <c r="E58" t="s">
        <v>493</v>
      </c>
      <c r="F58" t="s">
        <v>558</v>
      </c>
      <c r="G58" t="s">
        <v>559</v>
      </c>
      <c r="H58" t="s">
        <v>622</v>
      </c>
      <c r="I58" t="s">
        <v>623</v>
      </c>
      <c r="K58" t="s">
        <v>624</v>
      </c>
      <c r="L58" t="s">
        <v>532</v>
      </c>
      <c r="M58" t="s">
        <v>540</v>
      </c>
      <c r="N58" t="s">
        <v>625</v>
      </c>
      <c r="O58" t="s">
        <v>540</v>
      </c>
      <c r="P58">
        <v>1</v>
      </c>
      <c r="Q58" t="s">
        <v>547</v>
      </c>
      <c r="R58">
        <v>92</v>
      </c>
    </row>
    <row r="59" spans="2:18">
      <c r="B59">
        <v>20</v>
      </c>
      <c r="C59" t="s">
        <v>533</v>
      </c>
      <c r="D59" t="s">
        <v>534</v>
      </c>
      <c r="E59" t="s">
        <v>493</v>
      </c>
      <c r="F59" t="s">
        <v>558</v>
      </c>
      <c r="G59" t="s">
        <v>559</v>
      </c>
      <c r="H59" t="s">
        <v>626</v>
      </c>
      <c r="I59" t="s">
        <v>627</v>
      </c>
      <c r="K59" t="s">
        <v>628</v>
      </c>
      <c r="L59" t="s">
        <v>532</v>
      </c>
      <c r="M59" t="s">
        <v>540</v>
      </c>
      <c r="N59" t="s">
        <v>540</v>
      </c>
      <c r="O59" t="s">
        <v>540</v>
      </c>
      <c r="P59">
        <v>1</v>
      </c>
      <c r="Q59" t="s">
        <v>629</v>
      </c>
      <c r="R59">
        <v>58</v>
      </c>
    </row>
    <row r="60" spans="2:18">
      <c r="B60">
        <v>21</v>
      </c>
      <c r="C60" t="s">
        <v>533</v>
      </c>
      <c r="D60" t="s">
        <v>534</v>
      </c>
      <c r="E60" t="s">
        <v>493</v>
      </c>
      <c r="F60" t="s">
        <v>630</v>
      </c>
      <c r="G60" t="s">
        <v>593</v>
      </c>
      <c r="H60" t="s">
        <v>631</v>
      </c>
      <c r="I60" t="s">
        <v>632</v>
      </c>
      <c r="K60" t="s">
        <v>633</v>
      </c>
      <c r="L60" t="s">
        <v>532</v>
      </c>
      <c r="M60" t="s">
        <v>540</v>
      </c>
      <c r="N60" t="s">
        <v>540</v>
      </c>
      <c r="O60" t="s">
        <v>540</v>
      </c>
      <c r="P60">
        <v>1</v>
      </c>
      <c r="Q60" t="s">
        <v>553</v>
      </c>
      <c r="R60">
        <v>41</v>
      </c>
    </row>
    <row r="61" spans="2:18">
      <c r="B61">
        <v>22</v>
      </c>
      <c r="C61" t="s">
        <v>533</v>
      </c>
      <c r="D61" t="s">
        <v>534</v>
      </c>
      <c r="E61" t="s">
        <v>493</v>
      </c>
      <c r="F61" t="s">
        <v>630</v>
      </c>
      <c r="G61" t="s">
        <v>536</v>
      </c>
      <c r="H61" t="s">
        <v>634</v>
      </c>
      <c r="I61" t="s">
        <v>635</v>
      </c>
      <c r="K61" t="s">
        <v>636</v>
      </c>
      <c r="L61" t="s">
        <v>532</v>
      </c>
      <c r="M61" t="s">
        <v>540</v>
      </c>
      <c r="N61" t="s">
        <v>637</v>
      </c>
      <c r="O61" t="s">
        <v>540</v>
      </c>
      <c r="P61">
        <v>1</v>
      </c>
      <c r="Q61" t="s">
        <v>609</v>
      </c>
      <c r="R61">
        <v>290</v>
      </c>
    </row>
    <row r="62" spans="2:18">
      <c r="B62">
        <v>23</v>
      </c>
      <c r="C62" t="s">
        <v>533</v>
      </c>
      <c r="D62" t="s">
        <v>534</v>
      </c>
      <c r="E62" t="s">
        <v>493</v>
      </c>
      <c r="F62" t="s">
        <v>630</v>
      </c>
      <c r="G62" t="s">
        <v>575</v>
      </c>
      <c r="H62" t="s">
        <v>638</v>
      </c>
      <c r="I62" t="s">
        <v>639</v>
      </c>
      <c r="K62" t="s">
        <v>640</v>
      </c>
      <c r="L62" t="s">
        <v>532</v>
      </c>
      <c r="M62" t="s">
        <v>540</v>
      </c>
      <c r="N62" t="s">
        <v>641</v>
      </c>
      <c r="O62" t="s">
        <v>540</v>
      </c>
      <c r="P62">
        <v>1</v>
      </c>
      <c r="Q62" t="s">
        <v>553</v>
      </c>
      <c r="R62">
        <v>100</v>
      </c>
    </row>
    <row r="63" spans="2:18">
      <c r="B63">
        <v>24</v>
      </c>
      <c r="C63" t="s">
        <v>533</v>
      </c>
      <c r="D63" t="s">
        <v>534</v>
      </c>
      <c r="E63" t="s">
        <v>493</v>
      </c>
      <c r="F63" t="s">
        <v>630</v>
      </c>
      <c r="G63" t="s">
        <v>559</v>
      </c>
      <c r="H63" t="s">
        <v>642</v>
      </c>
      <c r="I63" t="s">
        <v>643</v>
      </c>
      <c r="K63" t="s">
        <v>644</v>
      </c>
      <c r="L63" t="s">
        <v>532</v>
      </c>
      <c r="M63" t="s">
        <v>540</v>
      </c>
      <c r="N63" t="s">
        <v>645</v>
      </c>
      <c r="O63" t="s">
        <v>540</v>
      </c>
      <c r="P63">
        <v>1</v>
      </c>
      <c r="Q63" t="s">
        <v>646</v>
      </c>
      <c r="R63">
        <v>55</v>
      </c>
    </row>
    <row r="64" spans="2:18">
      <c r="B64">
        <v>25</v>
      </c>
      <c r="C64" t="s">
        <v>533</v>
      </c>
      <c r="D64" t="s">
        <v>534</v>
      </c>
      <c r="E64" t="s">
        <v>493</v>
      </c>
      <c r="F64" t="s">
        <v>630</v>
      </c>
      <c r="G64" t="s">
        <v>579</v>
      </c>
      <c r="H64" t="s">
        <v>647</v>
      </c>
      <c r="I64" t="s">
        <v>648</v>
      </c>
      <c r="K64" t="s">
        <v>649</v>
      </c>
      <c r="L64" t="s">
        <v>532</v>
      </c>
      <c r="M64" t="s">
        <v>540</v>
      </c>
      <c r="N64" t="s">
        <v>592</v>
      </c>
      <c r="O64" t="s">
        <v>540</v>
      </c>
      <c r="P64">
        <v>1</v>
      </c>
      <c r="Q64" t="s">
        <v>553</v>
      </c>
      <c r="R64">
        <v>66.26</v>
      </c>
    </row>
    <row r="65" spans="2:18">
      <c r="B65">
        <v>26</v>
      </c>
      <c r="C65" t="s">
        <v>533</v>
      </c>
      <c r="D65" t="s">
        <v>534</v>
      </c>
      <c r="E65" t="s">
        <v>493</v>
      </c>
      <c r="F65" t="s">
        <v>630</v>
      </c>
      <c r="G65" t="s">
        <v>650</v>
      </c>
      <c r="H65" t="s">
        <v>651</v>
      </c>
      <c r="I65" t="s">
        <v>652</v>
      </c>
      <c r="K65" t="s">
        <v>653</v>
      </c>
      <c r="L65" t="s">
        <v>532</v>
      </c>
      <c r="M65" t="s">
        <v>540</v>
      </c>
      <c r="N65" t="s">
        <v>654</v>
      </c>
      <c r="O65" t="s">
        <v>540</v>
      </c>
      <c r="P65">
        <v>1</v>
      </c>
      <c r="Q65" t="s">
        <v>553</v>
      </c>
      <c r="R65">
        <v>101</v>
      </c>
    </row>
    <row r="66" spans="2:18">
      <c r="B66">
        <v>27</v>
      </c>
      <c r="C66" t="s">
        <v>533</v>
      </c>
      <c r="D66" t="s">
        <v>534</v>
      </c>
      <c r="E66" t="s">
        <v>493</v>
      </c>
      <c r="F66" t="s">
        <v>630</v>
      </c>
      <c r="G66" t="s">
        <v>650</v>
      </c>
      <c r="H66" t="s">
        <v>655</v>
      </c>
      <c r="I66" t="s">
        <v>656</v>
      </c>
      <c r="K66" t="s">
        <v>657</v>
      </c>
      <c r="L66" t="s">
        <v>532</v>
      </c>
      <c r="M66" t="s">
        <v>540</v>
      </c>
      <c r="N66" t="s">
        <v>658</v>
      </c>
      <c r="O66" t="s">
        <v>540</v>
      </c>
      <c r="P66">
        <v>1</v>
      </c>
      <c r="Q66" t="s">
        <v>553</v>
      </c>
      <c r="R66">
        <v>418</v>
      </c>
    </row>
    <row r="67" spans="2:18">
      <c r="B67">
        <v>28</v>
      </c>
      <c r="C67" t="s">
        <v>533</v>
      </c>
      <c r="D67" t="s">
        <v>534</v>
      </c>
      <c r="E67" t="s">
        <v>493</v>
      </c>
      <c r="F67" t="s">
        <v>630</v>
      </c>
      <c r="G67" t="s">
        <v>650</v>
      </c>
      <c r="H67" t="s">
        <v>659</v>
      </c>
      <c r="I67" t="s">
        <v>660</v>
      </c>
      <c r="K67" t="s">
        <v>661</v>
      </c>
      <c r="L67" t="s">
        <v>532</v>
      </c>
      <c r="M67" t="s">
        <v>540</v>
      </c>
      <c r="N67" t="s">
        <v>662</v>
      </c>
      <c r="O67" t="s">
        <v>540</v>
      </c>
      <c r="P67">
        <v>1</v>
      </c>
      <c r="Q67" t="s">
        <v>553</v>
      </c>
      <c r="R67">
        <v>37</v>
      </c>
    </row>
    <row r="68" spans="2:18">
      <c r="B68">
        <v>29</v>
      </c>
      <c r="C68" t="s">
        <v>533</v>
      </c>
      <c r="D68" t="s">
        <v>534</v>
      </c>
      <c r="E68" t="s">
        <v>493</v>
      </c>
      <c r="F68" t="s">
        <v>630</v>
      </c>
      <c r="G68" t="s">
        <v>575</v>
      </c>
      <c r="H68" t="s">
        <v>663</v>
      </c>
      <c r="I68" t="s">
        <v>664</v>
      </c>
      <c r="K68" t="s">
        <v>665</v>
      </c>
      <c r="L68" t="s">
        <v>532</v>
      </c>
      <c r="M68" t="s">
        <v>540</v>
      </c>
      <c r="N68" t="s">
        <v>666</v>
      </c>
      <c r="O68" t="s">
        <v>540</v>
      </c>
      <c r="P68">
        <v>1</v>
      </c>
      <c r="Q68" t="s">
        <v>667</v>
      </c>
      <c r="R68">
        <v>370</v>
      </c>
    </row>
    <row r="69" spans="2:18">
      <c r="B69">
        <v>30</v>
      </c>
      <c r="C69" t="s">
        <v>533</v>
      </c>
      <c r="D69" t="s">
        <v>534</v>
      </c>
      <c r="E69" t="s">
        <v>493</v>
      </c>
      <c r="F69" t="s">
        <v>630</v>
      </c>
      <c r="G69" t="s">
        <v>548</v>
      </c>
      <c r="H69" t="s">
        <v>668</v>
      </c>
      <c r="I69" t="s">
        <v>669</v>
      </c>
      <c r="K69" t="s">
        <v>670</v>
      </c>
      <c r="L69" t="s">
        <v>532</v>
      </c>
      <c r="M69" t="s">
        <v>540</v>
      </c>
      <c r="N69" t="s">
        <v>671</v>
      </c>
      <c r="O69" t="s">
        <v>540</v>
      </c>
      <c r="P69">
        <v>1</v>
      </c>
      <c r="Q69" t="s">
        <v>567</v>
      </c>
      <c r="R69">
        <v>4.7</v>
      </c>
    </row>
    <row r="70" spans="2:18">
      <c r="B70">
        <v>31</v>
      </c>
      <c r="C70" t="s">
        <v>533</v>
      </c>
      <c r="D70" t="s">
        <v>534</v>
      </c>
      <c r="E70" t="s">
        <v>493</v>
      </c>
      <c r="F70" t="s">
        <v>630</v>
      </c>
      <c r="G70" t="s">
        <v>650</v>
      </c>
      <c r="H70" t="s">
        <v>672</v>
      </c>
      <c r="I70" t="s">
        <v>673</v>
      </c>
      <c r="K70" t="s">
        <v>674</v>
      </c>
      <c r="L70" t="s">
        <v>532</v>
      </c>
      <c r="M70" t="s">
        <v>540</v>
      </c>
      <c r="N70" t="s">
        <v>675</v>
      </c>
      <c r="O70" t="s">
        <v>540</v>
      </c>
      <c r="P70">
        <v>1</v>
      </c>
      <c r="Q70" t="s">
        <v>618</v>
      </c>
      <c r="R70">
        <v>370</v>
      </c>
    </row>
    <row r="71" spans="2:18">
      <c r="B71">
        <v>32</v>
      </c>
      <c r="C71" t="s">
        <v>533</v>
      </c>
      <c r="D71" t="s">
        <v>534</v>
      </c>
      <c r="E71" t="s">
        <v>493</v>
      </c>
      <c r="F71" t="s">
        <v>630</v>
      </c>
      <c r="G71" t="s">
        <v>650</v>
      </c>
      <c r="H71" t="s">
        <v>676</v>
      </c>
      <c r="I71" t="s">
        <v>677</v>
      </c>
      <c r="K71" t="s">
        <v>678</v>
      </c>
      <c r="L71" t="s">
        <v>532</v>
      </c>
      <c r="M71" t="s">
        <v>540</v>
      </c>
      <c r="N71" t="s">
        <v>679</v>
      </c>
      <c r="O71" t="s">
        <v>540</v>
      </c>
      <c r="P71">
        <v>1</v>
      </c>
      <c r="Q71" t="s">
        <v>553</v>
      </c>
      <c r="R71">
        <v>39.5</v>
      </c>
    </row>
    <row r="72" spans="2:18">
      <c r="B72">
        <v>33</v>
      </c>
      <c r="C72" t="s">
        <v>533</v>
      </c>
      <c r="D72" t="s">
        <v>534</v>
      </c>
      <c r="E72" t="s">
        <v>493</v>
      </c>
      <c r="F72" t="s">
        <v>630</v>
      </c>
      <c r="G72" t="s">
        <v>650</v>
      </c>
      <c r="H72" t="s">
        <v>680</v>
      </c>
      <c r="I72" t="s">
        <v>681</v>
      </c>
      <c r="K72" t="s">
        <v>682</v>
      </c>
      <c r="L72" t="s">
        <v>532</v>
      </c>
      <c r="M72" t="s">
        <v>540</v>
      </c>
      <c r="N72" t="s">
        <v>679</v>
      </c>
      <c r="O72" t="s">
        <v>540</v>
      </c>
      <c r="P72">
        <v>1</v>
      </c>
      <c r="Q72" t="s">
        <v>553</v>
      </c>
      <c r="R72">
        <v>17.2</v>
      </c>
    </row>
    <row r="73" spans="2:18">
      <c r="B73">
        <v>1</v>
      </c>
      <c r="C73" t="s">
        <v>533</v>
      </c>
      <c r="D73" t="s">
        <v>534</v>
      </c>
      <c r="E73" t="s">
        <v>494</v>
      </c>
      <c r="F73" t="s">
        <v>535</v>
      </c>
      <c r="G73" t="s">
        <v>536</v>
      </c>
      <c r="H73" t="s">
        <v>537</v>
      </c>
      <c r="I73" t="s">
        <v>538</v>
      </c>
      <c r="K73" t="s">
        <v>539</v>
      </c>
      <c r="L73" t="s">
        <v>532</v>
      </c>
      <c r="M73" t="s">
        <v>540</v>
      </c>
      <c r="N73" t="s">
        <v>541</v>
      </c>
      <c r="O73" t="s">
        <v>540</v>
      </c>
      <c r="P73">
        <v>1</v>
      </c>
      <c r="Q73" t="s">
        <v>542</v>
      </c>
      <c r="R73">
        <v>920</v>
      </c>
    </row>
    <row r="74" spans="2:18">
      <c r="B74">
        <v>2</v>
      </c>
      <c r="C74" t="s">
        <v>533</v>
      </c>
      <c r="D74" t="s">
        <v>534</v>
      </c>
      <c r="E74" t="s">
        <v>494</v>
      </c>
      <c r="F74" t="s">
        <v>535</v>
      </c>
      <c r="G74" t="s">
        <v>536</v>
      </c>
      <c r="H74" t="s">
        <v>543</v>
      </c>
      <c r="I74" t="s">
        <v>544</v>
      </c>
      <c r="K74" t="s">
        <v>545</v>
      </c>
      <c r="L74" t="s">
        <v>532</v>
      </c>
      <c r="M74" t="s">
        <v>540</v>
      </c>
      <c r="N74" t="s">
        <v>546</v>
      </c>
      <c r="O74" t="s">
        <v>540</v>
      </c>
      <c r="P74">
        <v>1</v>
      </c>
      <c r="Q74" t="s">
        <v>547</v>
      </c>
      <c r="R74">
        <v>380</v>
      </c>
    </row>
    <row r="75" spans="2:18">
      <c r="B75">
        <v>3</v>
      </c>
      <c r="C75" t="s">
        <v>533</v>
      </c>
      <c r="D75" t="s">
        <v>534</v>
      </c>
      <c r="E75" t="s">
        <v>494</v>
      </c>
      <c r="F75" t="s">
        <v>535</v>
      </c>
      <c r="G75" t="s">
        <v>548</v>
      </c>
      <c r="H75" t="s">
        <v>549</v>
      </c>
      <c r="I75" t="s">
        <v>550</v>
      </c>
      <c r="K75" t="s">
        <v>551</v>
      </c>
      <c r="L75" t="s">
        <v>532</v>
      </c>
      <c r="M75" t="s">
        <v>540</v>
      </c>
      <c r="N75" t="s">
        <v>552</v>
      </c>
      <c r="O75" t="s">
        <v>540</v>
      </c>
      <c r="P75">
        <v>1</v>
      </c>
      <c r="Q75" t="s">
        <v>553</v>
      </c>
      <c r="R75">
        <v>14</v>
      </c>
    </row>
    <row r="76" spans="2:18">
      <c r="B76">
        <v>4</v>
      </c>
      <c r="C76" t="s">
        <v>533</v>
      </c>
      <c r="D76" t="s">
        <v>534</v>
      </c>
      <c r="E76" t="s">
        <v>494</v>
      </c>
      <c r="F76" t="s">
        <v>535</v>
      </c>
      <c r="G76" t="s">
        <v>548</v>
      </c>
      <c r="H76" t="s">
        <v>554</v>
      </c>
      <c r="I76" t="s">
        <v>555</v>
      </c>
      <c r="K76" t="s">
        <v>556</v>
      </c>
      <c r="L76" t="s">
        <v>532</v>
      </c>
      <c r="M76" t="s">
        <v>540</v>
      </c>
      <c r="N76" t="s">
        <v>557</v>
      </c>
      <c r="O76" t="s">
        <v>540</v>
      </c>
      <c r="P76">
        <v>1</v>
      </c>
      <c r="Q76" t="s">
        <v>553</v>
      </c>
      <c r="R76">
        <v>33</v>
      </c>
    </row>
    <row r="77" spans="2:18">
      <c r="B77">
        <v>5</v>
      </c>
      <c r="C77" t="s">
        <v>533</v>
      </c>
      <c r="D77" t="s">
        <v>534</v>
      </c>
      <c r="E77" t="s">
        <v>494</v>
      </c>
      <c r="F77" t="s">
        <v>686</v>
      </c>
      <c r="G77" t="s">
        <v>559</v>
      </c>
      <c r="H77" t="s">
        <v>560</v>
      </c>
      <c r="I77" t="s">
        <v>561</v>
      </c>
      <c r="K77" t="s">
        <v>562</v>
      </c>
      <c r="L77" t="s">
        <v>532</v>
      </c>
      <c r="M77" t="s">
        <v>540</v>
      </c>
      <c r="N77" t="s">
        <v>563</v>
      </c>
      <c r="O77" t="s">
        <v>540</v>
      </c>
      <c r="P77">
        <v>1</v>
      </c>
      <c r="Q77" t="s">
        <v>553</v>
      </c>
      <c r="R77">
        <v>223</v>
      </c>
    </row>
    <row r="78" spans="2:18">
      <c r="B78">
        <v>6</v>
      </c>
      <c r="C78" t="s">
        <v>533</v>
      </c>
      <c r="D78" t="s">
        <v>534</v>
      </c>
      <c r="E78" t="s">
        <v>494</v>
      </c>
      <c r="F78" t="s">
        <v>686</v>
      </c>
      <c r="G78" t="s">
        <v>575</v>
      </c>
      <c r="H78" t="s">
        <v>576</v>
      </c>
      <c r="I78" t="s">
        <v>577</v>
      </c>
      <c r="K78" t="s">
        <v>578</v>
      </c>
      <c r="L78" t="s">
        <v>532</v>
      </c>
      <c r="M78" t="s">
        <v>540</v>
      </c>
      <c r="N78" t="s">
        <v>540</v>
      </c>
      <c r="O78" t="s">
        <v>540</v>
      </c>
      <c r="P78">
        <v>1</v>
      </c>
      <c r="Q78" t="s">
        <v>553</v>
      </c>
      <c r="R78">
        <v>1680</v>
      </c>
    </row>
    <row r="79" spans="2:18">
      <c r="B79">
        <v>7</v>
      </c>
      <c r="C79" t="s">
        <v>533</v>
      </c>
      <c r="D79" t="s">
        <v>534</v>
      </c>
      <c r="E79" t="s">
        <v>494</v>
      </c>
      <c r="F79" t="s">
        <v>686</v>
      </c>
      <c r="G79" t="s">
        <v>579</v>
      </c>
      <c r="H79" t="s">
        <v>580</v>
      </c>
      <c r="I79" t="s">
        <v>581</v>
      </c>
      <c r="K79" t="s">
        <v>582</v>
      </c>
      <c r="L79" t="s">
        <v>532</v>
      </c>
      <c r="M79" t="s">
        <v>540</v>
      </c>
      <c r="N79" t="s">
        <v>583</v>
      </c>
      <c r="O79" t="s">
        <v>540</v>
      </c>
      <c r="P79">
        <v>1</v>
      </c>
      <c r="Q79" t="s">
        <v>553</v>
      </c>
      <c r="R79">
        <v>56</v>
      </c>
    </row>
    <row r="80" spans="2:18">
      <c r="B80">
        <v>8</v>
      </c>
      <c r="C80" t="s">
        <v>533</v>
      </c>
      <c r="D80" t="s">
        <v>534</v>
      </c>
      <c r="E80" t="s">
        <v>494</v>
      </c>
      <c r="F80" t="s">
        <v>686</v>
      </c>
      <c r="G80" t="s">
        <v>579</v>
      </c>
      <c r="H80" t="s">
        <v>584</v>
      </c>
      <c r="I80" t="s">
        <v>585</v>
      </c>
      <c r="K80" t="s">
        <v>586</v>
      </c>
      <c r="L80" t="s">
        <v>532</v>
      </c>
      <c r="M80" t="s">
        <v>540</v>
      </c>
      <c r="N80" t="s">
        <v>587</v>
      </c>
      <c r="O80" t="s">
        <v>540</v>
      </c>
      <c r="P80">
        <v>1</v>
      </c>
      <c r="Q80" t="s">
        <v>553</v>
      </c>
      <c r="R80">
        <v>74</v>
      </c>
    </row>
    <row r="81" spans="2:18">
      <c r="B81">
        <v>9</v>
      </c>
      <c r="C81" t="s">
        <v>533</v>
      </c>
      <c r="D81" t="s">
        <v>534</v>
      </c>
      <c r="E81" t="s">
        <v>494</v>
      </c>
      <c r="F81" t="s">
        <v>686</v>
      </c>
      <c r="G81" t="s">
        <v>588</v>
      </c>
      <c r="H81" t="s">
        <v>589</v>
      </c>
      <c r="I81" t="s">
        <v>590</v>
      </c>
      <c r="K81" t="s">
        <v>591</v>
      </c>
      <c r="L81" t="s">
        <v>532</v>
      </c>
      <c r="M81" t="s">
        <v>540</v>
      </c>
      <c r="N81" t="s">
        <v>592</v>
      </c>
      <c r="O81" t="s">
        <v>540</v>
      </c>
      <c r="P81">
        <v>1</v>
      </c>
      <c r="Q81" t="s">
        <v>553</v>
      </c>
      <c r="R81">
        <v>84</v>
      </c>
    </row>
    <row r="82" spans="2:18">
      <c r="B82">
        <v>10</v>
      </c>
      <c r="C82" t="s">
        <v>533</v>
      </c>
      <c r="D82" t="s">
        <v>534</v>
      </c>
      <c r="E82" t="s">
        <v>494</v>
      </c>
      <c r="F82" t="s">
        <v>686</v>
      </c>
      <c r="G82" t="s">
        <v>593</v>
      </c>
      <c r="H82" t="s">
        <v>594</v>
      </c>
      <c r="I82" t="s">
        <v>595</v>
      </c>
      <c r="K82" t="s">
        <v>596</v>
      </c>
      <c r="L82" t="s">
        <v>532</v>
      </c>
      <c r="M82" t="s">
        <v>540</v>
      </c>
      <c r="N82" t="s">
        <v>597</v>
      </c>
      <c r="O82" t="s">
        <v>540</v>
      </c>
      <c r="P82">
        <v>1</v>
      </c>
      <c r="Q82" t="s">
        <v>553</v>
      </c>
      <c r="R82">
        <v>165</v>
      </c>
    </row>
    <row r="83" spans="2:18">
      <c r="B83">
        <v>11</v>
      </c>
      <c r="C83" t="s">
        <v>533</v>
      </c>
      <c r="D83" t="s">
        <v>534</v>
      </c>
      <c r="E83" t="s">
        <v>494</v>
      </c>
      <c r="F83" t="s">
        <v>686</v>
      </c>
      <c r="G83" t="s">
        <v>559</v>
      </c>
      <c r="H83" t="s">
        <v>598</v>
      </c>
      <c r="I83" t="s">
        <v>599</v>
      </c>
      <c r="K83" t="s">
        <v>600</v>
      </c>
      <c r="L83" t="s">
        <v>532</v>
      </c>
      <c r="M83" t="s">
        <v>540</v>
      </c>
      <c r="N83" t="s">
        <v>540</v>
      </c>
      <c r="O83" t="s">
        <v>540</v>
      </c>
      <c r="P83">
        <v>1</v>
      </c>
      <c r="Q83" t="s">
        <v>553</v>
      </c>
      <c r="R83">
        <v>43</v>
      </c>
    </row>
    <row r="84" spans="2:18">
      <c r="B84">
        <v>12</v>
      </c>
      <c r="C84" t="s">
        <v>533</v>
      </c>
      <c r="D84" t="s">
        <v>534</v>
      </c>
      <c r="E84" t="s">
        <v>494</v>
      </c>
      <c r="F84" t="s">
        <v>686</v>
      </c>
      <c r="G84" t="s">
        <v>559</v>
      </c>
      <c r="H84" t="s">
        <v>601</v>
      </c>
      <c r="I84" t="s">
        <v>602</v>
      </c>
      <c r="K84" t="s">
        <v>603</v>
      </c>
      <c r="L84" t="s">
        <v>532</v>
      </c>
      <c r="M84" t="s">
        <v>540</v>
      </c>
      <c r="N84" t="s">
        <v>604</v>
      </c>
      <c r="O84" t="s">
        <v>540</v>
      </c>
      <c r="P84">
        <v>1</v>
      </c>
      <c r="Q84" t="s">
        <v>553</v>
      </c>
      <c r="R84">
        <v>77</v>
      </c>
    </row>
    <row r="85" spans="2:18">
      <c r="B85">
        <v>13</v>
      </c>
      <c r="C85" t="s">
        <v>533</v>
      </c>
      <c r="D85" t="s">
        <v>534</v>
      </c>
      <c r="E85" t="s">
        <v>494</v>
      </c>
      <c r="F85" t="s">
        <v>686</v>
      </c>
      <c r="G85" t="s">
        <v>536</v>
      </c>
      <c r="H85" t="s">
        <v>605</v>
      </c>
      <c r="I85" t="s">
        <v>606</v>
      </c>
      <c r="K85" t="s">
        <v>607</v>
      </c>
      <c r="L85" t="s">
        <v>532</v>
      </c>
      <c r="M85" t="s">
        <v>540</v>
      </c>
      <c r="N85" t="s">
        <v>608</v>
      </c>
      <c r="O85" t="s">
        <v>540</v>
      </c>
      <c r="P85">
        <v>2</v>
      </c>
      <c r="Q85" t="s">
        <v>609</v>
      </c>
      <c r="R85">
        <v>424</v>
      </c>
    </row>
    <row r="86" spans="2:18">
      <c r="B86">
        <v>14</v>
      </c>
      <c r="C86" t="s">
        <v>533</v>
      </c>
      <c r="D86" t="s">
        <v>534</v>
      </c>
      <c r="E86" t="s">
        <v>494</v>
      </c>
      <c r="F86" t="s">
        <v>686</v>
      </c>
      <c r="G86" t="s">
        <v>610</v>
      </c>
      <c r="H86" t="s">
        <v>611</v>
      </c>
      <c r="I86" t="s">
        <v>687</v>
      </c>
      <c r="K86" t="s">
        <v>688</v>
      </c>
      <c r="L86" t="s">
        <v>532</v>
      </c>
      <c r="M86" t="s">
        <v>540</v>
      </c>
      <c r="N86" t="s">
        <v>614</v>
      </c>
      <c r="O86" t="s">
        <v>540</v>
      </c>
      <c r="P86">
        <v>1</v>
      </c>
      <c r="Q86" t="s">
        <v>689</v>
      </c>
      <c r="R86">
        <v>77</v>
      </c>
    </row>
    <row r="87" spans="2:18">
      <c r="B87">
        <v>14</v>
      </c>
      <c r="C87" t="s">
        <v>533</v>
      </c>
      <c r="D87" t="s">
        <v>534</v>
      </c>
      <c r="E87" t="s">
        <v>494</v>
      </c>
      <c r="F87" t="s">
        <v>686</v>
      </c>
      <c r="G87" t="s">
        <v>610</v>
      </c>
      <c r="H87" t="s">
        <v>611</v>
      </c>
      <c r="I87" t="s">
        <v>612</v>
      </c>
      <c r="K87" t="s">
        <v>613</v>
      </c>
      <c r="L87" t="s">
        <v>532</v>
      </c>
      <c r="M87" t="s">
        <v>540</v>
      </c>
      <c r="N87" t="s">
        <v>614</v>
      </c>
      <c r="O87" t="s">
        <v>540</v>
      </c>
      <c r="P87">
        <v>1</v>
      </c>
      <c r="Q87" t="s">
        <v>615</v>
      </c>
      <c r="R87">
        <v>53</v>
      </c>
    </row>
    <row r="88" spans="2:18">
      <c r="B88">
        <v>15</v>
      </c>
      <c r="C88" t="s">
        <v>533</v>
      </c>
      <c r="D88" t="s">
        <v>534</v>
      </c>
      <c r="E88" t="s">
        <v>494</v>
      </c>
      <c r="F88" t="s">
        <v>686</v>
      </c>
      <c r="G88" t="s">
        <v>559</v>
      </c>
      <c r="H88" t="s">
        <v>477</v>
      </c>
      <c r="I88" t="s">
        <v>616</v>
      </c>
      <c r="K88" t="s">
        <v>617</v>
      </c>
      <c r="L88" t="s">
        <v>532</v>
      </c>
      <c r="M88" t="s">
        <v>540</v>
      </c>
      <c r="N88" t="s">
        <v>540</v>
      </c>
      <c r="O88" t="s">
        <v>540</v>
      </c>
      <c r="P88">
        <v>1</v>
      </c>
      <c r="Q88" t="s">
        <v>618</v>
      </c>
      <c r="R88">
        <v>875</v>
      </c>
    </row>
    <row r="89" spans="2:18">
      <c r="B89">
        <v>16</v>
      </c>
      <c r="C89" t="s">
        <v>533</v>
      </c>
      <c r="D89" t="s">
        <v>534</v>
      </c>
      <c r="E89" t="s">
        <v>494</v>
      </c>
      <c r="F89" t="s">
        <v>686</v>
      </c>
      <c r="G89" t="s">
        <v>559</v>
      </c>
      <c r="H89" t="s">
        <v>626</v>
      </c>
      <c r="I89" t="s">
        <v>627</v>
      </c>
      <c r="K89" t="s">
        <v>628</v>
      </c>
      <c r="L89" t="s">
        <v>532</v>
      </c>
      <c r="M89" t="s">
        <v>540</v>
      </c>
      <c r="N89" t="s">
        <v>540</v>
      </c>
      <c r="O89" t="s">
        <v>540</v>
      </c>
      <c r="P89">
        <v>1</v>
      </c>
      <c r="Q89" t="s">
        <v>629</v>
      </c>
      <c r="R89">
        <v>58</v>
      </c>
    </row>
    <row r="90" spans="2:18">
      <c r="B90">
        <v>17</v>
      </c>
      <c r="C90" t="s">
        <v>533</v>
      </c>
      <c r="D90" t="s">
        <v>534</v>
      </c>
      <c r="E90" t="s">
        <v>494</v>
      </c>
      <c r="F90" t="s">
        <v>558</v>
      </c>
      <c r="G90" t="s">
        <v>536</v>
      </c>
      <c r="H90" t="s">
        <v>690</v>
      </c>
      <c r="I90" t="s">
        <v>691</v>
      </c>
      <c r="K90" t="s">
        <v>692</v>
      </c>
      <c r="L90" t="s">
        <v>532</v>
      </c>
      <c r="M90" t="s">
        <v>540</v>
      </c>
      <c r="N90" t="s">
        <v>693</v>
      </c>
      <c r="O90" t="s">
        <v>540</v>
      </c>
      <c r="P90">
        <v>1</v>
      </c>
      <c r="Q90" t="s">
        <v>609</v>
      </c>
      <c r="R90">
        <v>800</v>
      </c>
    </row>
    <row r="91" spans="2:18">
      <c r="B91">
        <v>18</v>
      </c>
      <c r="C91" t="s">
        <v>533</v>
      </c>
      <c r="D91" t="s">
        <v>534</v>
      </c>
      <c r="E91" t="s">
        <v>494</v>
      </c>
      <c r="F91" t="s">
        <v>558</v>
      </c>
      <c r="G91" t="s">
        <v>536</v>
      </c>
      <c r="H91" t="s">
        <v>605</v>
      </c>
      <c r="I91" t="s">
        <v>606</v>
      </c>
      <c r="K91" t="s">
        <v>607</v>
      </c>
      <c r="L91" t="s">
        <v>532</v>
      </c>
      <c r="M91" t="s">
        <v>540</v>
      </c>
      <c r="N91" t="s">
        <v>608</v>
      </c>
      <c r="O91" t="s">
        <v>540</v>
      </c>
      <c r="P91">
        <v>1</v>
      </c>
      <c r="Q91" t="s">
        <v>609</v>
      </c>
      <c r="R91">
        <v>424</v>
      </c>
    </row>
    <row r="92" spans="2:18">
      <c r="B92">
        <v>19</v>
      </c>
      <c r="C92" t="s">
        <v>533</v>
      </c>
      <c r="D92" t="s">
        <v>534</v>
      </c>
      <c r="E92" t="s">
        <v>494</v>
      </c>
      <c r="F92" t="s">
        <v>558</v>
      </c>
      <c r="G92" t="s">
        <v>610</v>
      </c>
      <c r="H92" t="s">
        <v>611</v>
      </c>
      <c r="I92" t="s">
        <v>687</v>
      </c>
      <c r="K92" t="s">
        <v>688</v>
      </c>
      <c r="L92" t="s">
        <v>532</v>
      </c>
      <c r="M92" t="s">
        <v>540</v>
      </c>
      <c r="N92" t="s">
        <v>614</v>
      </c>
      <c r="O92" t="s">
        <v>540</v>
      </c>
      <c r="P92">
        <v>1</v>
      </c>
      <c r="Q92" t="s">
        <v>689</v>
      </c>
      <c r="R92">
        <v>77</v>
      </c>
    </row>
    <row r="93" spans="2:18">
      <c r="B93">
        <v>20</v>
      </c>
      <c r="C93" t="s">
        <v>533</v>
      </c>
      <c r="D93" t="s">
        <v>534</v>
      </c>
      <c r="E93" t="s">
        <v>494</v>
      </c>
      <c r="F93" t="s">
        <v>558</v>
      </c>
      <c r="G93" t="s">
        <v>559</v>
      </c>
      <c r="H93" t="s">
        <v>564</v>
      </c>
      <c r="I93" t="s">
        <v>565</v>
      </c>
      <c r="K93" t="s">
        <v>566</v>
      </c>
      <c r="L93" t="s">
        <v>532</v>
      </c>
      <c r="M93" t="s">
        <v>540</v>
      </c>
      <c r="N93" t="s">
        <v>540</v>
      </c>
      <c r="O93" t="s">
        <v>540</v>
      </c>
      <c r="P93">
        <v>1</v>
      </c>
      <c r="Q93" t="s">
        <v>567</v>
      </c>
      <c r="R93">
        <v>640</v>
      </c>
    </row>
    <row r="94" spans="2:18">
      <c r="B94">
        <v>21</v>
      </c>
      <c r="C94" t="s">
        <v>533</v>
      </c>
      <c r="D94" t="s">
        <v>534</v>
      </c>
      <c r="E94" t="s">
        <v>494</v>
      </c>
      <c r="F94" t="s">
        <v>558</v>
      </c>
      <c r="G94" t="s">
        <v>559</v>
      </c>
      <c r="H94" t="s">
        <v>568</v>
      </c>
      <c r="I94" t="s">
        <v>569</v>
      </c>
      <c r="K94" t="s">
        <v>570</v>
      </c>
      <c r="L94" t="s">
        <v>532</v>
      </c>
      <c r="M94" t="s">
        <v>540</v>
      </c>
      <c r="N94" t="s">
        <v>540</v>
      </c>
      <c r="O94" t="s">
        <v>540</v>
      </c>
      <c r="P94">
        <v>1</v>
      </c>
      <c r="Q94" t="s">
        <v>567</v>
      </c>
      <c r="R94">
        <v>425</v>
      </c>
    </row>
    <row r="95" spans="2:18">
      <c r="B95">
        <v>22</v>
      </c>
      <c r="C95" t="s">
        <v>533</v>
      </c>
      <c r="D95" t="s">
        <v>534</v>
      </c>
      <c r="E95" t="s">
        <v>494</v>
      </c>
      <c r="F95" t="s">
        <v>558</v>
      </c>
      <c r="G95" t="s">
        <v>559</v>
      </c>
      <c r="H95" t="s">
        <v>571</v>
      </c>
      <c r="I95" t="s">
        <v>572</v>
      </c>
      <c r="K95" t="s">
        <v>573</v>
      </c>
      <c r="L95" t="s">
        <v>532</v>
      </c>
      <c r="M95" t="s">
        <v>540</v>
      </c>
      <c r="N95" t="s">
        <v>574</v>
      </c>
      <c r="O95" t="s">
        <v>540</v>
      </c>
      <c r="P95">
        <v>1</v>
      </c>
      <c r="Q95" t="s">
        <v>553</v>
      </c>
      <c r="R95">
        <v>959</v>
      </c>
    </row>
    <row r="96" spans="2:18">
      <c r="B96">
        <v>23</v>
      </c>
      <c r="C96" t="s">
        <v>533</v>
      </c>
      <c r="D96" t="s">
        <v>534</v>
      </c>
      <c r="E96" t="s">
        <v>494</v>
      </c>
      <c r="F96" t="s">
        <v>558</v>
      </c>
      <c r="G96" t="s">
        <v>575</v>
      </c>
      <c r="H96" t="s">
        <v>576</v>
      </c>
      <c r="I96" t="s">
        <v>577</v>
      </c>
      <c r="K96" t="s">
        <v>578</v>
      </c>
      <c r="L96" t="s">
        <v>532</v>
      </c>
      <c r="M96" t="s">
        <v>540</v>
      </c>
      <c r="N96" t="s">
        <v>540</v>
      </c>
      <c r="O96" t="s">
        <v>540</v>
      </c>
      <c r="P96">
        <v>1</v>
      </c>
      <c r="Q96" t="s">
        <v>553</v>
      </c>
      <c r="R96">
        <v>1680</v>
      </c>
    </row>
    <row r="97" spans="2:18">
      <c r="B97">
        <v>24</v>
      </c>
      <c r="C97" t="s">
        <v>533</v>
      </c>
      <c r="D97" t="s">
        <v>534</v>
      </c>
      <c r="E97" t="s">
        <v>494</v>
      </c>
      <c r="F97" t="s">
        <v>558</v>
      </c>
      <c r="G97" t="s">
        <v>579</v>
      </c>
      <c r="H97" t="s">
        <v>584</v>
      </c>
      <c r="I97" t="s">
        <v>585</v>
      </c>
      <c r="K97" t="s">
        <v>586</v>
      </c>
      <c r="L97" t="s">
        <v>532</v>
      </c>
      <c r="M97" t="s">
        <v>540</v>
      </c>
      <c r="N97" t="s">
        <v>587</v>
      </c>
      <c r="O97" t="s">
        <v>540</v>
      </c>
      <c r="P97">
        <v>1</v>
      </c>
      <c r="Q97" t="s">
        <v>553</v>
      </c>
      <c r="R97">
        <v>74</v>
      </c>
    </row>
    <row r="98" spans="2:18">
      <c r="B98">
        <v>25</v>
      </c>
      <c r="C98" t="s">
        <v>533</v>
      </c>
      <c r="D98" t="s">
        <v>534</v>
      </c>
      <c r="E98" t="s">
        <v>494</v>
      </c>
      <c r="F98" t="s">
        <v>558</v>
      </c>
      <c r="G98" t="s">
        <v>588</v>
      </c>
      <c r="H98" t="s">
        <v>589</v>
      </c>
      <c r="I98" t="s">
        <v>590</v>
      </c>
      <c r="K98" t="s">
        <v>591</v>
      </c>
      <c r="L98" t="s">
        <v>532</v>
      </c>
      <c r="M98" t="s">
        <v>540</v>
      </c>
      <c r="N98" t="s">
        <v>592</v>
      </c>
      <c r="O98" t="s">
        <v>540</v>
      </c>
      <c r="P98">
        <v>1</v>
      </c>
      <c r="Q98" t="s">
        <v>553</v>
      </c>
      <c r="R98">
        <v>84</v>
      </c>
    </row>
    <row r="99" spans="2:18">
      <c r="B99">
        <v>26</v>
      </c>
      <c r="C99" t="s">
        <v>533</v>
      </c>
      <c r="D99" t="s">
        <v>534</v>
      </c>
      <c r="E99" t="s">
        <v>494</v>
      </c>
      <c r="F99" t="s">
        <v>630</v>
      </c>
      <c r="G99" t="s">
        <v>593</v>
      </c>
      <c r="H99" t="s">
        <v>631</v>
      </c>
      <c r="I99" t="s">
        <v>632</v>
      </c>
      <c r="K99" t="s">
        <v>633</v>
      </c>
      <c r="L99" t="s">
        <v>532</v>
      </c>
      <c r="M99" t="s">
        <v>540</v>
      </c>
      <c r="N99" t="s">
        <v>540</v>
      </c>
      <c r="O99" t="s">
        <v>540</v>
      </c>
      <c r="P99">
        <v>1</v>
      </c>
      <c r="Q99" t="s">
        <v>553</v>
      </c>
      <c r="R99">
        <v>41</v>
      </c>
    </row>
    <row r="100" spans="2:18">
      <c r="B100">
        <v>27</v>
      </c>
      <c r="C100" t="s">
        <v>533</v>
      </c>
      <c r="D100" t="s">
        <v>534</v>
      </c>
      <c r="E100" t="s">
        <v>494</v>
      </c>
      <c r="F100" t="s">
        <v>630</v>
      </c>
      <c r="G100" t="s">
        <v>536</v>
      </c>
      <c r="H100" t="s">
        <v>634</v>
      </c>
      <c r="I100" t="s">
        <v>635</v>
      </c>
      <c r="K100" t="s">
        <v>636</v>
      </c>
      <c r="L100" t="s">
        <v>532</v>
      </c>
      <c r="M100" t="s">
        <v>540</v>
      </c>
      <c r="N100" t="s">
        <v>637</v>
      </c>
      <c r="O100" t="s">
        <v>540</v>
      </c>
      <c r="P100">
        <v>1</v>
      </c>
      <c r="Q100" t="s">
        <v>609</v>
      </c>
      <c r="R100">
        <v>290</v>
      </c>
    </row>
    <row r="101" spans="2:18">
      <c r="B101">
        <v>28</v>
      </c>
      <c r="C101" t="s">
        <v>533</v>
      </c>
      <c r="D101" t="s">
        <v>534</v>
      </c>
      <c r="E101" t="s">
        <v>494</v>
      </c>
      <c r="F101" t="s">
        <v>630</v>
      </c>
      <c r="G101" t="s">
        <v>575</v>
      </c>
      <c r="H101" t="s">
        <v>638</v>
      </c>
      <c r="I101" t="s">
        <v>639</v>
      </c>
      <c r="K101" t="s">
        <v>640</v>
      </c>
      <c r="L101" t="s">
        <v>532</v>
      </c>
      <c r="M101" t="s">
        <v>540</v>
      </c>
      <c r="N101" t="s">
        <v>641</v>
      </c>
      <c r="O101" t="s">
        <v>540</v>
      </c>
      <c r="P101">
        <v>1</v>
      </c>
      <c r="Q101" t="s">
        <v>553</v>
      </c>
      <c r="R101">
        <v>100</v>
      </c>
    </row>
    <row r="102" spans="2:18">
      <c r="B102">
        <v>29</v>
      </c>
      <c r="C102" t="s">
        <v>533</v>
      </c>
      <c r="D102" t="s">
        <v>534</v>
      </c>
      <c r="E102" t="s">
        <v>494</v>
      </c>
      <c r="F102" t="s">
        <v>630</v>
      </c>
      <c r="G102" t="s">
        <v>559</v>
      </c>
      <c r="H102" t="s">
        <v>642</v>
      </c>
      <c r="I102" t="s">
        <v>643</v>
      </c>
      <c r="K102" t="s">
        <v>644</v>
      </c>
      <c r="L102" t="s">
        <v>532</v>
      </c>
      <c r="M102" t="s">
        <v>540</v>
      </c>
      <c r="N102" t="s">
        <v>645</v>
      </c>
      <c r="O102" t="s">
        <v>540</v>
      </c>
      <c r="P102">
        <v>1</v>
      </c>
      <c r="Q102" t="s">
        <v>646</v>
      </c>
      <c r="R102">
        <v>55</v>
      </c>
    </row>
    <row r="103" spans="2:18">
      <c r="B103">
        <v>30</v>
      </c>
      <c r="C103" t="s">
        <v>533</v>
      </c>
      <c r="D103" t="s">
        <v>534</v>
      </c>
      <c r="E103" t="s">
        <v>494</v>
      </c>
      <c r="F103" t="s">
        <v>630</v>
      </c>
      <c r="G103" t="s">
        <v>579</v>
      </c>
      <c r="H103" t="s">
        <v>647</v>
      </c>
      <c r="I103" t="s">
        <v>648</v>
      </c>
      <c r="K103" t="s">
        <v>649</v>
      </c>
      <c r="L103" t="s">
        <v>532</v>
      </c>
      <c r="M103" t="s">
        <v>540</v>
      </c>
      <c r="N103" t="s">
        <v>592</v>
      </c>
      <c r="O103" t="s">
        <v>540</v>
      </c>
      <c r="P103">
        <v>1</v>
      </c>
      <c r="Q103" t="s">
        <v>553</v>
      </c>
      <c r="R103">
        <v>66.26</v>
      </c>
    </row>
    <row r="104" spans="2:18">
      <c r="B104">
        <v>31</v>
      </c>
      <c r="C104" t="s">
        <v>533</v>
      </c>
      <c r="D104" t="s">
        <v>534</v>
      </c>
      <c r="E104" t="s">
        <v>494</v>
      </c>
      <c r="F104" t="s">
        <v>630</v>
      </c>
      <c r="G104" t="s">
        <v>650</v>
      </c>
      <c r="H104" t="s">
        <v>651</v>
      </c>
      <c r="I104" t="s">
        <v>652</v>
      </c>
      <c r="K104" t="s">
        <v>653</v>
      </c>
      <c r="L104" t="s">
        <v>532</v>
      </c>
      <c r="M104" t="s">
        <v>540</v>
      </c>
      <c r="N104" t="s">
        <v>654</v>
      </c>
      <c r="O104" t="s">
        <v>540</v>
      </c>
      <c r="P104">
        <v>1</v>
      </c>
      <c r="Q104" t="s">
        <v>553</v>
      </c>
      <c r="R104">
        <v>101</v>
      </c>
    </row>
    <row r="105" spans="2:18">
      <c r="B105">
        <v>32</v>
      </c>
      <c r="C105" t="s">
        <v>533</v>
      </c>
      <c r="D105" t="s">
        <v>534</v>
      </c>
      <c r="E105" t="s">
        <v>494</v>
      </c>
      <c r="F105" t="s">
        <v>630</v>
      </c>
      <c r="G105" t="s">
        <v>650</v>
      </c>
      <c r="H105" t="s">
        <v>655</v>
      </c>
      <c r="I105" t="s">
        <v>656</v>
      </c>
      <c r="K105" t="s">
        <v>657</v>
      </c>
      <c r="L105" t="s">
        <v>532</v>
      </c>
      <c r="M105" t="s">
        <v>540</v>
      </c>
      <c r="N105" t="s">
        <v>658</v>
      </c>
      <c r="O105" t="s">
        <v>540</v>
      </c>
      <c r="P105">
        <v>1</v>
      </c>
      <c r="Q105" t="s">
        <v>553</v>
      </c>
      <c r="R105">
        <v>418</v>
      </c>
    </row>
    <row r="106" spans="2:18">
      <c r="B106">
        <v>33</v>
      </c>
      <c r="C106" t="s">
        <v>533</v>
      </c>
      <c r="D106" t="s">
        <v>534</v>
      </c>
      <c r="E106" t="s">
        <v>494</v>
      </c>
      <c r="F106" t="s">
        <v>630</v>
      </c>
      <c r="G106" t="s">
        <v>650</v>
      </c>
      <c r="H106" t="s">
        <v>659</v>
      </c>
      <c r="I106" t="s">
        <v>660</v>
      </c>
      <c r="K106" t="s">
        <v>661</v>
      </c>
      <c r="L106" t="s">
        <v>532</v>
      </c>
      <c r="M106" t="s">
        <v>540</v>
      </c>
      <c r="N106" t="s">
        <v>662</v>
      </c>
      <c r="O106" t="s">
        <v>540</v>
      </c>
      <c r="P106">
        <v>1</v>
      </c>
      <c r="Q106" t="s">
        <v>553</v>
      </c>
      <c r="R106">
        <v>37</v>
      </c>
    </row>
    <row r="107" spans="2:18">
      <c r="B107">
        <v>34</v>
      </c>
      <c r="C107" t="s">
        <v>533</v>
      </c>
      <c r="D107" t="s">
        <v>534</v>
      </c>
      <c r="E107" t="s">
        <v>494</v>
      </c>
      <c r="F107" t="s">
        <v>630</v>
      </c>
      <c r="G107" t="s">
        <v>575</v>
      </c>
      <c r="H107" t="s">
        <v>663</v>
      </c>
      <c r="I107" t="s">
        <v>664</v>
      </c>
      <c r="K107" t="s">
        <v>665</v>
      </c>
      <c r="L107" t="s">
        <v>532</v>
      </c>
      <c r="M107" t="s">
        <v>540</v>
      </c>
      <c r="N107" t="s">
        <v>666</v>
      </c>
      <c r="O107" t="s">
        <v>540</v>
      </c>
      <c r="P107">
        <v>1</v>
      </c>
      <c r="Q107" t="s">
        <v>667</v>
      </c>
      <c r="R107">
        <v>370</v>
      </c>
    </row>
    <row r="108" spans="2:18">
      <c r="B108">
        <v>35</v>
      </c>
      <c r="C108" t="s">
        <v>533</v>
      </c>
      <c r="D108" t="s">
        <v>534</v>
      </c>
      <c r="E108" t="s">
        <v>494</v>
      </c>
      <c r="F108" t="s">
        <v>630</v>
      </c>
      <c r="G108" t="s">
        <v>548</v>
      </c>
      <c r="H108" t="s">
        <v>668</v>
      </c>
      <c r="I108" t="s">
        <v>669</v>
      </c>
      <c r="K108" t="s">
        <v>670</v>
      </c>
      <c r="L108" t="s">
        <v>532</v>
      </c>
      <c r="M108" t="s">
        <v>540</v>
      </c>
      <c r="N108" t="s">
        <v>671</v>
      </c>
      <c r="O108" t="s">
        <v>540</v>
      </c>
      <c r="P108">
        <v>1</v>
      </c>
      <c r="Q108" t="s">
        <v>567</v>
      </c>
      <c r="R108">
        <v>4.7</v>
      </c>
    </row>
    <row r="109" spans="2:18">
      <c r="B109">
        <v>36</v>
      </c>
      <c r="C109" t="s">
        <v>533</v>
      </c>
      <c r="D109" t="s">
        <v>534</v>
      </c>
      <c r="E109" t="s">
        <v>494</v>
      </c>
      <c r="F109" t="s">
        <v>630</v>
      </c>
      <c r="G109" t="s">
        <v>650</v>
      </c>
      <c r="H109" t="s">
        <v>672</v>
      </c>
      <c r="I109" t="s">
        <v>673</v>
      </c>
      <c r="K109" t="s">
        <v>674</v>
      </c>
      <c r="L109" t="s">
        <v>532</v>
      </c>
      <c r="M109" t="s">
        <v>540</v>
      </c>
      <c r="N109" t="s">
        <v>675</v>
      </c>
      <c r="O109" t="s">
        <v>540</v>
      </c>
      <c r="P109">
        <v>1</v>
      </c>
      <c r="Q109" t="s">
        <v>618</v>
      </c>
      <c r="R109">
        <v>370</v>
      </c>
    </row>
    <row r="110" spans="2:18">
      <c r="B110">
        <v>37</v>
      </c>
      <c r="C110" t="s">
        <v>533</v>
      </c>
      <c r="D110" t="s">
        <v>534</v>
      </c>
      <c r="E110" t="s">
        <v>494</v>
      </c>
      <c r="F110" t="s">
        <v>630</v>
      </c>
      <c r="G110" t="s">
        <v>650</v>
      </c>
      <c r="H110" t="s">
        <v>676</v>
      </c>
      <c r="I110" t="s">
        <v>677</v>
      </c>
      <c r="K110" t="s">
        <v>678</v>
      </c>
      <c r="L110" t="s">
        <v>532</v>
      </c>
      <c r="M110" t="s">
        <v>540</v>
      </c>
      <c r="N110" t="s">
        <v>679</v>
      </c>
      <c r="O110" t="s">
        <v>540</v>
      </c>
      <c r="P110">
        <v>1</v>
      </c>
      <c r="Q110" t="s">
        <v>553</v>
      </c>
      <c r="R110">
        <v>39.5</v>
      </c>
    </row>
    <row r="111" spans="2:18">
      <c r="B111">
        <v>38</v>
      </c>
      <c r="C111" t="s">
        <v>533</v>
      </c>
      <c r="D111" t="s">
        <v>534</v>
      </c>
      <c r="E111" t="s">
        <v>494</v>
      </c>
      <c r="F111" t="s">
        <v>630</v>
      </c>
      <c r="G111" t="s">
        <v>650</v>
      </c>
      <c r="H111" t="s">
        <v>680</v>
      </c>
      <c r="I111" t="s">
        <v>681</v>
      </c>
      <c r="K111" t="s">
        <v>682</v>
      </c>
      <c r="L111" t="s">
        <v>532</v>
      </c>
      <c r="M111" t="s">
        <v>540</v>
      </c>
      <c r="N111" t="s">
        <v>679</v>
      </c>
      <c r="O111" t="s">
        <v>540</v>
      </c>
      <c r="P111">
        <v>1</v>
      </c>
      <c r="Q111" t="s">
        <v>553</v>
      </c>
      <c r="R111">
        <v>17.2</v>
      </c>
    </row>
    <row r="112" spans="2:18">
      <c r="B112">
        <v>1</v>
      </c>
      <c r="C112" t="s">
        <v>533</v>
      </c>
      <c r="D112" t="s">
        <v>534</v>
      </c>
      <c r="E112" t="s">
        <v>495</v>
      </c>
      <c r="F112" t="s">
        <v>535</v>
      </c>
      <c r="G112" t="s">
        <v>536</v>
      </c>
      <c r="H112" t="s">
        <v>537</v>
      </c>
      <c r="I112" t="s">
        <v>538</v>
      </c>
      <c r="K112" t="s">
        <v>539</v>
      </c>
      <c r="L112" t="s">
        <v>532</v>
      </c>
      <c r="M112" t="s">
        <v>540</v>
      </c>
      <c r="N112" t="s">
        <v>541</v>
      </c>
      <c r="O112" t="s">
        <v>540</v>
      </c>
      <c r="P112">
        <v>1</v>
      </c>
      <c r="Q112" t="s">
        <v>542</v>
      </c>
      <c r="R112">
        <v>920</v>
      </c>
    </row>
    <row r="113" spans="2:18">
      <c r="B113">
        <v>2</v>
      </c>
      <c r="C113" t="s">
        <v>533</v>
      </c>
      <c r="D113" t="s">
        <v>534</v>
      </c>
      <c r="E113" t="s">
        <v>495</v>
      </c>
      <c r="F113" t="s">
        <v>535</v>
      </c>
      <c r="G113" t="s">
        <v>536</v>
      </c>
      <c r="H113" t="s">
        <v>543</v>
      </c>
      <c r="I113" t="s">
        <v>544</v>
      </c>
      <c r="K113" t="s">
        <v>545</v>
      </c>
      <c r="L113" t="s">
        <v>532</v>
      </c>
      <c r="M113" t="s">
        <v>540</v>
      </c>
      <c r="N113" t="s">
        <v>546</v>
      </c>
      <c r="O113" t="s">
        <v>540</v>
      </c>
      <c r="P113">
        <v>1</v>
      </c>
      <c r="Q113" t="s">
        <v>547</v>
      </c>
      <c r="R113">
        <v>380</v>
      </c>
    </row>
    <row r="114" spans="2:18">
      <c r="B114">
        <v>3</v>
      </c>
      <c r="C114" t="s">
        <v>533</v>
      </c>
      <c r="D114" t="s">
        <v>534</v>
      </c>
      <c r="E114" t="s">
        <v>495</v>
      </c>
      <c r="F114" t="s">
        <v>535</v>
      </c>
      <c r="G114" t="s">
        <v>548</v>
      </c>
      <c r="H114" t="s">
        <v>549</v>
      </c>
      <c r="I114" t="s">
        <v>550</v>
      </c>
      <c r="K114" t="s">
        <v>551</v>
      </c>
      <c r="L114" t="s">
        <v>532</v>
      </c>
      <c r="M114" t="s">
        <v>540</v>
      </c>
      <c r="N114" t="s">
        <v>552</v>
      </c>
      <c r="O114" t="s">
        <v>540</v>
      </c>
      <c r="P114">
        <v>1</v>
      </c>
      <c r="Q114" t="s">
        <v>553</v>
      </c>
      <c r="R114">
        <v>14</v>
      </c>
    </row>
    <row r="115" spans="2:18">
      <c r="B115">
        <v>4</v>
      </c>
      <c r="C115" t="s">
        <v>533</v>
      </c>
      <c r="D115" t="s">
        <v>534</v>
      </c>
      <c r="E115" t="s">
        <v>495</v>
      </c>
      <c r="F115" t="s">
        <v>535</v>
      </c>
      <c r="G115" t="s">
        <v>548</v>
      </c>
      <c r="H115" t="s">
        <v>554</v>
      </c>
      <c r="I115" t="s">
        <v>555</v>
      </c>
      <c r="K115" t="s">
        <v>556</v>
      </c>
      <c r="L115" t="s">
        <v>532</v>
      </c>
      <c r="M115" t="s">
        <v>540</v>
      </c>
      <c r="N115" t="s">
        <v>557</v>
      </c>
      <c r="O115" t="s">
        <v>540</v>
      </c>
      <c r="P115">
        <v>1</v>
      </c>
      <c r="Q115" t="s">
        <v>553</v>
      </c>
      <c r="R115">
        <v>33</v>
      </c>
    </row>
    <row r="116" spans="2:18">
      <c r="B116">
        <v>6</v>
      </c>
      <c r="C116" t="s">
        <v>533</v>
      </c>
      <c r="D116" t="s">
        <v>534</v>
      </c>
      <c r="E116" t="s">
        <v>495</v>
      </c>
      <c r="F116" t="s">
        <v>558</v>
      </c>
      <c r="G116" t="s">
        <v>559</v>
      </c>
      <c r="H116" t="s">
        <v>560</v>
      </c>
      <c r="I116" t="s">
        <v>561</v>
      </c>
      <c r="K116" t="s">
        <v>562</v>
      </c>
      <c r="L116" t="s">
        <v>532</v>
      </c>
      <c r="M116" t="s">
        <v>540</v>
      </c>
      <c r="N116" t="s">
        <v>563</v>
      </c>
      <c r="O116" t="s">
        <v>540</v>
      </c>
      <c r="P116">
        <v>1</v>
      </c>
      <c r="Q116" t="s">
        <v>553</v>
      </c>
      <c r="R116">
        <v>223</v>
      </c>
    </row>
    <row r="117" spans="2:18">
      <c r="B117">
        <v>7</v>
      </c>
      <c r="C117" t="s">
        <v>533</v>
      </c>
      <c r="D117" t="s">
        <v>534</v>
      </c>
      <c r="E117" t="s">
        <v>495</v>
      </c>
      <c r="F117" t="s">
        <v>558</v>
      </c>
      <c r="G117" t="s">
        <v>559</v>
      </c>
      <c r="H117" t="s">
        <v>564</v>
      </c>
      <c r="I117" t="s">
        <v>565</v>
      </c>
      <c r="K117" t="s">
        <v>566</v>
      </c>
      <c r="L117" t="s">
        <v>532</v>
      </c>
      <c r="M117" t="s">
        <v>540</v>
      </c>
      <c r="N117" t="s">
        <v>540</v>
      </c>
      <c r="O117" t="s">
        <v>540</v>
      </c>
      <c r="P117">
        <v>1</v>
      </c>
      <c r="Q117" t="s">
        <v>567</v>
      </c>
      <c r="R117">
        <v>640</v>
      </c>
    </row>
    <row r="118" spans="2:18">
      <c r="B118">
        <v>8</v>
      </c>
      <c r="C118" t="s">
        <v>533</v>
      </c>
      <c r="D118" t="s">
        <v>534</v>
      </c>
      <c r="E118" t="s">
        <v>495</v>
      </c>
      <c r="F118" t="s">
        <v>558</v>
      </c>
      <c r="G118" t="s">
        <v>559</v>
      </c>
      <c r="H118" t="s">
        <v>568</v>
      </c>
      <c r="I118" t="s">
        <v>569</v>
      </c>
      <c r="K118" t="s">
        <v>570</v>
      </c>
      <c r="L118" t="s">
        <v>532</v>
      </c>
      <c r="M118" t="s">
        <v>540</v>
      </c>
      <c r="N118" t="s">
        <v>540</v>
      </c>
      <c r="O118" t="s">
        <v>540</v>
      </c>
      <c r="P118">
        <v>1</v>
      </c>
      <c r="Q118" t="s">
        <v>567</v>
      </c>
      <c r="R118">
        <v>425</v>
      </c>
    </row>
    <row r="119" spans="2:18">
      <c r="B119">
        <v>9</v>
      </c>
      <c r="C119" t="s">
        <v>533</v>
      </c>
      <c r="D119" t="s">
        <v>534</v>
      </c>
      <c r="E119" t="s">
        <v>495</v>
      </c>
      <c r="F119" t="s">
        <v>558</v>
      </c>
      <c r="G119" t="s">
        <v>559</v>
      </c>
      <c r="H119" t="s">
        <v>571</v>
      </c>
      <c r="I119" t="s">
        <v>572</v>
      </c>
      <c r="K119" t="s">
        <v>573</v>
      </c>
      <c r="L119" t="s">
        <v>532</v>
      </c>
      <c r="M119" t="s">
        <v>540</v>
      </c>
      <c r="N119" t="s">
        <v>574</v>
      </c>
      <c r="O119" t="s">
        <v>540</v>
      </c>
      <c r="P119">
        <v>1</v>
      </c>
      <c r="Q119" t="s">
        <v>553</v>
      </c>
      <c r="R119">
        <v>959</v>
      </c>
    </row>
    <row r="120" spans="2:18">
      <c r="B120">
        <v>10</v>
      </c>
      <c r="C120" t="s">
        <v>533</v>
      </c>
      <c r="D120" t="s">
        <v>534</v>
      </c>
      <c r="E120" t="s">
        <v>495</v>
      </c>
      <c r="F120" t="s">
        <v>558</v>
      </c>
      <c r="G120" t="s">
        <v>575</v>
      </c>
      <c r="H120" t="s">
        <v>576</v>
      </c>
      <c r="I120" t="s">
        <v>577</v>
      </c>
      <c r="K120" t="s">
        <v>578</v>
      </c>
      <c r="L120" t="s">
        <v>532</v>
      </c>
      <c r="M120" t="s">
        <v>540</v>
      </c>
      <c r="N120" t="s">
        <v>540</v>
      </c>
      <c r="O120" t="s">
        <v>540</v>
      </c>
      <c r="P120">
        <v>1</v>
      </c>
      <c r="Q120" t="s">
        <v>553</v>
      </c>
      <c r="R120">
        <v>1680</v>
      </c>
    </row>
    <row r="121" spans="2:18">
      <c r="B121">
        <v>12</v>
      </c>
      <c r="C121" t="s">
        <v>533</v>
      </c>
      <c r="D121" t="s">
        <v>534</v>
      </c>
      <c r="E121" t="s">
        <v>495</v>
      </c>
      <c r="F121" t="s">
        <v>558</v>
      </c>
      <c r="G121" t="s">
        <v>579</v>
      </c>
      <c r="H121" t="s">
        <v>580</v>
      </c>
      <c r="I121" t="s">
        <v>581</v>
      </c>
      <c r="K121" t="s">
        <v>582</v>
      </c>
      <c r="L121" t="s">
        <v>532</v>
      </c>
      <c r="M121" t="s">
        <v>540</v>
      </c>
      <c r="N121" t="s">
        <v>583</v>
      </c>
      <c r="O121" t="s">
        <v>540</v>
      </c>
      <c r="P121">
        <v>1</v>
      </c>
      <c r="Q121" t="s">
        <v>553</v>
      </c>
      <c r="R121">
        <v>56</v>
      </c>
    </row>
    <row r="122" spans="2:18">
      <c r="B122">
        <v>12</v>
      </c>
      <c r="C122" t="s">
        <v>533</v>
      </c>
      <c r="D122" t="s">
        <v>534</v>
      </c>
      <c r="E122" t="s">
        <v>495</v>
      </c>
      <c r="F122" t="s">
        <v>558</v>
      </c>
      <c r="G122" t="s">
        <v>579</v>
      </c>
      <c r="H122" t="s">
        <v>584</v>
      </c>
      <c r="I122" t="s">
        <v>585</v>
      </c>
      <c r="K122" t="s">
        <v>586</v>
      </c>
      <c r="L122" t="s">
        <v>532</v>
      </c>
      <c r="M122" t="s">
        <v>540</v>
      </c>
      <c r="N122" t="s">
        <v>587</v>
      </c>
      <c r="O122" t="s">
        <v>540</v>
      </c>
      <c r="P122">
        <v>1</v>
      </c>
      <c r="Q122" t="s">
        <v>553</v>
      </c>
      <c r="R122">
        <v>74</v>
      </c>
    </row>
    <row r="123" spans="2:18">
      <c r="B123">
        <v>13</v>
      </c>
      <c r="C123" t="s">
        <v>533</v>
      </c>
      <c r="D123" t="s">
        <v>534</v>
      </c>
      <c r="E123" t="s">
        <v>495</v>
      </c>
      <c r="F123" t="s">
        <v>558</v>
      </c>
      <c r="G123" t="s">
        <v>588</v>
      </c>
      <c r="H123" t="s">
        <v>589</v>
      </c>
      <c r="I123" t="s">
        <v>590</v>
      </c>
      <c r="K123" t="s">
        <v>591</v>
      </c>
      <c r="L123" t="s">
        <v>532</v>
      </c>
      <c r="M123" t="s">
        <v>540</v>
      </c>
      <c r="N123" t="s">
        <v>592</v>
      </c>
      <c r="O123" t="s">
        <v>540</v>
      </c>
      <c r="P123">
        <v>1</v>
      </c>
      <c r="Q123" t="s">
        <v>553</v>
      </c>
      <c r="R123">
        <v>84</v>
      </c>
    </row>
    <row r="124" spans="2:18">
      <c r="B124">
        <v>14</v>
      </c>
      <c r="C124" t="s">
        <v>533</v>
      </c>
      <c r="D124" t="s">
        <v>534</v>
      </c>
      <c r="E124" t="s">
        <v>495</v>
      </c>
      <c r="F124" t="s">
        <v>558</v>
      </c>
      <c r="G124" t="s">
        <v>593</v>
      </c>
      <c r="H124" t="s">
        <v>594</v>
      </c>
      <c r="I124" t="s">
        <v>595</v>
      </c>
      <c r="K124" t="s">
        <v>596</v>
      </c>
      <c r="L124" t="s">
        <v>532</v>
      </c>
      <c r="M124" t="s">
        <v>540</v>
      </c>
      <c r="N124" t="s">
        <v>597</v>
      </c>
      <c r="O124" t="s">
        <v>540</v>
      </c>
      <c r="P124">
        <v>1</v>
      </c>
      <c r="Q124" t="s">
        <v>553</v>
      </c>
      <c r="R124">
        <v>165</v>
      </c>
    </row>
    <row r="125" spans="2:18">
      <c r="B125">
        <v>15</v>
      </c>
      <c r="C125" t="s">
        <v>533</v>
      </c>
      <c r="D125" t="s">
        <v>534</v>
      </c>
      <c r="E125" t="s">
        <v>495</v>
      </c>
      <c r="F125" t="s">
        <v>558</v>
      </c>
      <c r="G125" t="s">
        <v>559</v>
      </c>
      <c r="H125" t="s">
        <v>598</v>
      </c>
      <c r="I125" t="s">
        <v>599</v>
      </c>
      <c r="K125" t="s">
        <v>600</v>
      </c>
      <c r="L125" t="s">
        <v>532</v>
      </c>
      <c r="M125" t="s">
        <v>540</v>
      </c>
      <c r="N125" t="s">
        <v>540</v>
      </c>
      <c r="O125" t="s">
        <v>540</v>
      </c>
      <c r="P125">
        <v>1</v>
      </c>
      <c r="Q125" t="s">
        <v>553</v>
      </c>
      <c r="R125">
        <v>43</v>
      </c>
    </row>
    <row r="126" spans="2:18">
      <c r="B126">
        <v>17</v>
      </c>
      <c r="C126" t="s">
        <v>533</v>
      </c>
      <c r="D126" t="s">
        <v>534</v>
      </c>
      <c r="E126" t="s">
        <v>495</v>
      </c>
      <c r="F126" t="s">
        <v>558</v>
      </c>
      <c r="G126" t="s">
        <v>559</v>
      </c>
      <c r="H126" t="s">
        <v>601</v>
      </c>
      <c r="I126" t="s">
        <v>602</v>
      </c>
      <c r="K126" t="s">
        <v>603</v>
      </c>
      <c r="L126" t="s">
        <v>532</v>
      </c>
      <c r="M126" t="s">
        <v>540</v>
      </c>
      <c r="N126" t="s">
        <v>604</v>
      </c>
      <c r="O126" t="s">
        <v>540</v>
      </c>
      <c r="P126">
        <v>1</v>
      </c>
      <c r="Q126" t="s">
        <v>553</v>
      </c>
      <c r="R126">
        <v>77</v>
      </c>
    </row>
    <row r="127" spans="2:18">
      <c r="B127">
        <v>18</v>
      </c>
      <c r="C127" t="s">
        <v>533</v>
      </c>
      <c r="D127" t="s">
        <v>534</v>
      </c>
      <c r="E127" t="s">
        <v>495</v>
      </c>
      <c r="F127" t="s">
        <v>558</v>
      </c>
      <c r="G127" t="s">
        <v>536</v>
      </c>
      <c r="H127" t="s">
        <v>605</v>
      </c>
      <c r="I127" t="s">
        <v>606</v>
      </c>
      <c r="K127" t="s">
        <v>607</v>
      </c>
      <c r="L127" t="s">
        <v>532</v>
      </c>
      <c r="M127" t="s">
        <v>540</v>
      </c>
      <c r="N127" t="s">
        <v>608</v>
      </c>
      <c r="O127" t="s">
        <v>540</v>
      </c>
      <c r="P127">
        <v>2</v>
      </c>
      <c r="Q127" t="s">
        <v>609</v>
      </c>
      <c r="R127">
        <v>424</v>
      </c>
    </row>
    <row r="128" spans="2:18">
      <c r="B128">
        <v>19</v>
      </c>
      <c r="C128" t="s">
        <v>533</v>
      </c>
      <c r="D128" t="s">
        <v>534</v>
      </c>
      <c r="E128" t="s">
        <v>495</v>
      </c>
      <c r="F128" t="s">
        <v>558</v>
      </c>
      <c r="G128" t="s">
        <v>610</v>
      </c>
      <c r="H128" t="s">
        <v>611</v>
      </c>
      <c r="I128" t="s">
        <v>612</v>
      </c>
      <c r="K128" t="s">
        <v>613</v>
      </c>
      <c r="L128" t="s">
        <v>532</v>
      </c>
      <c r="M128" t="s">
        <v>540</v>
      </c>
      <c r="N128" t="s">
        <v>614</v>
      </c>
      <c r="O128" t="s">
        <v>540</v>
      </c>
      <c r="P128">
        <v>1</v>
      </c>
      <c r="Q128" t="s">
        <v>615</v>
      </c>
      <c r="R128">
        <v>53</v>
      </c>
    </row>
    <row r="129" spans="2:18">
      <c r="B129">
        <v>19</v>
      </c>
      <c r="C129" t="s">
        <v>533</v>
      </c>
      <c r="D129" t="s">
        <v>534</v>
      </c>
      <c r="E129" t="s">
        <v>495</v>
      </c>
      <c r="F129" t="s">
        <v>558</v>
      </c>
      <c r="G129" t="s">
        <v>610</v>
      </c>
      <c r="H129" t="s">
        <v>611</v>
      </c>
      <c r="I129" t="s">
        <v>687</v>
      </c>
      <c r="K129" t="s">
        <v>688</v>
      </c>
      <c r="L129" t="s">
        <v>532</v>
      </c>
      <c r="M129" t="s">
        <v>540</v>
      </c>
      <c r="N129" t="s">
        <v>614</v>
      </c>
      <c r="O129" t="s">
        <v>540</v>
      </c>
      <c r="P129">
        <v>1</v>
      </c>
      <c r="Q129" t="s">
        <v>689</v>
      </c>
      <c r="R129">
        <v>77</v>
      </c>
    </row>
    <row r="130" spans="2:18">
      <c r="B130">
        <v>20</v>
      </c>
      <c r="C130" t="s">
        <v>533</v>
      </c>
      <c r="D130" t="s">
        <v>534</v>
      </c>
      <c r="E130" t="s">
        <v>495</v>
      </c>
      <c r="F130" t="s">
        <v>558</v>
      </c>
      <c r="G130" t="s">
        <v>559</v>
      </c>
      <c r="H130" t="s">
        <v>477</v>
      </c>
      <c r="I130" t="s">
        <v>616</v>
      </c>
      <c r="K130" t="s">
        <v>617</v>
      </c>
      <c r="L130" t="s">
        <v>532</v>
      </c>
      <c r="M130" t="s">
        <v>540</v>
      </c>
      <c r="N130" t="s">
        <v>540</v>
      </c>
      <c r="O130" t="s">
        <v>540</v>
      </c>
      <c r="P130">
        <v>1</v>
      </c>
      <c r="Q130" t="s">
        <v>618</v>
      </c>
      <c r="R130">
        <v>875</v>
      </c>
    </row>
    <row r="131" spans="2:18">
      <c r="B131">
        <v>22</v>
      </c>
      <c r="C131" t="s">
        <v>533</v>
      </c>
      <c r="D131" t="s">
        <v>534</v>
      </c>
      <c r="E131" t="s">
        <v>495</v>
      </c>
      <c r="F131" t="s">
        <v>558</v>
      </c>
      <c r="G131" t="s">
        <v>559</v>
      </c>
      <c r="H131" t="s">
        <v>478</v>
      </c>
      <c r="I131" t="s">
        <v>683</v>
      </c>
      <c r="K131" t="s">
        <v>684</v>
      </c>
      <c r="L131" t="s">
        <v>532</v>
      </c>
      <c r="M131" t="s">
        <v>540</v>
      </c>
      <c r="N131" t="s">
        <v>685</v>
      </c>
      <c r="O131" t="s">
        <v>540</v>
      </c>
      <c r="P131">
        <v>1</v>
      </c>
      <c r="Q131" t="s">
        <v>567</v>
      </c>
      <c r="R131">
        <v>331</v>
      </c>
    </row>
    <row r="132" spans="2:18">
      <c r="B132">
        <v>23</v>
      </c>
      <c r="C132" t="s">
        <v>533</v>
      </c>
      <c r="D132" t="s">
        <v>534</v>
      </c>
      <c r="E132" t="s">
        <v>495</v>
      </c>
      <c r="F132" t="s">
        <v>558</v>
      </c>
      <c r="G132" t="s">
        <v>559</v>
      </c>
      <c r="H132" t="s">
        <v>622</v>
      </c>
      <c r="I132" t="s">
        <v>623</v>
      </c>
      <c r="K132" t="s">
        <v>624</v>
      </c>
      <c r="L132" t="s">
        <v>532</v>
      </c>
      <c r="M132" t="s">
        <v>540</v>
      </c>
      <c r="N132" t="s">
        <v>625</v>
      </c>
      <c r="O132" t="s">
        <v>540</v>
      </c>
      <c r="P132">
        <v>1</v>
      </c>
      <c r="Q132" t="s">
        <v>547</v>
      </c>
      <c r="R132">
        <v>92</v>
      </c>
    </row>
    <row r="133" spans="2:18">
      <c r="B133">
        <v>24</v>
      </c>
      <c r="C133" t="s">
        <v>533</v>
      </c>
      <c r="D133" t="s">
        <v>534</v>
      </c>
      <c r="E133" t="s">
        <v>495</v>
      </c>
      <c r="F133" t="s">
        <v>558</v>
      </c>
      <c r="G133" t="s">
        <v>559</v>
      </c>
      <c r="H133" t="s">
        <v>626</v>
      </c>
      <c r="I133" t="s">
        <v>627</v>
      </c>
      <c r="K133" t="s">
        <v>628</v>
      </c>
      <c r="L133" t="s">
        <v>532</v>
      </c>
      <c r="M133" t="s">
        <v>540</v>
      </c>
      <c r="N133" t="s">
        <v>540</v>
      </c>
      <c r="O133" t="s">
        <v>540</v>
      </c>
      <c r="P133">
        <v>1</v>
      </c>
      <c r="Q133" t="s">
        <v>629</v>
      </c>
      <c r="R133">
        <v>58</v>
      </c>
    </row>
    <row r="134" spans="2:18">
      <c r="B134">
        <v>21</v>
      </c>
      <c r="C134" t="s">
        <v>533</v>
      </c>
      <c r="D134" t="s">
        <v>534</v>
      </c>
      <c r="E134" t="s">
        <v>495</v>
      </c>
      <c r="F134" t="s">
        <v>630</v>
      </c>
      <c r="G134" t="s">
        <v>593</v>
      </c>
      <c r="H134" t="s">
        <v>631</v>
      </c>
      <c r="I134" t="s">
        <v>632</v>
      </c>
      <c r="K134" t="s">
        <v>633</v>
      </c>
      <c r="L134" t="s">
        <v>532</v>
      </c>
      <c r="M134" t="s">
        <v>540</v>
      </c>
      <c r="N134" t="s">
        <v>540</v>
      </c>
      <c r="O134" t="s">
        <v>540</v>
      </c>
      <c r="P134">
        <v>1</v>
      </c>
      <c r="Q134" t="s">
        <v>553</v>
      </c>
      <c r="R134">
        <v>41</v>
      </c>
    </row>
    <row r="135" spans="2:18">
      <c r="B135">
        <v>25</v>
      </c>
      <c r="C135" t="s">
        <v>533</v>
      </c>
      <c r="D135" t="s">
        <v>534</v>
      </c>
      <c r="E135" t="s">
        <v>495</v>
      </c>
      <c r="F135" t="s">
        <v>630</v>
      </c>
      <c r="G135" t="s">
        <v>536</v>
      </c>
      <c r="H135" t="s">
        <v>634</v>
      </c>
      <c r="I135" t="s">
        <v>635</v>
      </c>
      <c r="K135" t="s">
        <v>636</v>
      </c>
      <c r="L135" t="s">
        <v>532</v>
      </c>
      <c r="M135" t="s">
        <v>540</v>
      </c>
      <c r="N135" t="s">
        <v>637</v>
      </c>
      <c r="O135" t="s">
        <v>540</v>
      </c>
      <c r="P135">
        <v>1</v>
      </c>
      <c r="Q135" t="s">
        <v>609</v>
      </c>
      <c r="R135">
        <v>290</v>
      </c>
    </row>
    <row r="136" spans="2:18">
      <c r="B136">
        <v>26</v>
      </c>
      <c r="C136" t="s">
        <v>533</v>
      </c>
      <c r="D136" t="s">
        <v>534</v>
      </c>
      <c r="E136" t="s">
        <v>495</v>
      </c>
      <c r="F136" t="s">
        <v>630</v>
      </c>
      <c r="G136" t="s">
        <v>575</v>
      </c>
      <c r="H136" t="s">
        <v>638</v>
      </c>
      <c r="I136" t="s">
        <v>639</v>
      </c>
      <c r="K136" t="s">
        <v>640</v>
      </c>
      <c r="L136" t="s">
        <v>532</v>
      </c>
      <c r="M136" t="s">
        <v>540</v>
      </c>
      <c r="N136" t="s">
        <v>641</v>
      </c>
      <c r="O136" t="s">
        <v>540</v>
      </c>
      <c r="P136">
        <v>1</v>
      </c>
      <c r="Q136" t="s">
        <v>553</v>
      </c>
      <c r="R136">
        <v>100</v>
      </c>
    </row>
    <row r="137" spans="2:18">
      <c r="B137">
        <v>27</v>
      </c>
      <c r="C137" t="s">
        <v>533</v>
      </c>
      <c r="D137" t="s">
        <v>534</v>
      </c>
      <c r="E137" t="s">
        <v>495</v>
      </c>
      <c r="F137" t="s">
        <v>630</v>
      </c>
      <c r="G137" t="s">
        <v>559</v>
      </c>
      <c r="H137" t="s">
        <v>642</v>
      </c>
      <c r="I137" t="s">
        <v>643</v>
      </c>
      <c r="K137" t="s">
        <v>644</v>
      </c>
      <c r="L137" t="s">
        <v>532</v>
      </c>
      <c r="M137" t="s">
        <v>540</v>
      </c>
      <c r="N137" t="s">
        <v>645</v>
      </c>
      <c r="O137" t="s">
        <v>540</v>
      </c>
      <c r="P137">
        <v>1</v>
      </c>
      <c r="Q137" t="s">
        <v>646</v>
      </c>
      <c r="R137">
        <v>55</v>
      </c>
    </row>
    <row r="138" spans="2:18">
      <c r="B138">
        <v>28</v>
      </c>
      <c r="C138" t="s">
        <v>533</v>
      </c>
      <c r="D138" t="s">
        <v>534</v>
      </c>
      <c r="E138" t="s">
        <v>495</v>
      </c>
      <c r="F138" t="s">
        <v>630</v>
      </c>
      <c r="G138" t="s">
        <v>579</v>
      </c>
      <c r="H138" t="s">
        <v>647</v>
      </c>
      <c r="I138" t="s">
        <v>648</v>
      </c>
      <c r="K138" t="s">
        <v>649</v>
      </c>
      <c r="L138" t="s">
        <v>532</v>
      </c>
      <c r="M138" t="s">
        <v>540</v>
      </c>
      <c r="N138" t="s">
        <v>592</v>
      </c>
      <c r="O138" t="s">
        <v>540</v>
      </c>
      <c r="P138">
        <v>1</v>
      </c>
      <c r="Q138" t="s">
        <v>553</v>
      </c>
      <c r="R138">
        <v>66.26</v>
      </c>
    </row>
    <row r="139" spans="2:18">
      <c r="B139">
        <v>29</v>
      </c>
      <c r="C139" t="s">
        <v>533</v>
      </c>
      <c r="D139" t="s">
        <v>534</v>
      </c>
      <c r="E139" t="s">
        <v>495</v>
      </c>
      <c r="F139" t="s">
        <v>630</v>
      </c>
      <c r="G139" t="s">
        <v>650</v>
      </c>
      <c r="H139" t="s">
        <v>651</v>
      </c>
      <c r="I139" t="s">
        <v>652</v>
      </c>
      <c r="K139" t="s">
        <v>653</v>
      </c>
      <c r="L139" t="s">
        <v>532</v>
      </c>
      <c r="M139" t="s">
        <v>540</v>
      </c>
      <c r="N139" t="s">
        <v>654</v>
      </c>
      <c r="O139" t="s">
        <v>540</v>
      </c>
      <c r="P139">
        <v>1</v>
      </c>
      <c r="Q139" t="s">
        <v>553</v>
      </c>
      <c r="R139">
        <v>101</v>
      </c>
    </row>
    <row r="140" spans="2:18">
      <c r="B140">
        <v>30</v>
      </c>
      <c r="C140" t="s">
        <v>533</v>
      </c>
      <c r="D140" t="s">
        <v>534</v>
      </c>
      <c r="E140" t="s">
        <v>495</v>
      </c>
      <c r="F140" t="s">
        <v>630</v>
      </c>
      <c r="G140" t="s">
        <v>650</v>
      </c>
      <c r="H140" t="s">
        <v>655</v>
      </c>
      <c r="I140" t="s">
        <v>656</v>
      </c>
      <c r="K140" t="s">
        <v>657</v>
      </c>
      <c r="L140" t="s">
        <v>532</v>
      </c>
      <c r="M140" t="s">
        <v>540</v>
      </c>
      <c r="N140" t="s">
        <v>658</v>
      </c>
      <c r="O140" t="s">
        <v>540</v>
      </c>
      <c r="P140">
        <v>1</v>
      </c>
      <c r="Q140" t="s">
        <v>553</v>
      </c>
      <c r="R140">
        <v>418</v>
      </c>
    </row>
    <row r="141" spans="2:18">
      <c r="B141">
        <v>31</v>
      </c>
      <c r="C141" t="s">
        <v>533</v>
      </c>
      <c r="D141" t="s">
        <v>534</v>
      </c>
      <c r="E141" t="s">
        <v>495</v>
      </c>
      <c r="F141" t="s">
        <v>630</v>
      </c>
      <c r="G141" t="s">
        <v>650</v>
      </c>
      <c r="H141" t="s">
        <v>659</v>
      </c>
      <c r="I141" t="s">
        <v>660</v>
      </c>
      <c r="K141" t="s">
        <v>661</v>
      </c>
      <c r="L141" t="s">
        <v>532</v>
      </c>
      <c r="M141" t="s">
        <v>540</v>
      </c>
      <c r="N141" t="s">
        <v>662</v>
      </c>
      <c r="O141" t="s">
        <v>540</v>
      </c>
      <c r="P141">
        <v>1</v>
      </c>
      <c r="Q141" t="s">
        <v>553</v>
      </c>
      <c r="R141">
        <v>37</v>
      </c>
    </row>
    <row r="142" spans="2:18">
      <c r="B142">
        <v>32</v>
      </c>
      <c r="C142" t="s">
        <v>533</v>
      </c>
      <c r="D142" t="s">
        <v>534</v>
      </c>
      <c r="E142" t="s">
        <v>495</v>
      </c>
      <c r="F142" t="s">
        <v>630</v>
      </c>
      <c r="G142" t="s">
        <v>575</v>
      </c>
      <c r="H142" t="s">
        <v>663</v>
      </c>
      <c r="I142" t="s">
        <v>664</v>
      </c>
      <c r="K142" t="s">
        <v>665</v>
      </c>
      <c r="L142" t="s">
        <v>532</v>
      </c>
      <c r="M142" t="s">
        <v>540</v>
      </c>
      <c r="N142" t="s">
        <v>666</v>
      </c>
      <c r="O142" t="s">
        <v>540</v>
      </c>
      <c r="P142">
        <v>1</v>
      </c>
      <c r="Q142" t="s">
        <v>667</v>
      </c>
      <c r="R142">
        <v>370</v>
      </c>
    </row>
    <row r="143" spans="2:18">
      <c r="B143">
        <v>33</v>
      </c>
      <c r="C143" t="s">
        <v>533</v>
      </c>
      <c r="D143" t="s">
        <v>534</v>
      </c>
      <c r="E143" t="s">
        <v>495</v>
      </c>
      <c r="F143" t="s">
        <v>630</v>
      </c>
      <c r="G143" t="s">
        <v>548</v>
      </c>
      <c r="H143" t="s">
        <v>668</v>
      </c>
      <c r="I143" t="s">
        <v>669</v>
      </c>
      <c r="K143" t="s">
        <v>670</v>
      </c>
      <c r="L143" t="s">
        <v>532</v>
      </c>
      <c r="M143" t="s">
        <v>540</v>
      </c>
      <c r="N143" t="s">
        <v>671</v>
      </c>
      <c r="O143" t="s">
        <v>540</v>
      </c>
      <c r="P143">
        <v>1</v>
      </c>
      <c r="Q143" t="s">
        <v>567</v>
      </c>
      <c r="R143">
        <v>4.7</v>
      </c>
    </row>
    <row r="144" spans="2:18">
      <c r="B144">
        <v>34</v>
      </c>
      <c r="C144" t="s">
        <v>533</v>
      </c>
      <c r="D144" t="s">
        <v>534</v>
      </c>
      <c r="E144" t="s">
        <v>495</v>
      </c>
      <c r="F144" t="s">
        <v>630</v>
      </c>
      <c r="G144" t="s">
        <v>650</v>
      </c>
      <c r="H144" t="s">
        <v>672</v>
      </c>
      <c r="I144" t="s">
        <v>673</v>
      </c>
      <c r="K144" t="s">
        <v>674</v>
      </c>
      <c r="L144" t="s">
        <v>532</v>
      </c>
      <c r="M144" t="s">
        <v>540</v>
      </c>
      <c r="N144" t="s">
        <v>675</v>
      </c>
      <c r="O144" t="s">
        <v>540</v>
      </c>
      <c r="P144">
        <v>1</v>
      </c>
      <c r="Q144" t="s">
        <v>618</v>
      </c>
      <c r="R144">
        <v>370</v>
      </c>
    </row>
    <row r="145" spans="2:18">
      <c r="B145">
        <v>35</v>
      </c>
      <c r="C145" t="s">
        <v>533</v>
      </c>
      <c r="D145" t="s">
        <v>534</v>
      </c>
      <c r="E145" t="s">
        <v>495</v>
      </c>
      <c r="F145" t="s">
        <v>630</v>
      </c>
      <c r="G145" t="s">
        <v>650</v>
      </c>
      <c r="H145" t="s">
        <v>676</v>
      </c>
      <c r="I145" t="s">
        <v>677</v>
      </c>
      <c r="K145" t="s">
        <v>678</v>
      </c>
      <c r="L145" t="s">
        <v>532</v>
      </c>
      <c r="M145" t="s">
        <v>540</v>
      </c>
      <c r="N145" t="s">
        <v>679</v>
      </c>
      <c r="O145" t="s">
        <v>540</v>
      </c>
      <c r="P145">
        <v>1</v>
      </c>
      <c r="Q145" t="s">
        <v>553</v>
      </c>
      <c r="R145">
        <v>39.5</v>
      </c>
    </row>
    <row r="146" spans="2:18">
      <c r="B146">
        <v>36</v>
      </c>
      <c r="C146" t="s">
        <v>533</v>
      </c>
      <c r="D146" t="s">
        <v>534</v>
      </c>
      <c r="E146" t="s">
        <v>495</v>
      </c>
      <c r="F146" t="s">
        <v>630</v>
      </c>
      <c r="G146" t="s">
        <v>650</v>
      </c>
      <c r="H146" t="s">
        <v>680</v>
      </c>
      <c r="I146" t="s">
        <v>681</v>
      </c>
      <c r="K146" t="s">
        <v>682</v>
      </c>
      <c r="L146" t="s">
        <v>532</v>
      </c>
      <c r="M146" t="s">
        <v>540</v>
      </c>
      <c r="N146" t="s">
        <v>679</v>
      </c>
      <c r="O146" t="s">
        <v>540</v>
      </c>
      <c r="P146">
        <v>1</v>
      </c>
      <c r="Q146" t="s">
        <v>553</v>
      </c>
      <c r="R146">
        <v>17.2</v>
      </c>
    </row>
    <row r="147" spans="2:18">
      <c r="B147">
        <v>1</v>
      </c>
      <c r="C147" t="s">
        <v>533</v>
      </c>
      <c r="D147" t="s">
        <v>534</v>
      </c>
      <c r="E147" t="s">
        <v>496</v>
      </c>
      <c r="F147" t="s">
        <v>535</v>
      </c>
      <c r="G147" t="s">
        <v>536</v>
      </c>
      <c r="H147" t="s">
        <v>537</v>
      </c>
      <c r="I147" t="s">
        <v>538</v>
      </c>
      <c r="K147" t="s">
        <v>539</v>
      </c>
      <c r="L147" t="s">
        <v>532</v>
      </c>
      <c r="M147" t="s">
        <v>540</v>
      </c>
      <c r="N147" t="s">
        <v>541</v>
      </c>
      <c r="O147" t="s">
        <v>540</v>
      </c>
      <c r="P147">
        <v>1</v>
      </c>
      <c r="Q147" t="s">
        <v>542</v>
      </c>
      <c r="R147">
        <v>920</v>
      </c>
    </row>
    <row r="148" spans="2:18">
      <c r="B148">
        <v>2</v>
      </c>
      <c r="C148" t="s">
        <v>533</v>
      </c>
      <c r="D148" t="s">
        <v>534</v>
      </c>
      <c r="E148" t="s">
        <v>496</v>
      </c>
      <c r="F148" t="s">
        <v>535</v>
      </c>
      <c r="G148" t="s">
        <v>536</v>
      </c>
      <c r="H148" t="s">
        <v>543</v>
      </c>
      <c r="I148" t="s">
        <v>544</v>
      </c>
      <c r="K148" t="s">
        <v>545</v>
      </c>
      <c r="L148" t="s">
        <v>532</v>
      </c>
      <c r="M148" t="s">
        <v>540</v>
      </c>
      <c r="N148" t="s">
        <v>546</v>
      </c>
      <c r="O148" t="s">
        <v>540</v>
      </c>
      <c r="P148">
        <v>1</v>
      </c>
      <c r="Q148" t="s">
        <v>547</v>
      </c>
      <c r="R148">
        <v>380</v>
      </c>
    </row>
    <row r="149" spans="2:18">
      <c r="B149">
        <v>3</v>
      </c>
      <c r="C149" t="s">
        <v>533</v>
      </c>
      <c r="D149" t="s">
        <v>534</v>
      </c>
      <c r="E149" t="s">
        <v>496</v>
      </c>
      <c r="F149" t="s">
        <v>535</v>
      </c>
      <c r="G149" t="s">
        <v>548</v>
      </c>
      <c r="H149" t="s">
        <v>549</v>
      </c>
      <c r="I149" t="s">
        <v>550</v>
      </c>
      <c r="K149" t="s">
        <v>551</v>
      </c>
      <c r="L149" t="s">
        <v>532</v>
      </c>
      <c r="M149" t="s">
        <v>540</v>
      </c>
      <c r="N149" t="s">
        <v>552</v>
      </c>
      <c r="O149" t="s">
        <v>540</v>
      </c>
      <c r="P149">
        <v>1</v>
      </c>
      <c r="Q149" t="s">
        <v>553</v>
      </c>
      <c r="R149">
        <v>14</v>
      </c>
    </row>
    <row r="150" spans="2:18">
      <c r="B150">
        <v>4</v>
      </c>
      <c r="C150" t="s">
        <v>533</v>
      </c>
      <c r="D150" t="s">
        <v>534</v>
      </c>
      <c r="E150" t="s">
        <v>496</v>
      </c>
      <c r="F150" t="s">
        <v>535</v>
      </c>
      <c r="G150" t="s">
        <v>548</v>
      </c>
      <c r="H150" t="s">
        <v>554</v>
      </c>
      <c r="I150" t="s">
        <v>555</v>
      </c>
      <c r="K150" t="s">
        <v>556</v>
      </c>
      <c r="L150" t="s">
        <v>532</v>
      </c>
      <c r="M150" t="s">
        <v>540</v>
      </c>
      <c r="N150" t="s">
        <v>557</v>
      </c>
      <c r="O150" t="s">
        <v>540</v>
      </c>
      <c r="P150">
        <v>1</v>
      </c>
      <c r="Q150" t="s">
        <v>553</v>
      </c>
      <c r="R150">
        <v>33</v>
      </c>
    </row>
    <row r="151" spans="2:18">
      <c r="B151">
        <v>5</v>
      </c>
      <c r="C151" t="s">
        <v>533</v>
      </c>
      <c r="D151" t="s">
        <v>534</v>
      </c>
      <c r="E151" t="s">
        <v>496</v>
      </c>
      <c r="F151" t="s">
        <v>558</v>
      </c>
      <c r="G151" t="s">
        <v>559</v>
      </c>
      <c r="H151" t="s">
        <v>560</v>
      </c>
      <c r="I151" t="s">
        <v>561</v>
      </c>
      <c r="K151" t="s">
        <v>562</v>
      </c>
      <c r="L151" t="s">
        <v>532</v>
      </c>
      <c r="M151" t="s">
        <v>540</v>
      </c>
      <c r="N151" t="s">
        <v>563</v>
      </c>
      <c r="O151" t="s">
        <v>540</v>
      </c>
      <c r="P151">
        <v>1</v>
      </c>
      <c r="Q151" t="s">
        <v>553</v>
      </c>
      <c r="R151">
        <v>223</v>
      </c>
    </row>
    <row r="152" spans="2:18">
      <c r="B152">
        <v>6</v>
      </c>
      <c r="C152" t="s">
        <v>533</v>
      </c>
      <c r="D152" t="s">
        <v>534</v>
      </c>
      <c r="E152" t="s">
        <v>496</v>
      </c>
      <c r="F152" t="s">
        <v>558</v>
      </c>
      <c r="G152" t="s">
        <v>559</v>
      </c>
      <c r="H152" t="s">
        <v>564</v>
      </c>
      <c r="I152" t="s">
        <v>565</v>
      </c>
      <c r="K152" t="s">
        <v>566</v>
      </c>
      <c r="L152" t="s">
        <v>532</v>
      </c>
      <c r="M152" t="s">
        <v>540</v>
      </c>
      <c r="N152" t="s">
        <v>540</v>
      </c>
      <c r="O152" t="s">
        <v>540</v>
      </c>
      <c r="P152">
        <v>1</v>
      </c>
      <c r="Q152" t="s">
        <v>567</v>
      </c>
      <c r="R152">
        <v>640</v>
      </c>
    </row>
    <row r="153" spans="2:18">
      <c r="B153">
        <v>7</v>
      </c>
      <c r="C153" t="s">
        <v>533</v>
      </c>
      <c r="D153" t="s">
        <v>534</v>
      </c>
      <c r="E153" t="s">
        <v>496</v>
      </c>
      <c r="F153" t="s">
        <v>558</v>
      </c>
      <c r="G153" t="s">
        <v>559</v>
      </c>
      <c r="H153" t="s">
        <v>568</v>
      </c>
      <c r="I153" t="s">
        <v>569</v>
      </c>
      <c r="K153" t="s">
        <v>570</v>
      </c>
      <c r="L153" t="s">
        <v>532</v>
      </c>
      <c r="M153" t="s">
        <v>540</v>
      </c>
      <c r="N153" t="s">
        <v>540</v>
      </c>
      <c r="O153" t="s">
        <v>540</v>
      </c>
      <c r="P153">
        <v>1</v>
      </c>
      <c r="Q153" t="s">
        <v>567</v>
      </c>
      <c r="R153">
        <v>425</v>
      </c>
    </row>
    <row r="154" spans="2:18">
      <c r="B154">
        <v>8</v>
      </c>
      <c r="C154" t="s">
        <v>533</v>
      </c>
      <c r="D154" t="s">
        <v>534</v>
      </c>
      <c r="E154" t="s">
        <v>496</v>
      </c>
      <c r="F154" t="s">
        <v>558</v>
      </c>
      <c r="G154" t="s">
        <v>559</v>
      </c>
      <c r="H154" t="s">
        <v>571</v>
      </c>
      <c r="I154" t="s">
        <v>572</v>
      </c>
      <c r="K154" t="s">
        <v>573</v>
      </c>
      <c r="L154" t="s">
        <v>532</v>
      </c>
      <c r="M154" t="s">
        <v>540</v>
      </c>
      <c r="N154" t="s">
        <v>574</v>
      </c>
      <c r="O154" t="s">
        <v>540</v>
      </c>
      <c r="P154">
        <v>1</v>
      </c>
      <c r="Q154" t="s">
        <v>553</v>
      </c>
      <c r="R154">
        <v>959</v>
      </c>
    </row>
    <row r="155" spans="2:18">
      <c r="B155">
        <v>9</v>
      </c>
      <c r="C155" t="s">
        <v>533</v>
      </c>
      <c r="D155" t="s">
        <v>534</v>
      </c>
      <c r="E155" t="s">
        <v>496</v>
      </c>
      <c r="F155" t="s">
        <v>558</v>
      </c>
      <c r="G155" t="s">
        <v>575</v>
      </c>
      <c r="H155" t="s">
        <v>576</v>
      </c>
      <c r="I155" t="s">
        <v>577</v>
      </c>
      <c r="K155" t="s">
        <v>578</v>
      </c>
      <c r="L155" t="s">
        <v>532</v>
      </c>
      <c r="M155" t="s">
        <v>540</v>
      </c>
      <c r="N155" t="s">
        <v>540</v>
      </c>
      <c r="O155" t="s">
        <v>540</v>
      </c>
      <c r="P155">
        <v>1</v>
      </c>
      <c r="Q155" t="s">
        <v>553</v>
      </c>
      <c r="R155">
        <v>1680</v>
      </c>
    </row>
    <row r="156" spans="2:18">
      <c r="B156">
        <v>10</v>
      </c>
      <c r="C156" t="s">
        <v>533</v>
      </c>
      <c r="D156" t="s">
        <v>534</v>
      </c>
      <c r="E156" t="s">
        <v>496</v>
      </c>
      <c r="F156" t="s">
        <v>558</v>
      </c>
      <c r="G156" t="s">
        <v>579</v>
      </c>
      <c r="H156" t="s">
        <v>584</v>
      </c>
      <c r="I156" t="s">
        <v>585</v>
      </c>
      <c r="K156" t="s">
        <v>586</v>
      </c>
      <c r="L156" t="s">
        <v>532</v>
      </c>
      <c r="M156" t="s">
        <v>540</v>
      </c>
      <c r="N156" t="s">
        <v>587</v>
      </c>
      <c r="O156" t="s">
        <v>540</v>
      </c>
      <c r="P156">
        <v>1</v>
      </c>
      <c r="Q156" t="s">
        <v>553</v>
      </c>
      <c r="R156">
        <v>74</v>
      </c>
    </row>
    <row r="157" spans="2:18">
      <c r="B157">
        <v>11</v>
      </c>
      <c r="C157" t="s">
        <v>533</v>
      </c>
      <c r="D157" t="s">
        <v>534</v>
      </c>
      <c r="E157" t="s">
        <v>496</v>
      </c>
      <c r="F157" t="s">
        <v>558</v>
      </c>
      <c r="G157" t="s">
        <v>588</v>
      </c>
      <c r="H157" t="s">
        <v>589</v>
      </c>
      <c r="I157" t="s">
        <v>590</v>
      </c>
      <c r="K157" t="s">
        <v>591</v>
      </c>
      <c r="L157" t="s">
        <v>532</v>
      </c>
      <c r="M157" t="s">
        <v>540</v>
      </c>
      <c r="N157" t="s">
        <v>592</v>
      </c>
      <c r="O157" t="s">
        <v>540</v>
      </c>
      <c r="P157">
        <v>1</v>
      </c>
      <c r="Q157" t="s">
        <v>553</v>
      </c>
      <c r="R157">
        <v>84</v>
      </c>
    </row>
    <row r="158" spans="2:18">
      <c r="B158">
        <v>12</v>
      </c>
      <c r="C158" t="s">
        <v>533</v>
      </c>
      <c r="D158" t="s">
        <v>534</v>
      </c>
      <c r="E158" t="s">
        <v>496</v>
      </c>
      <c r="F158" t="s">
        <v>558</v>
      </c>
      <c r="G158" t="s">
        <v>593</v>
      </c>
      <c r="H158" t="s">
        <v>594</v>
      </c>
      <c r="I158" t="s">
        <v>595</v>
      </c>
      <c r="K158" t="s">
        <v>596</v>
      </c>
      <c r="L158" t="s">
        <v>532</v>
      </c>
      <c r="M158" t="s">
        <v>540</v>
      </c>
      <c r="N158" t="s">
        <v>597</v>
      </c>
      <c r="O158" t="s">
        <v>540</v>
      </c>
      <c r="P158">
        <v>1</v>
      </c>
      <c r="Q158" t="s">
        <v>553</v>
      </c>
      <c r="R158">
        <v>165</v>
      </c>
    </row>
    <row r="159" spans="2:18">
      <c r="B159">
        <v>13</v>
      </c>
      <c r="C159" t="s">
        <v>533</v>
      </c>
      <c r="D159" t="s">
        <v>534</v>
      </c>
      <c r="E159" t="s">
        <v>496</v>
      </c>
      <c r="F159" t="s">
        <v>558</v>
      </c>
      <c r="G159" t="s">
        <v>559</v>
      </c>
      <c r="H159" t="s">
        <v>598</v>
      </c>
      <c r="I159" t="s">
        <v>599</v>
      </c>
      <c r="K159" t="s">
        <v>600</v>
      </c>
      <c r="L159" t="s">
        <v>532</v>
      </c>
      <c r="M159" t="s">
        <v>540</v>
      </c>
      <c r="N159" t="s">
        <v>540</v>
      </c>
      <c r="O159" t="s">
        <v>540</v>
      </c>
      <c r="P159">
        <v>1</v>
      </c>
      <c r="Q159" t="s">
        <v>553</v>
      </c>
      <c r="R159">
        <v>43</v>
      </c>
    </row>
    <row r="160" spans="2:18">
      <c r="B160">
        <v>14</v>
      </c>
      <c r="C160" t="s">
        <v>533</v>
      </c>
      <c r="D160" t="s">
        <v>534</v>
      </c>
      <c r="E160" t="s">
        <v>496</v>
      </c>
      <c r="F160" t="s">
        <v>558</v>
      </c>
      <c r="G160" t="s">
        <v>559</v>
      </c>
      <c r="H160" t="s">
        <v>601</v>
      </c>
      <c r="I160" t="s">
        <v>602</v>
      </c>
      <c r="K160" t="s">
        <v>603</v>
      </c>
      <c r="L160" t="s">
        <v>532</v>
      </c>
      <c r="M160" t="s">
        <v>540</v>
      </c>
      <c r="N160" t="s">
        <v>604</v>
      </c>
      <c r="O160" t="s">
        <v>540</v>
      </c>
      <c r="P160">
        <v>1</v>
      </c>
      <c r="Q160" t="s">
        <v>553</v>
      </c>
      <c r="R160">
        <v>77</v>
      </c>
    </row>
    <row r="161" spans="2:18">
      <c r="B161">
        <v>15</v>
      </c>
      <c r="C161" t="s">
        <v>533</v>
      </c>
      <c r="D161" t="s">
        <v>534</v>
      </c>
      <c r="E161" t="s">
        <v>496</v>
      </c>
      <c r="F161" t="s">
        <v>558</v>
      </c>
      <c r="G161" t="s">
        <v>536</v>
      </c>
      <c r="H161" t="s">
        <v>605</v>
      </c>
      <c r="I161" t="s">
        <v>606</v>
      </c>
      <c r="K161" t="s">
        <v>607</v>
      </c>
      <c r="L161" t="s">
        <v>532</v>
      </c>
      <c r="M161" t="s">
        <v>540</v>
      </c>
      <c r="N161" t="s">
        <v>608</v>
      </c>
      <c r="O161" t="s">
        <v>540</v>
      </c>
      <c r="P161">
        <v>1</v>
      </c>
      <c r="Q161" t="s">
        <v>609</v>
      </c>
      <c r="R161">
        <v>424</v>
      </c>
    </row>
    <row r="162" spans="2:18">
      <c r="B162">
        <v>16</v>
      </c>
      <c r="C162" t="s">
        <v>533</v>
      </c>
      <c r="D162" t="s">
        <v>534</v>
      </c>
      <c r="E162" t="s">
        <v>496</v>
      </c>
      <c r="F162" t="s">
        <v>558</v>
      </c>
      <c r="G162" t="s">
        <v>610</v>
      </c>
      <c r="H162" t="s">
        <v>611</v>
      </c>
      <c r="I162" t="s">
        <v>612</v>
      </c>
      <c r="K162" t="s">
        <v>613</v>
      </c>
      <c r="L162" t="s">
        <v>532</v>
      </c>
      <c r="M162" t="s">
        <v>540</v>
      </c>
      <c r="N162" t="s">
        <v>614</v>
      </c>
      <c r="O162" t="s">
        <v>540</v>
      </c>
      <c r="P162">
        <v>1</v>
      </c>
      <c r="Q162" t="s">
        <v>615</v>
      </c>
      <c r="R162">
        <v>53</v>
      </c>
    </row>
    <row r="163" spans="2:18">
      <c r="B163">
        <v>17</v>
      </c>
      <c r="C163" t="s">
        <v>533</v>
      </c>
      <c r="D163" t="s">
        <v>534</v>
      </c>
      <c r="E163" t="s">
        <v>496</v>
      </c>
      <c r="F163" t="s">
        <v>558</v>
      </c>
      <c r="G163" t="s">
        <v>559</v>
      </c>
      <c r="H163" t="s">
        <v>477</v>
      </c>
      <c r="I163" t="s">
        <v>616</v>
      </c>
      <c r="K163" t="s">
        <v>617</v>
      </c>
      <c r="L163" t="s">
        <v>532</v>
      </c>
      <c r="M163" t="s">
        <v>540</v>
      </c>
      <c r="N163" t="s">
        <v>540</v>
      </c>
      <c r="O163" t="s">
        <v>540</v>
      </c>
      <c r="P163">
        <v>1</v>
      </c>
      <c r="Q163" t="s">
        <v>618</v>
      </c>
      <c r="R163">
        <v>875</v>
      </c>
    </row>
    <row r="164" spans="2:18">
      <c r="B164">
        <v>18</v>
      </c>
      <c r="C164" t="s">
        <v>533</v>
      </c>
      <c r="D164" t="s">
        <v>534</v>
      </c>
      <c r="E164" t="s">
        <v>496</v>
      </c>
      <c r="F164" t="s">
        <v>558</v>
      </c>
      <c r="G164" t="s">
        <v>559</v>
      </c>
      <c r="H164" t="s">
        <v>478</v>
      </c>
      <c r="I164" t="s">
        <v>683</v>
      </c>
      <c r="K164" t="s">
        <v>684</v>
      </c>
      <c r="L164" t="s">
        <v>532</v>
      </c>
      <c r="M164" t="s">
        <v>540</v>
      </c>
      <c r="N164" t="s">
        <v>685</v>
      </c>
      <c r="O164" t="s">
        <v>540</v>
      </c>
      <c r="P164">
        <v>1</v>
      </c>
      <c r="Q164" t="s">
        <v>567</v>
      </c>
      <c r="R164">
        <v>331</v>
      </c>
    </row>
    <row r="165" spans="2:18">
      <c r="B165">
        <v>19</v>
      </c>
      <c r="C165" t="s">
        <v>533</v>
      </c>
      <c r="D165" t="s">
        <v>534</v>
      </c>
      <c r="E165" t="s">
        <v>496</v>
      </c>
      <c r="F165" t="s">
        <v>558</v>
      </c>
      <c r="G165" t="s">
        <v>559</v>
      </c>
      <c r="H165" t="s">
        <v>622</v>
      </c>
      <c r="I165" t="s">
        <v>623</v>
      </c>
      <c r="K165" t="s">
        <v>624</v>
      </c>
      <c r="L165" t="s">
        <v>532</v>
      </c>
      <c r="M165" t="s">
        <v>540</v>
      </c>
      <c r="N165" t="s">
        <v>625</v>
      </c>
      <c r="O165" t="s">
        <v>540</v>
      </c>
      <c r="P165">
        <v>1</v>
      </c>
      <c r="Q165" t="s">
        <v>547</v>
      </c>
      <c r="R165">
        <v>92</v>
      </c>
    </row>
    <row r="166" spans="2:18">
      <c r="B166">
        <v>20</v>
      </c>
      <c r="C166" t="s">
        <v>533</v>
      </c>
      <c r="D166" t="s">
        <v>534</v>
      </c>
      <c r="E166" t="s">
        <v>496</v>
      </c>
      <c r="F166" t="s">
        <v>558</v>
      </c>
      <c r="G166" t="s">
        <v>559</v>
      </c>
      <c r="H166" t="s">
        <v>626</v>
      </c>
      <c r="I166" t="s">
        <v>627</v>
      </c>
      <c r="K166" t="s">
        <v>628</v>
      </c>
      <c r="L166" t="s">
        <v>532</v>
      </c>
      <c r="M166" t="s">
        <v>540</v>
      </c>
      <c r="N166" t="s">
        <v>540</v>
      </c>
      <c r="O166" t="s">
        <v>540</v>
      </c>
      <c r="P166">
        <v>1</v>
      </c>
      <c r="Q166" t="s">
        <v>629</v>
      </c>
      <c r="R166">
        <v>58</v>
      </c>
    </row>
    <row r="167" spans="2:18">
      <c r="B167">
        <v>21</v>
      </c>
      <c r="C167" t="s">
        <v>533</v>
      </c>
      <c r="D167" t="s">
        <v>534</v>
      </c>
      <c r="E167" t="s">
        <v>496</v>
      </c>
      <c r="F167" t="s">
        <v>630</v>
      </c>
      <c r="G167" t="s">
        <v>593</v>
      </c>
      <c r="H167" t="s">
        <v>631</v>
      </c>
      <c r="I167" t="s">
        <v>632</v>
      </c>
      <c r="K167" t="s">
        <v>633</v>
      </c>
      <c r="L167" t="s">
        <v>532</v>
      </c>
      <c r="M167" t="s">
        <v>540</v>
      </c>
      <c r="N167" t="s">
        <v>540</v>
      </c>
      <c r="O167" t="s">
        <v>540</v>
      </c>
      <c r="P167">
        <v>1</v>
      </c>
      <c r="Q167" t="s">
        <v>553</v>
      </c>
      <c r="R167">
        <v>41</v>
      </c>
    </row>
    <row r="168" spans="2:18">
      <c r="B168">
        <v>22</v>
      </c>
      <c r="C168" t="s">
        <v>533</v>
      </c>
      <c r="D168" t="s">
        <v>534</v>
      </c>
      <c r="E168" t="s">
        <v>496</v>
      </c>
      <c r="F168" t="s">
        <v>630</v>
      </c>
      <c r="G168" t="s">
        <v>536</v>
      </c>
      <c r="H168" t="s">
        <v>634</v>
      </c>
      <c r="I168" t="s">
        <v>635</v>
      </c>
      <c r="K168" t="s">
        <v>636</v>
      </c>
      <c r="L168" t="s">
        <v>532</v>
      </c>
      <c r="M168" t="s">
        <v>540</v>
      </c>
      <c r="N168" t="s">
        <v>637</v>
      </c>
      <c r="O168" t="s">
        <v>540</v>
      </c>
      <c r="P168">
        <v>1</v>
      </c>
      <c r="Q168" t="s">
        <v>609</v>
      </c>
      <c r="R168">
        <v>290</v>
      </c>
    </row>
    <row r="169" spans="2:18">
      <c r="B169">
        <v>23</v>
      </c>
      <c r="C169" t="s">
        <v>533</v>
      </c>
      <c r="D169" t="s">
        <v>534</v>
      </c>
      <c r="E169" t="s">
        <v>496</v>
      </c>
      <c r="F169" t="s">
        <v>630</v>
      </c>
      <c r="G169" t="s">
        <v>575</v>
      </c>
      <c r="H169" t="s">
        <v>638</v>
      </c>
      <c r="I169" t="s">
        <v>639</v>
      </c>
      <c r="K169" t="s">
        <v>640</v>
      </c>
      <c r="L169" t="s">
        <v>532</v>
      </c>
      <c r="M169" t="s">
        <v>540</v>
      </c>
      <c r="N169" t="s">
        <v>641</v>
      </c>
      <c r="O169" t="s">
        <v>540</v>
      </c>
      <c r="P169">
        <v>1</v>
      </c>
      <c r="Q169" t="s">
        <v>553</v>
      </c>
      <c r="R169">
        <v>100</v>
      </c>
    </row>
    <row r="170" spans="2:18">
      <c r="B170">
        <v>24</v>
      </c>
      <c r="C170" t="s">
        <v>533</v>
      </c>
      <c r="D170" t="s">
        <v>534</v>
      </c>
      <c r="E170" t="s">
        <v>496</v>
      </c>
      <c r="F170" t="s">
        <v>630</v>
      </c>
      <c r="G170" t="s">
        <v>559</v>
      </c>
      <c r="H170" t="s">
        <v>642</v>
      </c>
      <c r="I170" t="s">
        <v>643</v>
      </c>
      <c r="K170" t="s">
        <v>644</v>
      </c>
      <c r="L170" t="s">
        <v>532</v>
      </c>
      <c r="M170" t="s">
        <v>540</v>
      </c>
      <c r="N170" t="s">
        <v>645</v>
      </c>
      <c r="O170" t="s">
        <v>540</v>
      </c>
      <c r="P170">
        <v>1</v>
      </c>
      <c r="Q170" t="s">
        <v>646</v>
      </c>
      <c r="R170">
        <v>55</v>
      </c>
    </row>
    <row r="171" spans="2:18">
      <c r="B171">
        <v>25</v>
      </c>
      <c r="C171" t="s">
        <v>533</v>
      </c>
      <c r="D171" t="s">
        <v>534</v>
      </c>
      <c r="E171" t="s">
        <v>496</v>
      </c>
      <c r="F171" t="s">
        <v>630</v>
      </c>
      <c r="G171" t="s">
        <v>579</v>
      </c>
      <c r="H171" t="s">
        <v>647</v>
      </c>
      <c r="I171" t="s">
        <v>648</v>
      </c>
      <c r="K171" t="s">
        <v>649</v>
      </c>
      <c r="L171" t="s">
        <v>532</v>
      </c>
      <c r="M171" t="s">
        <v>540</v>
      </c>
      <c r="N171" t="s">
        <v>592</v>
      </c>
      <c r="O171" t="s">
        <v>540</v>
      </c>
      <c r="P171">
        <v>1</v>
      </c>
      <c r="Q171" t="s">
        <v>553</v>
      </c>
      <c r="R171">
        <v>66.26</v>
      </c>
    </row>
    <row r="172" spans="2:18">
      <c r="B172">
        <v>26</v>
      </c>
      <c r="C172" t="s">
        <v>533</v>
      </c>
      <c r="D172" t="s">
        <v>534</v>
      </c>
      <c r="E172" t="s">
        <v>496</v>
      </c>
      <c r="F172" t="s">
        <v>630</v>
      </c>
      <c r="G172" t="s">
        <v>650</v>
      </c>
      <c r="H172" t="s">
        <v>651</v>
      </c>
      <c r="I172" t="s">
        <v>652</v>
      </c>
      <c r="K172" t="s">
        <v>653</v>
      </c>
      <c r="L172" t="s">
        <v>532</v>
      </c>
      <c r="M172" t="s">
        <v>540</v>
      </c>
      <c r="N172" t="s">
        <v>654</v>
      </c>
      <c r="O172" t="s">
        <v>540</v>
      </c>
      <c r="P172">
        <v>1</v>
      </c>
      <c r="Q172" t="s">
        <v>553</v>
      </c>
      <c r="R172">
        <v>101</v>
      </c>
    </row>
    <row r="173" spans="2:18">
      <c r="B173">
        <v>27</v>
      </c>
      <c r="C173" t="s">
        <v>533</v>
      </c>
      <c r="D173" t="s">
        <v>534</v>
      </c>
      <c r="E173" t="s">
        <v>496</v>
      </c>
      <c r="F173" t="s">
        <v>630</v>
      </c>
      <c r="G173" t="s">
        <v>650</v>
      </c>
      <c r="H173" t="s">
        <v>655</v>
      </c>
      <c r="I173" t="s">
        <v>656</v>
      </c>
      <c r="K173" t="s">
        <v>657</v>
      </c>
      <c r="L173" t="s">
        <v>532</v>
      </c>
      <c r="M173" t="s">
        <v>540</v>
      </c>
      <c r="N173" t="s">
        <v>658</v>
      </c>
      <c r="O173" t="s">
        <v>540</v>
      </c>
      <c r="P173">
        <v>1</v>
      </c>
      <c r="Q173" t="s">
        <v>553</v>
      </c>
      <c r="R173">
        <v>418</v>
      </c>
    </row>
    <row r="174" spans="2:18">
      <c r="B174">
        <v>28</v>
      </c>
      <c r="C174" t="s">
        <v>533</v>
      </c>
      <c r="D174" t="s">
        <v>534</v>
      </c>
      <c r="E174" t="s">
        <v>496</v>
      </c>
      <c r="F174" t="s">
        <v>630</v>
      </c>
      <c r="G174" t="s">
        <v>650</v>
      </c>
      <c r="H174" t="s">
        <v>659</v>
      </c>
      <c r="I174" t="s">
        <v>660</v>
      </c>
      <c r="K174" t="s">
        <v>661</v>
      </c>
      <c r="L174" t="s">
        <v>532</v>
      </c>
      <c r="M174" t="s">
        <v>540</v>
      </c>
      <c r="N174" t="s">
        <v>662</v>
      </c>
      <c r="O174" t="s">
        <v>540</v>
      </c>
      <c r="P174">
        <v>1</v>
      </c>
      <c r="Q174" t="s">
        <v>553</v>
      </c>
      <c r="R174">
        <v>37</v>
      </c>
    </row>
    <row r="175" spans="2:18">
      <c r="B175">
        <v>29</v>
      </c>
      <c r="C175" t="s">
        <v>533</v>
      </c>
      <c r="D175" t="s">
        <v>534</v>
      </c>
      <c r="E175" t="s">
        <v>496</v>
      </c>
      <c r="F175" t="s">
        <v>630</v>
      </c>
      <c r="G175" t="s">
        <v>575</v>
      </c>
      <c r="H175" t="s">
        <v>663</v>
      </c>
      <c r="I175" t="s">
        <v>664</v>
      </c>
      <c r="K175" t="s">
        <v>665</v>
      </c>
      <c r="L175" t="s">
        <v>532</v>
      </c>
      <c r="M175" t="s">
        <v>540</v>
      </c>
      <c r="N175" t="s">
        <v>666</v>
      </c>
      <c r="O175" t="s">
        <v>540</v>
      </c>
      <c r="P175">
        <v>1</v>
      </c>
      <c r="Q175" t="s">
        <v>667</v>
      </c>
      <c r="R175">
        <v>370</v>
      </c>
    </row>
    <row r="176" spans="2:18">
      <c r="B176">
        <v>30</v>
      </c>
      <c r="C176" t="s">
        <v>533</v>
      </c>
      <c r="D176" t="s">
        <v>534</v>
      </c>
      <c r="E176" t="s">
        <v>496</v>
      </c>
      <c r="F176" t="s">
        <v>630</v>
      </c>
      <c r="G176" t="s">
        <v>548</v>
      </c>
      <c r="H176" t="s">
        <v>668</v>
      </c>
      <c r="I176" t="s">
        <v>669</v>
      </c>
      <c r="K176" t="s">
        <v>670</v>
      </c>
      <c r="L176" t="s">
        <v>532</v>
      </c>
      <c r="M176" t="s">
        <v>540</v>
      </c>
      <c r="N176" t="s">
        <v>671</v>
      </c>
      <c r="O176" t="s">
        <v>540</v>
      </c>
      <c r="P176">
        <v>1</v>
      </c>
      <c r="Q176" t="s">
        <v>567</v>
      </c>
      <c r="R176">
        <v>4.7</v>
      </c>
    </row>
    <row r="177" spans="2:18">
      <c r="B177">
        <v>31</v>
      </c>
      <c r="C177" t="s">
        <v>533</v>
      </c>
      <c r="D177" t="s">
        <v>534</v>
      </c>
      <c r="E177" t="s">
        <v>496</v>
      </c>
      <c r="F177" t="s">
        <v>630</v>
      </c>
      <c r="G177" t="s">
        <v>650</v>
      </c>
      <c r="H177" t="s">
        <v>672</v>
      </c>
      <c r="I177" t="s">
        <v>673</v>
      </c>
      <c r="K177" t="s">
        <v>674</v>
      </c>
      <c r="L177" t="s">
        <v>532</v>
      </c>
      <c r="M177" t="s">
        <v>540</v>
      </c>
      <c r="N177" t="s">
        <v>675</v>
      </c>
      <c r="O177" t="s">
        <v>540</v>
      </c>
      <c r="P177">
        <v>1</v>
      </c>
      <c r="Q177" t="s">
        <v>618</v>
      </c>
      <c r="R177">
        <v>370</v>
      </c>
    </row>
    <row r="178" spans="2:18">
      <c r="B178">
        <v>32</v>
      </c>
      <c r="C178" t="s">
        <v>533</v>
      </c>
      <c r="D178" t="s">
        <v>534</v>
      </c>
      <c r="E178" t="s">
        <v>496</v>
      </c>
      <c r="F178" t="s">
        <v>630</v>
      </c>
      <c r="G178" t="s">
        <v>650</v>
      </c>
      <c r="H178" t="s">
        <v>676</v>
      </c>
      <c r="I178" t="s">
        <v>677</v>
      </c>
      <c r="K178" t="s">
        <v>678</v>
      </c>
      <c r="L178" t="s">
        <v>532</v>
      </c>
      <c r="M178" t="s">
        <v>540</v>
      </c>
      <c r="N178" t="s">
        <v>679</v>
      </c>
      <c r="O178" t="s">
        <v>540</v>
      </c>
      <c r="P178">
        <v>1</v>
      </c>
      <c r="Q178" t="s">
        <v>553</v>
      </c>
      <c r="R178">
        <v>39.5</v>
      </c>
    </row>
    <row r="179" spans="2:18">
      <c r="B179">
        <v>33</v>
      </c>
      <c r="C179" t="s">
        <v>533</v>
      </c>
      <c r="D179" t="s">
        <v>534</v>
      </c>
      <c r="E179" t="s">
        <v>496</v>
      </c>
      <c r="F179" t="s">
        <v>630</v>
      </c>
      <c r="G179" t="s">
        <v>650</v>
      </c>
      <c r="H179" t="s">
        <v>680</v>
      </c>
      <c r="I179" t="s">
        <v>681</v>
      </c>
      <c r="K179" t="s">
        <v>682</v>
      </c>
      <c r="L179" t="s">
        <v>532</v>
      </c>
      <c r="M179" t="s">
        <v>540</v>
      </c>
      <c r="N179" t="s">
        <v>679</v>
      </c>
      <c r="O179" t="s">
        <v>540</v>
      </c>
      <c r="P179">
        <v>1</v>
      </c>
      <c r="Q179" t="s">
        <v>553</v>
      </c>
      <c r="R179">
        <v>17.2</v>
      </c>
    </row>
    <row r="180" spans="2:18">
      <c r="B180">
        <v>1</v>
      </c>
      <c r="C180" t="s">
        <v>533</v>
      </c>
      <c r="D180" t="s">
        <v>534</v>
      </c>
      <c r="E180" t="s">
        <v>497</v>
      </c>
      <c r="F180" t="s">
        <v>535</v>
      </c>
      <c r="G180" t="s">
        <v>536</v>
      </c>
      <c r="H180" t="s">
        <v>537</v>
      </c>
      <c r="I180" t="s">
        <v>538</v>
      </c>
      <c r="K180" t="s">
        <v>539</v>
      </c>
      <c r="L180" t="s">
        <v>532</v>
      </c>
      <c r="M180" t="s">
        <v>540</v>
      </c>
      <c r="N180" t="s">
        <v>541</v>
      </c>
      <c r="O180" t="s">
        <v>540</v>
      </c>
      <c r="P180">
        <v>1</v>
      </c>
      <c r="Q180" t="s">
        <v>542</v>
      </c>
      <c r="R180">
        <v>920</v>
      </c>
    </row>
    <row r="181" spans="2:18">
      <c r="B181">
        <v>2</v>
      </c>
      <c r="C181" t="s">
        <v>533</v>
      </c>
      <c r="D181" t="s">
        <v>534</v>
      </c>
      <c r="E181" t="s">
        <v>497</v>
      </c>
      <c r="F181" t="s">
        <v>535</v>
      </c>
      <c r="G181" t="s">
        <v>536</v>
      </c>
      <c r="H181" t="s">
        <v>543</v>
      </c>
      <c r="I181" t="s">
        <v>544</v>
      </c>
      <c r="K181" t="s">
        <v>545</v>
      </c>
      <c r="L181" t="s">
        <v>532</v>
      </c>
      <c r="M181" t="s">
        <v>540</v>
      </c>
      <c r="N181" t="s">
        <v>546</v>
      </c>
      <c r="O181" t="s">
        <v>540</v>
      </c>
      <c r="P181">
        <v>1</v>
      </c>
      <c r="Q181" t="s">
        <v>547</v>
      </c>
      <c r="R181">
        <v>380</v>
      </c>
    </row>
    <row r="182" spans="2:18">
      <c r="B182">
        <v>3</v>
      </c>
      <c r="C182" t="s">
        <v>533</v>
      </c>
      <c r="D182" t="s">
        <v>534</v>
      </c>
      <c r="E182" t="s">
        <v>497</v>
      </c>
      <c r="F182" t="s">
        <v>535</v>
      </c>
      <c r="G182" t="s">
        <v>548</v>
      </c>
      <c r="H182" t="s">
        <v>549</v>
      </c>
      <c r="I182" t="s">
        <v>550</v>
      </c>
      <c r="K182" t="s">
        <v>551</v>
      </c>
      <c r="L182" t="s">
        <v>532</v>
      </c>
      <c r="M182" t="s">
        <v>540</v>
      </c>
      <c r="N182" t="s">
        <v>552</v>
      </c>
      <c r="O182" t="s">
        <v>540</v>
      </c>
      <c r="P182">
        <v>1</v>
      </c>
      <c r="Q182" t="s">
        <v>553</v>
      </c>
      <c r="R182">
        <v>14</v>
      </c>
    </row>
    <row r="183" spans="2:18">
      <c r="B183">
        <v>4</v>
      </c>
      <c r="C183" t="s">
        <v>533</v>
      </c>
      <c r="D183" t="s">
        <v>534</v>
      </c>
      <c r="E183" t="s">
        <v>497</v>
      </c>
      <c r="F183" t="s">
        <v>535</v>
      </c>
      <c r="G183" t="s">
        <v>548</v>
      </c>
      <c r="H183" t="s">
        <v>554</v>
      </c>
      <c r="I183" t="s">
        <v>555</v>
      </c>
      <c r="K183" t="s">
        <v>556</v>
      </c>
      <c r="L183" t="s">
        <v>532</v>
      </c>
      <c r="M183" t="s">
        <v>540</v>
      </c>
      <c r="N183" t="s">
        <v>557</v>
      </c>
      <c r="O183" t="s">
        <v>540</v>
      </c>
      <c r="P183">
        <v>1</v>
      </c>
      <c r="Q183" t="s">
        <v>553</v>
      </c>
      <c r="R183">
        <v>33</v>
      </c>
    </row>
    <row r="184" spans="2:18">
      <c r="B184">
        <v>5</v>
      </c>
      <c r="C184" t="s">
        <v>533</v>
      </c>
      <c r="D184" t="s">
        <v>534</v>
      </c>
      <c r="E184" t="s">
        <v>497</v>
      </c>
      <c r="F184" t="s">
        <v>558</v>
      </c>
      <c r="G184" t="s">
        <v>559</v>
      </c>
      <c r="H184" t="s">
        <v>560</v>
      </c>
      <c r="I184" t="s">
        <v>561</v>
      </c>
      <c r="K184" t="s">
        <v>562</v>
      </c>
      <c r="L184" t="s">
        <v>532</v>
      </c>
      <c r="M184" t="s">
        <v>540</v>
      </c>
      <c r="N184" t="s">
        <v>563</v>
      </c>
      <c r="O184" t="s">
        <v>540</v>
      </c>
      <c r="P184">
        <v>1</v>
      </c>
      <c r="Q184" t="s">
        <v>553</v>
      </c>
      <c r="R184">
        <v>223</v>
      </c>
    </row>
    <row r="185" spans="2:18">
      <c r="B185">
        <v>6</v>
      </c>
      <c r="C185" t="s">
        <v>533</v>
      </c>
      <c r="D185" t="s">
        <v>534</v>
      </c>
      <c r="E185" t="s">
        <v>497</v>
      </c>
      <c r="F185" t="s">
        <v>558</v>
      </c>
      <c r="G185" t="s">
        <v>559</v>
      </c>
      <c r="H185" t="s">
        <v>564</v>
      </c>
      <c r="I185" t="s">
        <v>565</v>
      </c>
      <c r="K185" t="s">
        <v>566</v>
      </c>
      <c r="L185" t="s">
        <v>532</v>
      </c>
      <c r="M185" t="s">
        <v>540</v>
      </c>
      <c r="N185" t="s">
        <v>540</v>
      </c>
      <c r="O185" t="s">
        <v>540</v>
      </c>
      <c r="P185">
        <v>1</v>
      </c>
      <c r="Q185" t="s">
        <v>567</v>
      </c>
      <c r="R185">
        <v>640</v>
      </c>
    </row>
    <row r="186" spans="2:18">
      <c r="B186">
        <v>7</v>
      </c>
      <c r="C186" t="s">
        <v>533</v>
      </c>
      <c r="D186" t="s">
        <v>534</v>
      </c>
      <c r="E186" t="s">
        <v>497</v>
      </c>
      <c r="F186" t="s">
        <v>558</v>
      </c>
      <c r="G186" t="s">
        <v>559</v>
      </c>
      <c r="H186" t="s">
        <v>568</v>
      </c>
      <c r="I186" t="s">
        <v>569</v>
      </c>
      <c r="K186" t="s">
        <v>570</v>
      </c>
      <c r="L186" t="s">
        <v>532</v>
      </c>
      <c r="M186" t="s">
        <v>540</v>
      </c>
      <c r="N186" t="s">
        <v>540</v>
      </c>
      <c r="O186" t="s">
        <v>540</v>
      </c>
      <c r="P186">
        <v>1</v>
      </c>
      <c r="Q186" t="s">
        <v>567</v>
      </c>
      <c r="R186">
        <v>425</v>
      </c>
    </row>
    <row r="187" spans="2:18">
      <c r="B187">
        <v>8</v>
      </c>
      <c r="C187" t="s">
        <v>533</v>
      </c>
      <c r="D187" t="s">
        <v>534</v>
      </c>
      <c r="E187" t="s">
        <v>497</v>
      </c>
      <c r="F187" t="s">
        <v>558</v>
      </c>
      <c r="G187" t="s">
        <v>559</v>
      </c>
      <c r="H187" t="s">
        <v>571</v>
      </c>
      <c r="I187" t="s">
        <v>572</v>
      </c>
      <c r="K187" t="s">
        <v>573</v>
      </c>
      <c r="L187" t="s">
        <v>532</v>
      </c>
      <c r="M187" t="s">
        <v>540</v>
      </c>
      <c r="N187" t="s">
        <v>574</v>
      </c>
      <c r="O187" t="s">
        <v>540</v>
      </c>
      <c r="P187">
        <v>1</v>
      </c>
      <c r="Q187" t="s">
        <v>553</v>
      </c>
      <c r="R187">
        <v>959</v>
      </c>
    </row>
    <row r="188" spans="2:18">
      <c r="B188">
        <v>9</v>
      </c>
      <c r="C188" t="s">
        <v>533</v>
      </c>
      <c r="D188" t="s">
        <v>534</v>
      </c>
      <c r="E188" t="s">
        <v>497</v>
      </c>
      <c r="F188" t="s">
        <v>558</v>
      </c>
      <c r="G188" t="s">
        <v>575</v>
      </c>
      <c r="H188" t="s">
        <v>576</v>
      </c>
      <c r="I188" t="s">
        <v>577</v>
      </c>
      <c r="K188" t="s">
        <v>578</v>
      </c>
      <c r="L188" t="s">
        <v>532</v>
      </c>
      <c r="M188" t="s">
        <v>540</v>
      </c>
      <c r="N188" t="s">
        <v>540</v>
      </c>
      <c r="O188" t="s">
        <v>540</v>
      </c>
      <c r="P188">
        <v>1</v>
      </c>
      <c r="Q188" t="s">
        <v>553</v>
      </c>
      <c r="R188">
        <v>1680</v>
      </c>
    </row>
    <row r="189" spans="2:18">
      <c r="B189">
        <v>10</v>
      </c>
      <c r="C189" t="s">
        <v>533</v>
      </c>
      <c r="D189" t="s">
        <v>534</v>
      </c>
      <c r="E189" t="s">
        <v>497</v>
      </c>
      <c r="F189" t="s">
        <v>558</v>
      </c>
      <c r="G189" t="s">
        <v>579</v>
      </c>
      <c r="H189" t="s">
        <v>584</v>
      </c>
      <c r="I189" t="s">
        <v>585</v>
      </c>
      <c r="K189" t="s">
        <v>586</v>
      </c>
      <c r="L189" t="s">
        <v>532</v>
      </c>
      <c r="M189" t="s">
        <v>540</v>
      </c>
      <c r="N189" t="s">
        <v>587</v>
      </c>
      <c r="O189" t="s">
        <v>540</v>
      </c>
      <c r="P189">
        <v>1</v>
      </c>
      <c r="Q189" t="s">
        <v>553</v>
      </c>
      <c r="R189">
        <v>74</v>
      </c>
    </row>
    <row r="190" spans="2:18">
      <c r="B190">
        <v>11</v>
      </c>
      <c r="C190" t="s">
        <v>533</v>
      </c>
      <c r="D190" t="s">
        <v>534</v>
      </c>
      <c r="E190" t="s">
        <v>497</v>
      </c>
      <c r="F190" t="s">
        <v>558</v>
      </c>
      <c r="G190" t="s">
        <v>588</v>
      </c>
      <c r="H190" t="s">
        <v>694</v>
      </c>
      <c r="I190" t="s">
        <v>695</v>
      </c>
      <c r="K190" t="s">
        <v>696</v>
      </c>
      <c r="L190" t="s">
        <v>532</v>
      </c>
      <c r="M190" t="s">
        <v>540</v>
      </c>
      <c r="N190" t="s">
        <v>592</v>
      </c>
      <c r="O190" t="s">
        <v>540</v>
      </c>
      <c r="P190">
        <v>1</v>
      </c>
      <c r="Q190" t="s">
        <v>553</v>
      </c>
      <c r="R190">
        <v>56</v>
      </c>
    </row>
    <row r="191" spans="2:18">
      <c r="B191">
        <v>12</v>
      </c>
      <c r="C191" t="s">
        <v>533</v>
      </c>
      <c r="D191" t="s">
        <v>534</v>
      </c>
      <c r="E191" t="s">
        <v>497</v>
      </c>
      <c r="F191" t="s">
        <v>558</v>
      </c>
      <c r="G191" t="s">
        <v>588</v>
      </c>
      <c r="H191" t="s">
        <v>589</v>
      </c>
      <c r="I191" t="s">
        <v>590</v>
      </c>
      <c r="K191" t="s">
        <v>591</v>
      </c>
      <c r="L191" t="s">
        <v>532</v>
      </c>
      <c r="M191" t="s">
        <v>540</v>
      </c>
      <c r="N191" t="s">
        <v>592</v>
      </c>
      <c r="O191" t="s">
        <v>540</v>
      </c>
      <c r="P191">
        <v>1</v>
      </c>
      <c r="Q191" t="s">
        <v>553</v>
      </c>
      <c r="R191">
        <v>84</v>
      </c>
    </row>
    <row r="192" spans="2:18">
      <c r="B192">
        <v>13</v>
      </c>
      <c r="C192" t="s">
        <v>533</v>
      </c>
      <c r="D192" t="s">
        <v>534</v>
      </c>
      <c r="E192" t="s">
        <v>497</v>
      </c>
      <c r="F192" t="s">
        <v>558</v>
      </c>
      <c r="G192" t="s">
        <v>593</v>
      </c>
      <c r="H192" t="s">
        <v>594</v>
      </c>
      <c r="I192" t="s">
        <v>595</v>
      </c>
      <c r="K192" t="s">
        <v>596</v>
      </c>
      <c r="L192" t="s">
        <v>532</v>
      </c>
      <c r="M192" t="s">
        <v>540</v>
      </c>
      <c r="N192" t="s">
        <v>597</v>
      </c>
      <c r="O192" t="s">
        <v>540</v>
      </c>
      <c r="P192">
        <v>1</v>
      </c>
      <c r="Q192" t="s">
        <v>553</v>
      </c>
      <c r="R192">
        <v>165</v>
      </c>
    </row>
    <row r="193" spans="2:18">
      <c r="B193">
        <v>14</v>
      </c>
      <c r="C193" t="s">
        <v>533</v>
      </c>
      <c r="D193" t="s">
        <v>534</v>
      </c>
      <c r="E193" t="s">
        <v>497</v>
      </c>
      <c r="F193" t="s">
        <v>558</v>
      </c>
      <c r="G193" t="s">
        <v>559</v>
      </c>
      <c r="H193" t="s">
        <v>598</v>
      </c>
      <c r="I193" t="s">
        <v>599</v>
      </c>
      <c r="K193" t="s">
        <v>600</v>
      </c>
      <c r="L193" t="s">
        <v>532</v>
      </c>
      <c r="M193" t="s">
        <v>540</v>
      </c>
      <c r="N193" t="s">
        <v>540</v>
      </c>
      <c r="O193" t="s">
        <v>540</v>
      </c>
      <c r="P193">
        <v>1</v>
      </c>
      <c r="Q193" t="s">
        <v>553</v>
      </c>
      <c r="R193">
        <v>43</v>
      </c>
    </row>
    <row r="194" spans="2:18">
      <c r="B194">
        <v>15</v>
      </c>
      <c r="C194" t="s">
        <v>533</v>
      </c>
      <c r="D194" t="s">
        <v>534</v>
      </c>
      <c r="E194" t="s">
        <v>497</v>
      </c>
      <c r="F194" t="s">
        <v>558</v>
      </c>
      <c r="G194" t="s">
        <v>559</v>
      </c>
      <c r="H194" t="s">
        <v>601</v>
      </c>
      <c r="I194" t="s">
        <v>602</v>
      </c>
      <c r="K194" t="s">
        <v>603</v>
      </c>
      <c r="L194" t="s">
        <v>532</v>
      </c>
      <c r="M194" t="s">
        <v>540</v>
      </c>
      <c r="N194" t="s">
        <v>604</v>
      </c>
      <c r="O194" t="s">
        <v>540</v>
      </c>
      <c r="P194">
        <v>1</v>
      </c>
      <c r="Q194" t="s">
        <v>553</v>
      </c>
      <c r="R194">
        <v>77</v>
      </c>
    </row>
    <row r="195" spans="2:18">
      <c r="B195">
        <v>16</v>
      </c>
      <c r="C195" t="s">
        <v>533</v>
      </c>
      <c r="D195" t="s">
        <v>534</v>
      </c>
      <c r="E195" t="s">
        <v>497</v>
      </c>
      <c r="F195" t="s">
        <v>558</v>
      </c>
      <c r="G195" t="s">
        <v>536</v>
      </c>
      <c r="H195" t="s">
        <v>605</v>
      </c>
      <c r="I195" t="s">
        <v>697</v>
      </c>
      <c r="K195" t="s">
        <v>698</v>
      </c>
      <c r="L195" t="s">
        <v>532</v>
      </c>
      <c r="M195" t="s">
        <v>540</v>
      </c>
      <c r="N195" t="s">
        <v>699</v>
      </c>
      <c r="O195" t="s">
        <v>540</v>
      </c>
      <c r="P195">
        <v>2</v>
      </c>
      <c r="Q195" t="s">
        <v>609</v>
      </c>
      <c r="R195">
        <v>415</v>
      </c>
    </row>
    <row r="196" spans="2:18">
      <c r="B196">
        <v>17</v>
      </c>
      <c r="C196" t="s">
        <v>533</v>
      </c>
      <c r="D196" t="s">
        <v>534</v>
      </c>
      <c r="E196" t="s">
        <v>497</v>
      </c>
      <c r="F196" t="s">
        <v>558</v>
      </c>
      <c r="G196" t="s">
        <v>610</v>
      </c>
      <c r="H196" t="s">
        <v>611</v>
      </c>
      <c r="I196" t="s">
        <v>612</v>
      </c>
      <c r="K196" t="s">
        <v>613</v>
      </c>
      <c r="L196" t="s">
        <v>532</v>
      </c>
      <c r="M196" t="s">
        <v>540</v>
      </c>
      <c r="N196" t="s">
        <v>614</v>
      </c>
      <c r="O196" t="s">
        <v>540</v>
      </c>
      <c r="P196">
        <v>1</v>
      </c>
      <c r="Q196" t="s">
        <v>615</v>
      </c>
      <c r="R196">
        <v>53</v>
      </c>
    </row>
    <row r="197" spans="2:18">
      <c r="B197">
        <v>18</v>
      </c>
      <c r="C197" t="s">
        <v>533</v>
      </c>
      <c r="D197" t="s">
        <v>534</v>
      </c>
      <c r="E197" t="s">
        <v>497</v>
      </c>
      <c r="F197" t="s">
        <v>558</v>
      </c>
      <c r="G197" t="s">
        <v>610</v>
      </c>
      <c r="H197" t="s">
        <v>611</v>
      </c>
      <c r="I197" t="s">
        <v>687</v>
      </c>
      <c r="K197" t="s">
        <v>688</v>
      </c>
      <c r="L197" t="s">
        <v>532</v>
      </c>
      <c r="M197" t="s">
        <v>540</v>
      </c>
      <c r="N197" t="s">
        <v>614</v>
      </c>
      <c r="O197" t="s">
        <v>540</v>
      </c>
      <c r="P197">
        <v>1</v>
      </c>
      <c r="Q197" t="s">
        <v>689</v>
      </c>
      <c r="R197">
        <v>77</v>
      </c>
    </row>
    <row r="198" spans="2:18">
      <c r="B198">
        <v>19</v>
      </c>
      <c r="C198" t="s">
        <v>533</v>
      </c>
      <c r="D198" t="s">
        <v>534</v>
      </c>
      <c r="E198" t="s">
        <v>497</v>
      </c>
      <c r="F198" t="s">
        <v>558</v>
      </c>
      <c r="G198" t="s">
        <v>559</v>
      </c>
      <c r="H198" t="s">
        <v>477</v>
      </c>
      <c r="I198" t="s">
        <v>616</v>
      </c>
      <c r="K198" t="s">
        <v>617</v>
      </c>
      <c r="L198" t="s">
        <v>532</v>
      </c>
      <c r="M198" t="s">
        <v>540</v>
      </c>
      <c r="N198" t="s">
        <v>540</v>
      </c>
      <c r="O198" t="s">
        <v>540</v>
      </c>
      <c r="P198">
        <v>1</v>
      </c>
      <c r="Q198" t="s">
        <v>618</v>
      </c>
      <c r="R198">
        <v>875</v>
      </c>
    </row>
    <row r="199" spans="2:18">
      <c r="B199">
        <v>20</v>
      </c>
      <c r="C199" t="s">
        <v>533</v>
      </c>
      <c r="D199" t="s">
        <v>534</v>
      </c>
      <c r="E199" t="s">
        <v>497</v>
      </c>
      <c r="F199" t="s">
        <v>558</v>
      </c>
      <c r="G199" t="s">
        <v>559</v>
      </c>
      <c r="H199" t="s">
        <v>478</v>
      </c>
      <c r="I199" t="s">
        <v>683</v>
      </c>
      <c r="K199" t="s">
        <v>684</v>
      </c>
      <c r="L199" t="s">
        <v>532</v>
      </c>
      <c r="M199" t="s">
        <v>540</v>
      </c>
      <c r="N199" t="s">
        <v>685</v>
      </c>
      <c r="O199" t="s">
        <v>540</v>
      </c>
      <c r="P199">
        <v>1</v>
      </c>
      <c r="Q199" t="s">
        <v>567</v>
      </c>
      <c r="R199">
        <v>331</v>
      </c>
    </row>
    <row r="200" spans="2:18">
      <c r="B200">
        <v>21</v>
      </c>
      <c r="C200" t="s">
        <v>533</v>
      </c>
      <c r="D200" t="s">
        <v>534</v>
      </c>
      <c r="E200" t="s">
        <v>497</v>
      </c>
      <c r="F200" t="s">
        <v>558</v>
      </c>
      <c r="G200" t="s">
        <v>559</v>
      </c>
      <c r="H200" t="s">
        <v>622</v>
      </c>
      <c r="I200" t="s">
        <v>623</v>
      </c>
      <c r="K200" t="s">
        <v>624</v>
      </c>
      <c r="L200" t="s">
        <v>532</v>
      </c>
      <c r="M200" t="s">
        <v>540</v>
      </c>
      <c r="N200" t="s">
        <v>625</v>
      </c>
      <c r="O200" t="s">
        <v>540</v>
      </c>
      <c r="P200">
        <v>1</v>
      </c>
      <c r="Q200" t="s">
        <v>547</v>
      </c>
      <c r="R200">
        <v>92</v>
      </c>
    </row>
    <row r="201" spans="2:18">
      <c r="B201">
        <v>22</v>
      </c>
      <c r="C201" t="s">
        <v>533</v>
      </c>
      <c r="D201" t="s">
        <v>534</v>
      </c>
      <c r="E201" t="s">
        <v>497</v>
      </c>
      <c r="F201" t="s">
        <v>558</v>
      </c>
      <c r="G201" t="s">
        <v>559</v>
      </c>
      <c r="H201" t="s">
        <v>626</v>
      </c>
      <c r="I201" t="s">
        <v>627</v>
      </c>
      <c r="K201" t="s">
        <v>628</v>
      </c>
      <c r="L201" t="s">
        <v>532</v>
      </c>
      <c r="M201" t="s">
        <v>540</v>
      </c>
      <c r="N201" t="s">
        <v>540</v>
      </c>
      <c r="O201" t="s">
        <v>540</v>
      </c>
      <c r="P201">
        <v>1</v>
      </c>
      <c r="Q201" t="s">
        <v>629</v>
      </c>
      <c r="R201">
        <v>58</v>
      </c>
    </row>
    <row r="202" spans="2:18">
      <c r="B202">
        <v>23</v>
      </c>
      <c r="C202" t="s">
        <v>533</v>
      </c>
      <c r="D202" t="s">
        <v>534</v>
      </c>
      <c r="E202" t="s">
        <v>497</v>
      </c>
      <c r="F202" t="s">
        <v>630</v>
      </c>
      <c r="G202" t="s">
        <v>593</v>
      </c>
      <c r="H202" t="s">
        <v>631</v>
      </c>
      <c r="I202" t="s">
        <v>632</v>
      </c>
      <c r="K202" t="s">
        <v>633</v>
      </c>
      <c r="L202" t="s">
        <v>532</v>
      </c>
      <c r="M202" t="s">
        <v>540</v>
      </c>
      <c r="N202" t="s">
        <v>540</v>
      </c>
      <c r="O202" t="s">
        <v>540</v>
      </c>
      <c r="P202">
        <v>1</v>
      </c>
      <c r="Q202" t="s">
        <v>553</v>
      </c>
      <c r="R202">
        <v>41</v>
      </c>
    </row>
    <row r="203" spans="2:18">
      <c r="B203">
        <v>24</v>
      </c>
      <c r="C203" t="s">
        <v>533</v>
      </c>
      <c r="D203" t="s">
        <v>534</v>
      </c>
      <c r="E203" t="s">
        <v>497</v>
      </c>
      <c r="F203" t="s">
        <v>630</v>
      </c>
      <c r="G203" t="s">
        <v>536</v>
      </c>
      <c r="H203" t="s">
        <v>634</v>
      </c>
      <c r="I203" t="s">
        <v>635</v>
      </c>
      <c r="K203" t="s">
        <v>636</v>
      </c>
      <c r="L203" t="s">
        <v>532</v>
      </c>
      <c r="M203" t="s">
        <v>540</v>
      </c>
      <c r="N203" t="s">
        <v>637</v>
      </c>
      <c r="O203" t="s">
        <v>540</v>
      </c>
      <c r="P203">
        <v>1</v>
      </c>
      <c r="Q203" t="s">
        <v>609</v>
      </c>
      <c r="R203">
        <v>290</v>
      </c>
    </row>
    <row r="204" spans="2:18">
      <c r="B204">
        <v>25</v>
      </c>
      <c r="C204" t="s">
        <v>533</v>
      </c>
      <c r="D204" t="s">
        <v>534</v>
      </c>
      <c r="E204" t="s">
        <v>497</v>
      </c>
      <c r="F204" t="s">
        <v>630</v>
      </c>
      <c r="G204" t="s">
        <v>575</v>
      </c>
      <c r="H204" t="s">
        <v>638</v>
      </c>
      <c r="I204" t="s">
        <v>639</v>
      </c>
      <c r="K204" t="s">
        <v>640</v>
      </c>
      <c r="L204" t="s">
        <v>532</v>
      </c>
      <c r="M204" t="s">
        <v>540</v>
      </c>
      <c r="N204" t="s">
        <v>641</v>
      </c>
      <c r="O204" t="s">
        <v>540</v>
      </c>
      <c r="P204">
        <v>1</v>
      </c>
      <c r="Q204" t="s">
        <v>553</v>
      </c>
      <c r="R204">
        <v>100</v>
      </c>
    </row>
    <row r="205" spans="2:18">
      <c r="B205">
        <v>26</v>
      </c>
      <c r="C205" t="s">
        <v>533</v>
      </c>
      <c r="D205" t="s">
        <v>534</v>
      </c>
      <c r="E205" t="s">
        <v>497</v>
      </c>
      <c r="F205" t="s">
        <v>630</v>
      </c>
      <c r="G205" t="s">
        <v>559</v>
      </c>
      <c r="H205" t="s">
        <v>642</v>
      </c>
      <c r="I205" t="s">
        <v>643</v>
      </c>
      <c r="K205" t="s">
        <v>644</v>
      </c>
      <c r="L205" t="s">
        <v>532</v>
      </c>
      <c r="M205" t="s">
        <v>540</v>
      </c>
      <c r="N205" t="s">
        <v>645</v>
      </c>
      <c r="O205" t="s">
        <v>540</v>
      </c>
      <c r="P205">
        <v>1</v>
      </c>
      <c r="Q205" t="s">
        <v>646</v>
      </c>
      <c r="R205">
        <v>55</v>
      </c>
    </row>
    <row r="206" spans="2:18">
      <c r="B206">
        <v>27</v>
      </c>
      <c r="C206" t="s">
        <v>533</v>
      </c>
      <c r="D206" t="s">
        <v>534</v>
      </c>
      <c r="E206" t="s">
        <v>497</v>
      </c>
      <c r="F206" t="s">
        <v>630</v>
      </c>
      <c r="G206" t="s">
        <v>579</v>
      </c>
      <c r="H206" t="s">
        <v>647</v>
      </c>
      <c r="I206" t="s">
        <v>648</v>
      </c>
      <c r="K206" t="s">
        <v>649</v>
      </c>
      <c r="L206" t="s">
        <v>532</v>
      </c>
      <c r="M206" t="s">
        <v>540</v>
      </c>
      <c r="N206" t="s">
        <v>592</v>
      </c>
      <c r="O206" t="s">
        <v>540</v>
      </c>
      <c r="P206">
        <v>1</v>
      </c>
      <c r="Q206" t="s">
        <v>553</v>
      </c>
      <c r="R206">
        <v>66.26</v>
      </c>
    </row>
    <row r="207" spans="2:18">
      <c r="B207">
        <v>28</v>
      </c>
      <c r="C207" t="s">
        <v>533</v>
      </c>
      <c r="D207" t="s">
        <v>534</v>
      </c>
      <c r="E207" t="s">
        <v>497</v>
      </c>
      <c r="F207" t="s">
        <v>630</v>
      </c>
      <c r="G207" t="s">
        <v>650</v>
      </c>
      <c r="H207" t="s">
        <v>651</v>
      </c>
      <c r="I207" t="s">
        <v>652</v>
      </c>
      <c r="K207" t="s">
        <v>653</v>
      </c>
      <c r="L207" t="s">
        <v>532</v>
      </c>
      <c r="M207" t="s">
        <v>540</v>
      </c>
      <c r="N207" t="s">
        <v>654</v>
      </c>
      <c r="O207" t="s">
        <v>540</v>
      </c>
      <c r="P207">
        <v>1</v>
      </c>
      <c r="Q207" t="s">
        <v>553</v>
      </c>
      <c r="R207">
        <v>101</v>
      </c>
    </row>
    <row r="208" spans="2:18">
      <c r="B208">
        <v>29</v>
      </c>
      <c r="C208" t="s">
        <v>533</v>
      </c>
      <c r="D208" t="s">
        <v>534</v>
      </c>
      <c r="E208" t="s">
        <v>497</v>
      </c>
      <c r="F208" t="s">
        <v>630</v>
      </c>
      <c r="G208" t="s">
        <v>650</v>
      </c>
      <c r="H208" t="s">
        <v>655</v>
      </c>
      <c r="I208" t="s">
        <v>656</v>
      </c>
      <c r="K208" t="s">
        <v>657</v>
      </c>
      <c r="L208" t="s">
        <v>532</v>
      </c>
      <c r="M208" t="s">
        <v>540</v>
      </c>
      <c r="N208" t="s">
        <v>658</v>
      </c>
      <c r="O208" t="s">
        <v>540</v>
      </c>
      <c r="P208">
        <v>1</v>
      </c>
      <c r="Q208" t="s">
        <v>553</v>
      </c>
      <c r="R208">
        <v>418</v>
      </c>
    </row>
    <row r="209" spans="2:18">
      <c r="B209">
        <v>30</v>
      </c>
      <c r="C209" t="s">
        <v>533</v>
      </c>
      <c r="D209" t="s">
        <v>534</v>
      </c>
      <c r="E209" t="s">
        <v>497</v>
      </c>
      <c r="F209" t="s">
        <v>630</v>
      </c>
      <c r="G209" t="s">
        <v>650</v>
      </c>
      <c r="H209" t="s">
        <v>659</v>
      </c>
      <c r="I209" t="s">
        <v>660</v>
      </c>
      <c r="K209" t="s">
        <v>661</v>
      </c>
      <c r="L209" t="s">
        <v>532</v>
      </c>
      <c r="M209" t="s">
        <v>540</v>
      </c>
      <c r="N209" t="s">
        <v>662</v>
      </c>
      <c r="O209" t="s">
        <v>540</v>
      </c>
      <c r="P209">
        <v>1</v>
      </c>
      <c r="Q209" t="s">
        <v>553</v>
      </c>
      <c r="R209">
        <v>37</v>
      </c>
    </row>
    <row r="210" spans="2:18">
      <c r="B210">
        <v>31</v>
      </c>
      <c r="C210" t="s">
        <v>533</v>
      </c>
      <c r="D210" t="s">
        <v>534</v>
      </c>
      <c r="E210" t="s">
        <v>497</v>
      </c>
      <c r="F210" t="s">
        <v>630</v>
      </c>
      <c r="G210" t="s">
        <v>575</v>
      </c>
      <c r="H210" t="s">
        <v>663</v>
      </c>
      <c r="I210" t="s">
        <v>664</v>
      </c>
      <c r="K210" t="s">
        <v>665</v>
      </c>
      <c r="L210" t="s">
        <v>532</v>
      </c>
      <c r="M210" t="s">
        <v>540</v>
      </c>
      <c r="N210" t="s">
        <v>666</v>
      </c>
      <c r="O210" t="s">
        <v>540</v>
      </c>
      <c r="P210">
        <v>1</v>
      </c>
      <c r="Q210" t="s">
        <v>667</v>
      </c>
      <c r="R210">
        <v>370</v>
      </c>
    </row>
    <row r="211" spans="2:18">
      <c r="B211">
        <v>32</v>
      </c>
      <c r="C211" t="s">
        <v>533</v>
      </c>
      <c r="D211" t="s">
        <v>534</v>
      </c>
      <c r="E211" t="s">
        <v>497</v>
      </c>
      <c r="F211" t="s">
        <v>630</v>
      </c>
      <c r="G211" t="s">
        <v>548</v>
      </c>
      <c r="H211" t="s">
        <v>668</v>
      </c>
      <c r="I211" t="s">
        <v>669</v>
      </c>
      <c r="K211" t="s">
        <v>670</v>
      </c>
      <c r="L211" t="s">
        <v>532</v>
      </c>
      <c r="M211" t="s">
        <v>540</v>
      </c>
      <c r="N211" t="s">
        <v>671</v>
      </c>
      <c r="O211" t="s">
        <v>540</v>
      </c>
      <c r="P211">
        <v>1</v>
      </c>
      <c r="Q211" t="s">
        <v>567</v>
      </c>
      <c r="R211">
        <v>4.7</v>
      </c>
    </row>
    <row r="212" spans="2:18">
      <c r="B212">
        <v>33</v>
      </c>
      <c r="C212" t="s">
        <v>533</v>
      </c>
      <c r="D212" t="s">
        <v>534</v>
      </c>
      <c r="E212" t="s">
        <v>497</v>
      </c>
      <c r="F212" t="s">
        <v>630</v>
      </c>
      <c r="G212" t="s">
        <v>650</v>
      </c>
      <c r="H212" t="s">
        <v>672</v>
      </c>
      <c r="I212" t="s">
        <v>673</v>
      </c>
      <c r="K212" t="s">
        <v>674</v>
      </c>
      <c r="L212" t="s">
        <v>532</v>
      </c>
      <c r="M212" t="s">
        <v>540</v>
      </c>
      <c r="N212" t="s">
        <v>675</v>
      </c>
      <c r="O212" t="s">
        <v>540</v>
      </c>
      <c r="P212">
        <v>1</v>
      </c>
      <c r="Q212" t="s">
        <v>618</v>
      </c>
      <c r="R212">
        <v>370</v>
      </c>
    </row>
    <row r="213" spans="2:18">
      <c r="B213">
        <v>34</v>
      </c>
      <c r="C213" t="s">
        <v>533</v>
      </c>
      <c r="D213" t="s">
        <v>534</v>
      </c>
      <c r="E213" t="s">
        <v>497</v>
      </c>
      <c r="F213" t="s">
        <v>630</v>
      </c>
      <c r="G213" t="s">
        <v>650</v>
      </c>
      <c r="H213" t="s">
        <v>676</v>
      </c>
      <c r="I213" t="s">
        <v>677</v>
      </c>
      <c r="K213" t="s">
        <v>678</v>
      </c>
      <c r="L213" t="s">
        <v>532</v>
      </c>
      <c r="M213" t="s">
        <v>540</v>
      </c>
      <c r="N213" t="s">
        <v>679</v>
      </c>
      <c r="O213" t="s">
        <v>540</v>
      </c>
      <c r="P213">
        <v>1</v>
      </c>
      <c r="Q213" t="s">
        <v>553</v>
      </c>
      <c r="R213">
        <v>39.5</v>
      </c>
    </row>
    <row r="214" spans="2:18">
      <c r="B214">
        <v>35</v>
      </c>
      <c r="C214" t="s">
        <v>533</v>
      </c>
      <c r="D214" t="s">
        <v>534</v>
      </c>
      <c r="E214" t="s">
        <v>497</v>
      </c>
      <c r="F214" t="s">
        <v>630</v>
      </c>
      <c r="G214" t="s">
        <v>650</v>
      </c>
      <c r="H214" t="s">
        <v>680</v>
      </c>
      <c r="I214" t="s">
        <v>681</v>
      </c>
      <c r="K214" t="s">
        <v>682</v>
      </c>
      <c r="L214" t="s">
        <v>532</v>
      </c>
      <c r="M214" t="s">
        <v>540</v>
      </c>
      <c r="N214" t="s">
        <v>679</v>
      </c>
      <c r="O214" t="s">
        <v>540</v>
      </c>
      <c r="P214">
        <v>1</v>
      </c>
      <c r="Q214" t="s">
        <v>553</v>
      </c>
      <c r="R214">
        <v>17.2</v>
      </c>
    </row>
    <row r="215" spans="2:18">
      <c r="B215">
        <v>1</v>
      </c>
      <c r="C215" t="s">
        <v>533</v>
      </c>
      <c r="D215" t="s">
        <v>534</v>
      </c>
      <c r="E215" t="s">
        <v>498</v>
      </c>
      <c r="F215" t="s">
        <v>535</v>
      </c>
      <c r="G215" t="s">
        <v>536</v>
      </c>
      <c r="H215" t="s">
        <v>537</v>
      </c>
      <c r="I215" t="s">
        <v>538</v>
      </c>
      <c r="K215" t="s">
        <v>539</v>
      </c>
      <c r="L215" t="s">
        <v>532</v>
      </c>
      <c r="M215" t="s">
        <v>540</v>
      </c>
      <c r="N215" t="s">
        <v>541</v>
      </c>
      <c r="O215" t="s">
        <v>540</v>
      </c>
      <c r="P215">
        <v>1</v>
      </c>
      <c r="Q215" t="s">
        <v>542</v>
      </c>
      <c r="R215">
        <v>920</v>
      </c>
    </row>
    <row r="216" spans="2:18">
      <c r="B216">
        <v>2</v>
      </c>
      <c r="C216" t="s">
        <v>533</v>
      </c>
      <c r="D216" t="s">
        <v>534</v>
      </c>
      <c r="E216" t="s">
        <v>498</v>
      </c>
      <c r="F216" t="s">
        <v>535</v>
      </c>
      <c r="G216" t="s">
        <v>536</v>
      </c>
      <c r="H216" t="s">
        <v>543</v>
      </c>
      <c r="I216" t="s">
        <v>544</v>
      </c>
      <c r="K216" t="s">
        <v>545</v>
      </c>
      <c r="L216" t="s">
        <v>532</v>
      </c>
      <c r="M216" t="s">
        <v>540</v>
      </c>
      <c r="N216" t="s">
        <v>546</v>
      </c>
      <c r="O216" t="s">
        <v>540</v>
      </c>
      <c r="P216">
        <v>1</v>
      </c>
      <c r="Q216" t="s">
        <v>547</v>
      </c>
      <c r="R216">
        <v>380</v>
      </c>
    </row>
    <row r="217" spans="2:18">
      <c r="B217">
        <v>3</v>
      </c>
      <c r="C217" t="s">
        <v>533</v>
      </c>
      <c r="D217" t="s">
        <v>534</v>
      </c>
      <c r="E217" t="s">
        <v>498</v>
      </c>
      <c r="F217" t="s">
        <v>535</v>
      </c>
      <c r="G217" t="s">
        <v>548</v>
      </c>
      <c r="H217" t="s">
        <v>549</v>
      </c>
      <c r="I217" t="s">
        <v>550</v>
      </c>
      <c r="K217" t="s">
        <v>551</v>
      </c>
      <c r="L217" t="s">
        <v>532</v>
      </c>
      <c r="M217" t="s">
        <v>540</v>
      </c>
      <c r="N217" t="s">
        <v>552</v>
      </c>
      <c r="O217" t="s">
        <v>540</v>
      </c>
      <c r="P217">
        <v>1</v>
      </c>
      <c r="Q217" t="s">
        <v>553</v>
      </c>
      <c r="R217">
        <v>14</v>
      </c>
    </row>
    <row r="218" spans="2:18">
      <c r="B218">
        <v>4</v>
      </c>
      <c r="C218" t="s">
        <v>533</v>
      </c>
      <c r="D218" t="s">
        <v>534</v>
      </c>
      <c r="E218" t="s">
        <v>498</v>
      </c>
      <c r="F218" t="s">
        <v>535</v>
      </c>
      <c r="G218" t="s">
        <v>548</v>
      </c>
      <c r="H218" t="s">
        <v>554</v>
      </c>
      <c r="I218" t="s">
        <v>555</v>
      </c>
      <c r="K218" t="s">
        <v>556</v>
      </c>
      <c r="L218" t="s">
        <v>532</v>
      </c>
      <c r="M218" t="s">
        <v>540</v>
      </c>
      <c r="N218" t="s">
        <v>557</v>
      </c>
      <c r="O218" t="s">
        <v>540</v>
      </c>
      <c r="P218">
        <v>1</v>
      </c>
      <c r="Q218" t="s">
        <v>553</v>
      </c>
      <c r="R218">
        <v>33</v>
      </c>
    </row>
    <row r="219" spans="2:18">
      <c r="B219">
        <v>5</v>
      </c>
      <c r="C219" t="s">
        <v>533</v>
      </c>
      <c r="D219" t="s">
        <v>534</v>
      </c>
      <c r="E219" t="s">
        <v>498</v>
      </c>
      <c r="F219" t="s">
        <v>558</v>
      </c>
      <c r="G219" t="s">
        <v>559</v>
      </c>
      <c r="H219" t="s">
        <v>560</v>
      </c>
      <c r="I219" t="s">
        <v>561</v>
      </c>
      <c r="K219" t="s">
        <v>562</v>
      </c>
      <c r="L219" t="s">
        <v>532</v>
      </c>
      <c r="M219" t="s">
        <v>540</v>
      </c>
      <c r="N219" t="s">
        <v>563</v>
      </c>
      <c r="O219" t="s">
        <v>540</v>
      </c>
      <c r="P219">
        <v>1</v>
      </c>
      <c r="Q219" t="s">
        <v>553</v>
      </c>
      <c r="R219">
        <v>223</v>
      </c>
    </row>
    <row r="220" spans="2:18">
      <c r="B220">
        <v>6</v>
      </c>
      <c r="C220" t="s">
        <v>533</v>
      </c>
      <c r="D220" t="s">
        <v>534</v>
      </c>
      <c r="E220" t="s">
        <v>498</v>
      </c>
      <c r="F220" t="s">
        <v>558</v>
      </c>
      <c r="G220" t="s">
        <v>559</v>
      </c>
      <c r="H220" t="s">
        <v>564</v>
      </c>
      <c r="I220" t="s">
        <v>565</v>
      </c>
      <c r="K220" t="s">
        <v>566</v>
      </c>
      <c r="L220" t="s">
        <v>532</v>
      </c>
      <c r="M220" t="s">
        <v>540</v>
      </c>
      <c r="N220" t="s">
        <v>540</v>
      </c>
      <c r="O220" t="s">
        <v>540</v>
      </c>
      <c r="P220">
        <v>1</v>
      </c>
      <c r="Q220" t="s">
        <v>567</v>
      </c>
      <c r="R220">
        <v>640</v>
      </c>
    </row>
    <row r="221" spans="2:18">
      <c r="B221">
        <v>7</v>
      </c>
      <c r="C221" t="s">
        <v>533</v>
      </c>
      <c r="D221" t="s">
        <v>534</v>
      </c>
      <c r="E221" t="s">
        <v>498</v>
      </c>
      <c r="F221" t="s">
        <v>558</v>
      </c>
      <c r="G221" t="s">
        <v>559</v>
      </c>
      <c r="H221" t="s">
        <v>568</v>
      </c>
      <c r="I221" t="s">
        <v>569</v>
      </c>
      <c r="K221" t="s">
        <v>570</v>
      </c>
      <c r="L221" t="s">
        <v>532</v>
      </c>
      <c r="M221" t="s">
        <v>540</v>
      </c>
      <c r="N221" t="s">
        <v>540</v>
      </c>
      <c r="O221" t="s">
        <v>540</v>
      </c>
      <c r="P221">
        <v>1</v>
      </c>
      <c r="Q221" t="s">
        <v>567</v>
      </c>
      <c r="R221">
        <v>425</v>
      </c>
    </row>
    <row r="222" spans="2:18">
      <c r="B222">
        <v>8</v>
      </c>
      <c r="C222" t="s">
        <v>533</v>
      </c>
      <c r="D222" t="s">
        <v>534</v>
      </c>
      <c r="E222" t="s">
        <v>498</v>
      </c>
      <c r="F222" t="s">
        <v>558</v>
      </c>
      <c r="G222" t="s">
        <v>559</v>
      </c>
      <c r="H222" t="s">
        <v>571</v>
      </c>
      <c r="I222" t="s">
        <v>572</v>
      </c>
      <c r="K222" t="s">
        <v>573</v>
      </c>
      <c r="L222" t="s">
        <v>532</v>
      </c>
      <c r="M222" t="s">
        <v>540</v>
      </c>
      <c r="N222" t="s">
        <v>574</v>
      </c>
      <c r="O222" t="s">
        <v>540</v>
      </c>
      <c r="P222">
        <v>1</v>
      </c>
      <c r="Q222" t="s">
        <v>553</v>
      </c>
      <c r="R222">
        <v>959</v>
      </c>
    </row>
    <row r="223" spans="2:18">
      <c r="B223">
        <v>9</v>
      </c>
      <c r="C223" t="s">
        <v>533</v>
      </c>
      <c r="D223" t="s">
        <v>534</v>
      </c>
      <c r="E223" t="s">
        <v>498</v>
      </c>
      <c r="F223" t="s">
        <v>558</v>
      </c>
      <c r="G223" t="s">
        <v>575</v>
      </c>
      <c r="H223" t="s">
        <v>576</v>
      </c>
      <c r="I223" t="s">
        <v>577</v>
      </c>
      <c r="K223" t="s">
        <v>578</v>
      </c>
      <c r="L223" t="s">
        <v>532</v>
      </c>
      <c r="M223" t="s">
        <v>540</v>
      </c>
      <c r="N223" t="s">
        <v>540</v>
      </c>
      <c r="O223" t="s">
        <v>540</v>
      </c>
      <c r="P223">
        <v>1</v>
      </c>
      <c r="Q223" t="s">
        <v>553</v>
      </c>
      <c r="R223">
        <v>1680</v>
      </c>
    </row>
    <row r="224" spans="2:18">
      <c r="B224">
        <v>10</v>
      </c>
      <c r="C224" t="s">
        <v>533</v>
      </c>
      <c r="D224" t="s">
        <v>534</v>
      </c>
      <c r="E224" t="s">
        <v>498</v>
      </c>
      <c r="F224" t="s">
        <v>558</v>
      </c>
      <c r="G224" t="s">
        <v>579</v>
      </c>
      <c r="H224" t="s">
        <v>580</v>
      </c>
      <c r="I224" t="s">
        <v>581</v>
      </c>
      <c r="K224" t="s">
        <v>582</v>
      </c>
      <c r="L224" t="s">
        <v>532</v>
      </c>
      <c r="M224" t="s">
        <v>540</v>
      </c>
      <c r="N224" t="s">
        <v>583</v>
      </c>
      <c r="O224" t="s">
        <v>540</v>
      </c>
      <c r="P224">
        <v>1</v>
      </c>
      <c r="Q224" t="s">
        <v>553</v>
      </c>
      <c r="R224">
        <v>56</v>
      </c>
    </row>
    <row r="225" spans="2:18">
      <c r="B225">
        <v>11</v>
      </c>
      <c r="C225" t="s">
        <v>533</v>
      </c>
      <c r="D225" t="s">
        <v>534</v>
      </c>
      <c r="E225" t="s">
        <v>498</v>
      </c>
      <c r="F225" t="s">
        <v>558</v>
      </c>
      <c r="G225" t="s">
        <v>579</v>
      </c>
      <c r="H225" t="s">
        <v>584</v>
      </c>
      <c r="I225" t="s">
        <v>585</v>
      </c>
      <c r="K225" t="s">
        <v>586</v>
      </c>
      <c r="L225" t="s">
        <v>532</v>
      </c>
      <c r="M225" t="s">
        <v>540</v>
      </c>
      <c r="N225" t="s">
        <v>587</v>
      </c>
      <c r="O225" t="s">
        <v>540</v>
      </c>
      <c r="P225">
        <v>1</v>
      </c>
      <c r="Q225" t="s">
        <v>553</v>
      </c>
      <c r="R225">
        <v>74</v>
      </c>
    </row>
    <row r="226" spans="2:18">
      <c r="B226">
        <v>12</v>
      </c>
      <c r="C226" t="s">
        <v>533</v>
      </c>
      <c r="D226" t="s">
        <v>534</v>
      </c>
      <c r="E226" t="s">
        <v>498</v>
      </c>
      <c r="F226" t="s">
        <v>558</v>
      </c>
      <c r="G226" t="s">
        <v>588</v>
      </c>
      <c r="H226" t="s">
        <v>589</v>
      </c>
      <c r="I226" t="s">
        <v>590</v>
      </c>
      <c r="K226" t="s">
        <v>591</v>
      </c>
      <c r="L226" t="s">
        <v>532</v>
      </c>
      <c r="M226" t="s">
        <v>540</v>
      </c>
      <c r="N226" t="s">
        <v>592</v>
      </c>
      <c r="O226" t="s">
        <v>540</v>
      </c>
      <c r="P226">
        <v>1</v>
      </c>
      <c r="Q226" t="s">
        <v>553</v>
      </c>
      <c r="R226">
        <v>84</v>
      </c>
    </row>
    <row r="227" spans="2:18">
      <c r="B227">
        <v>13</v>
      </c>
      <c r="C227" t="s">
        <v>533</v>
      </c>
      <c r="D227" t="s">
        <v>534</v>
      </c>
      <c r="E227" t="s">
        <v>498</v>
      </c>
      <c r="F227" t="s">
        <v>558</v>
      </c>
      <c r="G227" t="s">
        <v>593</v>
      </c>
      <c r="H227" t="s">
        <v>594</v>
      </c>
      <c r="I227" t="s">
        <v>595</v>
      </c>
      <c r="K227" t="s">
        <v>596</v>
      </c>
      <c r="L227" t="s">
        <v>532</v>
      </c>
      <c r="M227" t="s">
        <v>540</v>
      </c>
      <c r="N227" t="s">
        <v>597</v>
      </c>
      <c r="O227" t="s">
        <v>540</v>
      </c>
      <c r="P227">
        <v>1</v>
      </c>
      <c r="Q227" t="s">
        <v>553</v>
      </c>
      <c r="R227">
        <v>165</v>
      </c>
    </row>
    <row r="228" spans="2:18">
      <c r="B228">
        <v>14</v>
      </c>
      <c r="C228" t="s">
        <v>533</v>
      </c>
      <c r="D228" t="s">
        <v>534</v>
      </c>
      <c r="E228" t="s">
        <v>498</v>
      </c>
      <c r="F228" t="s">
        <v>558</v>
      </c>
      <c r="G228" t="s">
        <v>559</v>
      </c>
      <c r="H228" t="s">
        <v>598</v>
      </c>
      <c r="I228" t="s">
        <v>599</v>
      </c>
      <c r="K228" t="s">
        <v>600</v>
      </c>
      <c r="L228" t="s">
        <v>532</v>
      </c>
      <c r="M228" t="s">
        <v>540</v>
      </c>
      <c r="N228" t="s">
        <v>540</v>
      </c>
      <c r="O228" t="s">
        <v>540</v>
      </c>
      <c r="P228">
        <v>1</v>
      </c>
      <c r="Q228" t="s">
        <v>553</v>
      </c>
      <c r="R228">
        <v>43</v>
      </c>
    </row>
    <row r="229" spans="2:18">
      <c r="B229">
        <v>15</v>
      </c>
      <c r="C229" t="s">
        <v>533</v>
      </c>
      <c r="D229" t="s">
        <v>534</v>
      </c>
      <c r="E229" t="s">
        <v>498</v>
      </c>
      <c r="F229" t="s">
        <v>558</v>
      </c>
      <c r="G229" t="s">
        <v>559</v>
      </c>
      <c r="H229" t="s">
        <v>601</v>
      </c>
      <c r="I229" t="s">
        <v>602</v>
      </c>
      <c r="K229" t="s">
        <v>603</v>
      </c>
      <c r="L229" t="s">
        <v>532</v>
      </c>
      <c r="M229" t="s">
        <v>540</v>
      </c>
      <c r="N229" t="s">
        <v>604</v>
      </c>
      <c r="O229" t="s">
        <v>540</v>
      </c>
      <c r="P229">
        <v>1</v>
      </c>
      <c r="Q229" t="s">
        <v>553</v>
      </c>
      <c r="R229">
        <v>77</v>
      </c>
    </row>
    <row r="230" spans="2:18">
      <c r="B230">
        <v>16</v>
      </c>
      <c r="C230" t="s">
        <v>533</v>
      </c>
      <c r="D230" t="s">
        <v>534</v>
      </c>
      <c r="E230" t="s">
        <v>498</v>
      </c>
      <c r="F230" t="s">
        <v>558</v>
      </c>
      <c r="G230" t="s">
        <v>536</v>
      </c>
      <c r="H230" t="s">
        <v>605</v>
      </c>
      <c r="I230" t="s">
        <v>697</v>
      </c>
      <c r="K230" t="s">
        <v>698</v>
      </c>
      <c r="L230" t="s">
        <v>532</v>
      </c>
      <c r="M230" t="s">
        <v>540</v>
      </c>
      <c r="N230" t="s">
        <v>699</v>
      </c>
      <c r="O230" t="s">
        <v>540</v>
      </c>
      <c r="P230">
        <v>3</v>
      </c>
      <c r="Q230" t="s">
        <v>609</v>
      </c>
      <c r="R230">
        <v>415</v>
      </c>
    </row>
    <row r="231" spans="2:18">
      <c r="B231">
        <v>17</v>
      </c>
      <c r="C231" t="s">
        <v>533</v>
      </c>
      <c r="D231" t="s">
        <v>534</v>
      </c>
      <c r="E231" t="s">
        <v>498</v>
      </c>
      <c r="F231" t="s">
        <v>558</v>
      </c>
      <c r="G231" t="s">
        <v>610</v>
      </c>
      <c r="H231" t="s">
        <v>611</v>
      </c>
      <c r="I231" t="s">
        <v>687</v>
      </c>
      <c r="K231" t="s">
        <v>688</v>
      </c>
      <c r="L231" t="s">
        <v>532</v>
      </c>
      <c r="M231" t="s">
        <v>540</v>
      </c>
      <c r="N231" t="s">
        <v>614</v>
      </c>
      <c r="O231" t="s">
        <v>540</v>
      </c>
      <c r="P231">
        <v>3</v>
      </c>
      <c r="Q231" t="s">
        <v>689</v>
      </c>
      <c r="R231">
        <v>77</v>
      </c>
    </row>
    <row r="232" spans="2:18">
      <c r="B232">
        <v>18</v>
      </c>
      <c r="C232" t="s">
        <v>533</v>
      </c>
      <c r="D232" t="s">
        <v>534</v>
      </c>
      <c r="E232" t="s">
        <v>498</v>
      </c>
      <c r="F232" t="s">
        <v>558</v>
      </c>
      <c r="G232" t="s">
        <v>559</v>
      </c>
      <c r="H232" t="s">
        <v>477</v>
      </c>
      <c r="I232" t="s">
        <v>616</v>
      </c>
      <c r="K232" t="s">
        <v>617</v>
      </c>
      <c r="L232" t="s">
        <v>532</v>
      </c>
      <c r="M232" t="s">
        <v>540</v>
      </c>
      <c r="N232" t="s">
        <v>540</v>
      </c>
      <c r="O232" t="s">
        <v>540</v>
      </c>
      <c r="P232">
        <v>1</v>
      </c>
      <c r="Q232" t="s">
        <v>618</v>
      </c>
      <c r="R232">
        <v>875</v>
      </c>
    </row>
    <row r="233" spans="2:18">
      <c r="B233">
        <v>20</v>
      </c>
      <c r="C233" t="s">
        <v>533</v>
      </c>
      <c r="D233" t="s">
        <v>534</v>
      </c>
      <c r="E233" t="s">
        <v>498</v>
      </c>
      <c r="F233" t="s">
        <v>558</v>
      </c>
      <c r="G233" t="s">
        <v>559</v>
      </c>
      <c r="H233" t="s">
        <v>478</v>
      </c>
      <c r="I233" t="s">
        <v>683</v>
      </c>
      <c r="K233" t="s">
        <v>684</v>
      </c>
      <c r="L233" t="s">
        <v>532</v>
      </c>
      <c r="M233" t="s">
        <v>540</v>
      </c>
      <c r="N233" t="s">
        <v>685</v>
      </c>
      <c r="O233" t="s">
        <v>540</v>
      </c>
      <c r="P233">
        <v>1</v>
      </c>
      <c r="Q233" t="s">
        <v>567</v>
      </c>
      <c r="R233">
        <v>331</v>
      </c>
    </row>
    <row r="234" spans="2:18">
      <c r="B234">
        <v>21</v>
      </c>
      <c r="C234" t="s">
        <v>533</v>
      </c>
      <c r="D234" t="s">
        <v>534</v>
      </c>
      <c r="E234" t="s">
        <v>498</v>
      </c>
      <c r="F234" t="s">
        <v>558</v>
      </c>
      <c r="G234" t="s">
        <v>559</v>
      </c>
      <c r="H234" t="s">
        <v>622</v>
      </c>
      <c r="I234" t="s">
        <v>623</v>
      </c>
      <c r="K234" t="s">
        <v>624</v>
      </c>
      <c r="L234" t="s">
        <v>532</v>
      </c>
      <c r="M234" t="s">
        <v>540</v>
      </c>
      <c r="N234" t="s">
        <v>625</v>
      </c>
      <c r="O234" t="s">
        <v>540</v>
      </c>
      <c r="P234">
        <v>1</v>
      </c>
      <c r="Q234" t="s">
        <v>547</v>
      </c>
      <c r="R234">
        <v>92</v>
      </c>
    </row>
    <row r="235" spans="2:18">
      <c r="B235">
        <v>22</v>
      </c>
      <c r="C235" t="s">
        <v>533</v>
      </c>
      <c r="D235" t="s">
        <v>534</v>
      </c>
      <c r="E235" t="s">
        <v>498</v>
      </c>
      <c r="F235" t="s">
        <v>558</v>
      </c>
      <c r="G235" t="s">
        <v>559</v>
      </c>
      <c r="H235" t="s">
        <v>626</v>
      </c>
      <c r="I235" t="s">
        <v>627</v>
      </c>
      <c r="K235" t="s">
        <v>628</v>
      </c>
      <c r="L235" t="s">
        <v>532</v>
      </c>
      <c r="M235" t="s">
        <v>540</v>
      </c>
      <c r="N235" t="s">
        <v>540</v>
      </c>
      <c r="O235" t="s">
        <v>540</v>
      </c>
      <c r="P235">
        <v>1</v>
      </c>
      <c r="Q235" t="s">
        <v>629</v>
      </c>
      <c r="R235">
        <v>58</v>
      </c>
    </row>
    <row r="236" spans="2:18">
      <c r="B236">
        <v>23</v>
      </c>
      <c r="C236" t="s">
        <v>533</v>
      </c>
      <c r="D236" t="s">
        <v>534</v>
      </c>
      <c r="E236" t="s">
        <v>498</v>
      </c>
      <c r="F236" t="s">
        <v>630</v>
      </c>
      <c r="G236" t="s">
        <v>593</v>
      </c>
      <c r="H236" t="s">
        <v>631</v>
      </c>
      <c r="I236" t="s">
        <v>632</v>
      </c>
      <c r="K236" t="s">
        <v>633</v>
      </c>
      <c r="L236" t="s">
        <v>532</v>
      </c>
      <c r="M236" t="s">
        <v>540</v>
      </c>
      <c r="N236" t="s">
        <v>540</v>
      </c>
      <c r="O236" t="s">
        <v>540</v>
      </c>
      <c r="P236">
        <v>1</v>
      </c>
      <c r="Q236" t="s">
        <v>553</v>
      </c>
      <c r="R236">
        <v>41</v>
      </c>
    </row>
    <row r="237" spans="2:18">
      <c r="B237">
        <v>24</v>
      </c>
      <c r="C237" t="s">
        <v>533</v>
      </c>
      <c r="D237" t="s">
        <v>534</v>
      </c>
      <c r="E237" t="s">
        <v>498</v>
      </c>
      <c r="F237" t="s">
        <v>630</v>
      </c>
      <c r="G237" t="s">
        <v>536</v>
      </c>
      <c r="H237" t="s">
        <v>634</v>
      </c>
      <c r="I237" t="s">
        <v>635</v>
      </c>
      <c r="K237" t="s">
        <v>636</v>
      </c>
      <c r="L237" t="s">
        <v>532</v>
      </c>
      <c r="M237" t="s">
        <v>540</v>
      </c>
      <c r="N237" t="s">
        <v>637</v>
      </c>
      <c r="O237" t="s">
        <v>540</v>
      </c>
      <c r="P237">
        <v>1</v>
      </c>
      <c r="Q237" t="s">
        <v>609</v>
      </c>
      <c r="R237">
        <v>290</v>
      </c>
    </row>
    <row r="238" spans="2:18">
      <c r="B238">
        <v>25</v>
      </c>
      <c r="C238" t="s">
        <v>533</v>
      </c>
      <c r="D238" t="s">
        <v>534</v>
      </c>
      <c r="E238" t="s">
        <v>498</v>
      </c>
      <c r="F238" t="s">
        <v>630</v>
      </c>
      <c r="G238" t="s">
        <v>575</v>
      </c>
      <c r="H238" t="s">
        <v>638</v>
      </c>
      <c r="I238" t="s">
        <v>639</v>
      </c>
      <c r="K238" t="s">
        <v>640</v>
      </c>
      <c r="L238" t="s">
        <v>532</v>
      </c>
      <c r="M238" t="s">
        <v>540</v>
      </c>
      <c r="N238" t="s">
        <v>641</v>
      </c>
      <c r="O238" t="s">
        <v>540</v>
      </c>
      <c r="P238">
        <v>1</v>
      </c>
      <c r="Q238" t="s">
        <v>553</v>
      </c>
      <c r="R238">
        <v>100</v>
      </c>
    </row>
    <row r="239" spans="2:18">
      <c r="B239">
        <v>26</v>
      </c>
      <c r="C239" t="s">
        <v>533</v>
      </c>
      <c r="D239" t="s">
        <v>534</v>
      </c>
      <c r="E239" t="s">
        <v>498</v>
      </c>
      <c r="F239" t="s">
        <v>630</v>
      </c>
      <c r="G239" t="s">
        <v>559</v>
      </c>
      <c r="H239" t="s">
        <v>642</v>
      </c>
      <c r="I239" t="s">
        <v>643</v>
      </c>
      <c r="K239" t="s">
        <v>644</v>
      </c>
      <c r="L239" t="s">
        <v>532</v>
      </c>
      <c r="M239" t="s">
        <v>540</v>
      </c>
      <c r="N239" t="s">
        <v>645</v>
      </c>
      <c r="O239" t="s">
        <v>540</v>
      </c>
      <c r="P239">
        <v>1</v>
      </c>
      <c r="Q239" t="s">
        <v>646</v>
      </c>
      <c r="R239">
        <v>55</v>
      </c>
    </row>
    <row r="240" spans="2:18">
      <c r="B240">
        <v>27</v>
      </c>
      <c r="C240" t="s">
        <v>533</v>
      </c>
      <c r="D240" t="s">
        <v>534</v>
      </c>
      <c r="E240" t="s">
        <v>498</v>
      </c>
      <c r="F240" t="s">
        <v>630</v>
      </c>
      <c r="G240" t="s">
        <v>579</v>
      </c>
      <c r="H240" t="s">
        <v>647</v>
      </c>
      <c r="I240" t="s">
        <v>648</v>
      </c>
      <c r="K240" t="s">
        <v>649</v>
      </c>
      <c r="L240" t="s">
        <v>532</v>
      </c>
      <c r="M240" t="s">
        <v>540</v>
      </c>
      <c r="N240" t="s">
        <v>592</v>
      </c>
      <c r="O240" t="s">
        <v>540</v>
      </c>
      <c r="P240">
        <v>1</v>
      </c>
      <c r="Q240" t="s">
        <v>553</v>
      </c>
      <c r="R240">
        <v>66.26</v>
      </c>
    </row>
    <row r="241" spans="2:18">
      <c r="B241">
        <v>28</v>
      </c>
      <c r="C241" t="s">
        <v>533</v>
      </c>
      <c r="D241" t="s">
        <v>534</v>
      </c>
      <c r="E241" t="s">
        <v>498</v>
      </c>
      <c r="F241" t="s">
        <v>630</v>
      </c>
      <c r="G241" t="s">
        <v>650</v>
      </c>
      <c r="H241" t="s">
        <v>651</v>
      </c>
      <c r="I241" t="s">
        <v>652</v>
      </c>
      <c r="K241" t="s">
        <v>653</v>
      </c>
      <c r="L241" t="s">
        <v>532</v>
      </c>
      <c r="M241" t="s">
        <v>540</v>
      </c>
      <c r="N241" t="s">
        <v>654</v>
      </c>
      <c r="O241" t="s">
        <v>540</v>
      </c>
      <c r="P241">
        <v>1</v>
      </c>
      <c r="Q241" t="s">
        <v>553</v>
      </c>
      <c r="R241">
        <v>101</v>
      </c>
    </row>
    <row r="242" spans="2:18">
      <c r="B242">
        <v>29</v>
      </c>
      <c r="C242" t="s">
        <v>533</v>
      </c>
      <c r="D242" t="s">
        <v>534</v>
      </c>
      <c r="E242" t="s">
        <v>498</v>
      </c>
      <c r="F242" t="s">
        <v>630</v>
      </c>
      <c r="G242" t="s">
        <v>650</v>
      </c>
      <c r="H242" t="s">
        <v>655</v>
      </c>
      <c r="I242" t="s">
        <v>656</v>
      </c>
      <c r="K242" t="s">
        <v>657</v>
      </c>
      <c r="L242" t="s">
        <v>532</v>
      </c>
      <c r="M242" t="s">
        <v>540</v>
      </c>
      <c r="N242" t="s">
        <v>658</v>
      </c>
      <c r="O242" t="s">
        <v>540</v>
      </c>
      <c r="P242">
        <v>1</v>
      </c>
      <c r="Q242" t="s">
        <v>553</v>
      </c>
      <c r="R242">
        <v>418</v>
      </c>
    </row>
    <row r="243" spans="2:18">
      <c r="B243">
        <v>30</v>
      </c>
      <c r="C243" t="s">
        <v>533</v>
      </c>
      <c r="D243" t="s">
        <v>534</v>
      </c>
      <c r="E243" t="s">
        <v>498</v>
      </c>
      <c r="F243" t="s">
        <v>630</v>
      </c>
      <c r="G243" t="s">
        <v>650</v>
      </c>
      <c r="H243" t="s">
        <v>659</v>
      </c>
      <c r="I243" t="s">
        <v>660</v>
      </c>
      <c r="K243" t="s">
        <v>661</v>
      </c>
      <c r="L243" t="s">
        <v>532</v>
      </c>
      <c r="M243" t="s">
        <v>540</v>
      </c>
      <c r="N243" t="s">
        <v>662</v>
      </c>
      <c r="O243" t="s">
        <v>540</v>
      </c>
      <c r="P243">
        <v>1</v>
      </c>
      <c r="Q243" t="s">
        <v>553</v>
      </c>
      <c r="R243">
        <v>37</v>
      </c>
    </row>
    <row r="244" spans="2:18">
      <c r="B244">
        <v>31</v>
      </c>
      <c r="C244" t="s">
        <v>533</v>
      </c>
      <c r="D244" t="s">
        <v>534</v>
      </c>
      <c r="E244" t="s">
        <v>498</v>
      </c>
      <c r="F244" t="s">
        <v>630</v>
      </c>
      <c r="G244" t="s">
        <v>575</v>
      </c>
      <c r="H244" t="s">
        <v>663</v>
      </c>
      <c r="I244" t="s">
        <v>664</v>
      </c>
      <c r="K244" t="s">
        <v>665</v>
      </c>
      <c r="L244" t="s">
        <v>532</v>
      </c>
      <c r="M244" t="s">
        <v>540</v>
      </c>
      <c r="N244" t="s">
        <v>666</v>
      </c>
      <c r="O244" t="s">
        <v>540</v>
      </c>
      <c r="P244">
        <v>1</v>
      </c>
      <c r="Q244" t="s">
        <v>667</v>
      </c>
      <c r="R244">
        <v>370</v>
      </c>
    </row>
    <row r="245" spans="2:18">
      <c r="B245">
        <v>32</v>
      </c>
      <c r="C245" t="s">
        <v>533</v>
      </c>
      <c r="D245" t="s">
        <v>534</v>
      </c>
      <c r="E245" t="s">
        <v>498</v>
      </c>
      <c r="F245" t="s">
        <v>630</v>
      </c>
      <c r="G245" t="s">
        <v>548</v>
      </c>
      <c r="H245" t="s">
        <v>668</v>
      </c>
      <c r="I245" t="s">
        <v>669</v>
      </c>
      <c r="K245" t="s">
        <v>670</v>
      </c>
      <c r="L245" t="s">
        <v>532</v>
      </c>
      <c r="M245" t="s">
        <v>540</v>
      </c>
      <c r="N245" t="s">
        <v>671</v>
      </c>
      <c r="O245" t="s">
        <v>540</v>
      </c>
      <c r="P245">
        <v>1</v>
      </c>
      <c r="Q245" t="s">
        <v>567</v>
      </c>
      <c r="R245">
        <v>4.7</v>
      </c>
    </row>
    <row r="246" spans="2:18">
      <c r="B246">
        <v>33</v>
      </c>
      <c r="C246" t="s">
        <v>533</v>
      </c>
      <c r="D246" t="s">
        <v>534</v>
      </c>
      <c r="E246" t="s">
        <v>498</v>
      </c>
      <c r="F246" t="s">
        <v>630</v>
      </c>
      <c r="G246" t="s">
        <v>650</v>
      </c>
      <c r="H246" t="s">
        <v>672</v>
      </c>
      <c r="I246" t="s">
        <v>673</v>
      </c>
      <c r="K246" t="s">
        <v>674</v>
      </c>
      <c r="L246" t="s">
        <v>532</v>
      </c>
      <c r="M246" t="s">
        <v>540</v>
      </c>
      <c r="N246" t="s">
        <v>675</v>
      </c>
      <c r="O246" t="s">
        <v>540</v>
      </c>
      <c r="P246">
        <v>1</v>
      </c>
      <c r="Q246" t="s">
        <v>618</v>
      </c>
      <c r="R246">
        <v>370</v>
      </c>
    </row>
    <row r="247" spans="2:18">
      <c r="B247">
        <v>34</v>
      </c>
      <c r="C247" t="s">
        <v>533</v>
      </c>
      <c r="D247" t="s">
        <v>534</v>
      </c>
      <c r="E247" t="s">
        <v>498</v>
      </c>
      <c r="F247" t="s">
        <v>630</v>
      </c>
      <c r="G247" t="s">
        <v>650</v>
      </c>
      <c r="H247" t="s">
        <v>676</v>
      </c>
      <c r="I247" t="s">
        <v>677</v>
      </c>
      <c r="K247" t="s">
        <v>678</v>
      </c>
      <c r="L247" t="s">
        <v>532</v>
      </c>
      <c r="M247" t="s">
        <v>540</v>
      </c>
      <c r="N247" t="s">
        <v>679</v>
      </c>
      <c r="O247" t="s">
        <v>540</v>
      </c>
      <c r="P247">
        <v>1</v>
      </c>
      <c r="Q247" t="s">
        <v>553</v>
      </c>
      <c r="R247">
        <v>39.5</v>
      </c>
    </row>
    <row r="248" spans="2:18">
      <c r="B248">
        <v>35</v>
      </c>
      <c r="C248" t="s">
        <v>533</v>
      </c>
      <c r="D248" t="s">
        <v>534</v>
      </c>
      <c r="E248" t="s">
        <v>498</v>
      </c>
      <c r="F248" t="s">
        <v>630</v>
      </c>
      <c r="G248" t="s">
        <v>650</v>
      </c>
      <c r="H248" t="s">
        <v>680</v>
      </c>
      <c r="I248" t="s">
        <v>681</v>
      </c>
      <c r="K248" t="s">
        <v>682</v>
      </c>
      <c r="L248" t="s">
        <v>532</v>
      </c>
      <c r="M248" t="s">
        <v>540</v>
      </c>
      <c r="N248" t="s">
        <v>679</v>
      </c>
      <c r="O248" t="s">
        <v>540</v>
      </c>
      <c r="P248">
        <v>1</v>
      </c>
      <c r="Q248" t="s">
        <v>553</v>
      </c>
      <c r="R248">
        <v>17.2</v>
      </c>
    </row>
    <row r="249" spans="2:18">
      <c r="B249">
        <v>1</v>
      </c>
      <c r="C249" t="s">
        <v>533</v>
      </c>
      <c r="D249" t="s">
        <v>534</v>
      </c>
      <c r="E249" t="s">
        <v>499</v>
      </c>
      <c r="F249" t="s">
        <v>535</v>
      </c>
      <c r="G249" t="s">
        <v>536</v>
      </c>
      <c r="H249" t="s">
        <v>537</v>
      </c>
      <c r="I249" t="s">
        <v>538</v>
      </c>
      <c r="K249" t="s">
        <v>539</v>
      </c>
      <c r="L249" t="s">
        <v>532</v>
      </c>
      <c r="M249" t="s">
        <v>540</v>
      </c>
      <c r="N249" t="s">
        <v>541</v>
      </c>
      <c r="O249" t="s">
        <v>540</v>
      </c>
      <c r="P249">
        <v>1</v>
      </c>
      <c r="Q249" t="s">
        <v>542</v>
      </c>
      <c r="R249">
        <v>920</v>
      </c>
    </row>
    <row r="250" spans="2:18">
      <c r="B250">
        <v>2</v>
      </c>
      <c r="C250" t="s">
        <v>533</v>
      </c>
      <c r="D250" t="s">
        <v>534</v>
      </c>
      <c r="E250" t="s">
        <v>499</v>
      </c>
      <c r="F250" t="s">
        <v>535</v>
      </c>
      <c r="G250" t="s">
        <v>536</v>
      </c>
      <c r="H250" t="s">
        <v>543</v>
      </c>
      <c r="I250" t="s">
        <v>544</v>
      </c>
      <c r="K250" t="s">
        <v>545</v>
      </c>
      <c r="L250" t="s">
        <v>532</v>
      </c>
      <c r="M250" t="s">
        <v>540</v>
      </c>
      <c r="N250" t="s">
        <v>546</v>
      </c>
      <c r="O250" t="s">
        <v>540</v>
      </c>
      <c r="P250">
        <v>1</v>
      </c>
      <c r="Q250" t="s">
        <v>547</v>
      </c>
      <c r="R250">
        <v>380</v>
      </c>
    </row>
    <row r="251" spans="2:18">
      <c r="B251">
        <v>3</v>
      </c>
      <c r="C251" t="s">
        <v>533</v>
      </c>
      <c r="D251" t="s">
        <v>534</v>
      </c>
      <c r="E251" t="s">
        <v>499</v>
      </c>
      <c r="F251" t="s">
        <v>535</v>
      </c>
      <c r="G251" t="s">
        <v>548</v>
      </c>
      <c r="H251" t="s">
        <v>549</v>
      </c>
      <c r="I251" t="s">
        <v>550</v>
      </c>
      <c r="K251" t="s">
        <v>551</v>
      </c>
      <c r="L251" t="s">
        <v>532</v>
      </c>
      <c r="M251" t="s">
        <v>540</v>
      </c>
      <c r="N251" t="s">
        <v>552</v>
      </c>
      <c r="O251" t="s">
        <v>540</v>
      </c>
      <c r="P251">
        <v>1</v>
      </c>
      <c r="Q251" t="s">
        <v>553</v>
      </c>
      <c r="R251">
        <v>14</v>
      </c>
    </row>
    <row r="252" spans="2:18">
      <c r="B252">
        <v>4</v>
      </c>
      <c r="C252" t="s">
        <v>533</v>
      </c>
      <c r="D252" t="s">
        <v>534</v>
      </c>
      <c r="E252" t="s">
        <v>499</v>
      </c>
      <c r="F252" t="s">
        <v>535</v>
      </c>
      <c r="G252" t="s">
        <v>548</v>
      </c>
      <c r="H252" t="s">
        <v>554</v>
      </c>
      <c r="I252" t="s">
        <v>555</v>
      </c>
      <c r="K252" t="s">
        <v>556</v>
      </c>
      <c r="L252" t="s">
        <v>532</v>
      </c>
      <c r="M252" t="s">
        <v>540</v>
      </c>
      <c r="N252" t="s">
        <v>557</v>
      </c>
      <c r="O252" t="s">
        <v>540</v>
      </c>
      <c r="P252">
        <v>1</v>
      </c>
      <c r="Q252" t="s">
        <v>553</v>
      </c>
      <c r="R252">
        <v>33</v>
      </c>
    </row>
    <row r="253" spans="2:18">
      <c r="B253">
        <v>5</v>
      </c>
      <c r="C253" t="s">
        <v>533</v>
      </c>
      <c r="D253" t="s">
        <v>534</v>
      </c>
      <c r="E253" t="s">
        <v>499</v>
      </c>
      <c r="F253" t="s">
        <v>686</v>
      </c>
      <c r="G253" t="s">
        <v>559</v>
      </c>
      <c r="H253" t="s">
        <v>560</v>
      </c>
      <c r="I253" t="s">
        <v>561</v>
      </c>
      <c r="K253" t="s">
        <v>562</v>
      </c>
      <c r="L253" t="s">
        <v>532</v>
      </c>
      <c r="M253" t="s">
        <v>540</v>
      </c>
      <c r="N253" t="s">
        <v>563</v>
      </c>
      <c r="O253" t="s">
        <v>540</v>
      </c>
      <c r="P253">
        <v>1</v>
      </c>
      <c r="Q253" t="s">
        <v>553</v>
      </c>
      <c r="R253">
        <v>223</v>
      </c>
    </row>
    <row r="254" spans="2:18">
      <c r="B254">
        <v>6</v>
      </c>
      <c r="C254" t="s">
        <v>533</v>
      </c>
      <c r="D254" t="s">
        <v>534</v>
      </c>
      <c r="E254" t="s">
        <v>499</v>
      </c>
      <c r="F254" t="s">
        <v>686</v>
      </c>
      <c r="G254" t="s">
        <v>559</v>
      </c>
      <c r="H254" t="s">
        <v>700</v>
      </c>
      <c r="I254" t="s">
        <v>701</v>
      </c>
      <c r="K254" t="s">
        <v>702</v>
      </c>
      <c r="L254" t="s">
        <v>532</v>
      </c>
      <c r="M254" t="s">
        <v>540</v>
      </c>
      <c r="N254" t="s">
        <v>540</v>
      </c>
      <c r="O254" t="s">
        <v>540</v>
      </c>
      <c r="P254">
        <v>1</v>
      </c>
      <c r="Q254" t="s">
        <v>553</v>
      </c>
      <c r="R254">
        <v>784</v>
      </c>
    </row>
    <row r="255" spans="2:18">
      <c r="B255">
        <v>7</v>
      </c>
      <c r="C255" t="s">
        <v>533</v>
      </c>
      <c r="D255" t="s">
        <v>534</v>
      </c>
      <c r="E255" t="s">
        <v>499</v>
      </c>
      <c r="F255" t="s">
        <v>686</v>
      </c>
      <c r="G255" t="s">
        <v>559</v>
      </c>
      <c r="H255" t="s">
        <v>481</v>
      </c>
      <c r="I255" t="s">
        <v>703</v>
      </c>
      <c r="K255" t="s">
        <v>704</v>
      </c>
      <c r="L255" t="s">
        <v>532</v>
      </c>
      <c r="M255" t="s">
        <v>540</v>
      </c>
      <c r="N255" t="s">
        <v>705</v>
      </c>
      <c r="O255" t="s">
        <v>540</v>
      </c>
      <c r="P255">
        <v>1</v>
      </c>
      <c r="Q255" t="s">
        <v>567</v>
      </c>
      <c r="R255">
        <v>388</v>
      </c>
    </row>
    <row r="256" spans="2:18">
      <c r="B256">
        <v>8</v>
      </c>
      <c r="C256" t="s">
        <v>533</v>
      </c>
      <c r="D256" t="s">
        <v>534</v>
      </c>
      <c r="E256" t="s">
        <v>499</v>
      </c>
      <c r="F256" t="s">
        <v>686</v>
      </c>
      <c r="G256" t="s">
        <v>559</v>
      </c>
      <c r="H256" t="s">
        <v>622</v>
      </c>
      <c r="I256" t="s">
        <v>706</v>
      </c>
      <c r="K256" t="s">
        <v>707</v>
      </c>
      <c r="L256" t="s">
        <v>532</v>
      </c>
      <c r="M256" t="s">
        <v>540</v>
      </c>
      <c r="N256" t="s">
        <v>708</v>
      </c>
      <c r="O256" t="s">
        <v>540</v>
      </c>
      <c r="P256">
        <v>2</v>
      </c>
      <c r="Q256" t="s">
        <v>547</v>
      </c>
      <c r="R256">
        <v>128</v>
      </c>
    </row>
    <row r="257" spans="2:18">
      <c r="B257">
        <v>9</v>
      </c>
      <c r="C257" t="s">
        <v>533</v>
      </c>
      <c r="D257" t="s">
        <v>534</v>
      </c>
      <c r="E257" t="s">
        <v>499</v>
      </c>
      <c r="F257" t="s">
        <v>686</v>
      </c>
      <c r="G257" t="s">
        <v>575</v>
      </c>
      <c r="H257" t="s">
        <v>576</v>
      </c>
      <c r="I257" t="s">
        <v>577</v>
      </c>
      <c r="K257" t="s">
        <v>578</v>
      </c>
      <c r="L257" t="s">
        <v>532</v>
      </c>
      <c r="M257" t="s">
        <v>540</v>
      </c>
      <c r="N257" t="s">
        <v>540</v>
      </c>
      <c r="O257" t="s">
        <v>540</v>
      </c>
      <c r="P257">
        <v>1</v>
      </c>
      <c r="Q257" t="s">
        <v>553</v>
      </c>
      <c r="R257">
        <v>1680</v>
      </c>
    </row>
    <row r="258" spans="2:18">
      <c r="B258">
        <v>10</v>
      </c>
      <c r="C258" t="s">
        <v>533</v>
      </c>
      <c r="D258" t="s">
        <v>534</v>
      </c>
      <c r="E258" t="s">
        <v>499</v>
      </c>
      <c r="F258" t="s">
        <v>686</v>
      </c>
      <c r="G258" t="s">
        <v>579</v>
      </c>
      <c r="H258" t="s">
        <v>580</v>
      </c>
      <c r="I258" t="s">
        <v>581</v>
      </c>
      <c r="K258" t="s">
        <v>582</v>
      </c>
      <c r="L258" t="s">
        <v>532</v>
      </c>
      <c r="M258" t="s">
        <v>540</v>
      </c>
      <c r="N258" t="s">
        <v>583</v>
      </c>
      <c r="O258" t="s">
        <v>540</v>
      </c>
      <c r="P258">
        <v>1</v>
      </c>
      <c r="Q258" t="s">
        <v>553</v>
      </c>
      <c r="R258">
        <v>56</v>
      </c>
    </row>
    <row r="259" spans="2:18">
      <c r="B259">
        <v>11</v>
      </c>
      <c r="C259" t="s">
        <v>533</v>
      </c>
      <c r="D259" t="s">
        <v>534</v>
      </c>
      <c r="E259" t="s">
        <v>499</v>
      </c>
      <c r="F259" t="s">
        <v>686</v>
      </c>
      <c r="G259" t="s">
        <v>579</v>
      </c>
      <c r="H259" t="s">
        <v>584</v>
      </c>
      <c r="I259" t="s">
        <v>585</v>
      </c>
      <c r="K259" t="s">
        <v>586</v>
      </c>
      <c r="L259" t="s">
        <v>532</v>
      </c>
      <c r="M259" t="s">
        <v>540</v>
      </c>
      <c r="N259" t="s">
        <v>587</v>
      </c>
      <c r="O259" t="s">
        <v>540</v>
      </c>
      <c r="P259">
        <v>1</v>
      </c>
      <c r="Q259" t="s">
        <v>553</v>
      </c>
      <c r="R259">
        <v>74</v>
      </c>
    </row>
    <row r="260" spans="2:18">
      <c r="B260">
        <v>12</v>
      </c>
      <c r="C260" t="s">
        <v>533</v>
      </c>
      <c r="D260" t="s">
        <v>534</v>
      </c>
      <c r="E260" t="s">
        <v>499</v>
      </c>
      <c r="F260" t="s">
        <v>686</v>
      </c>
      <c r="G260" t="s">
        <v>588</v>
      </c>
      <c r="H260" t="s">
        <v>589</v>
      </c>
      <c r="I260" t="s">
        <v>590</v>
      </c>
      <c r="K260" t="s">
        <v>591</v>
      </c>
      <c r="L260" t="s">
        <v>532</v>
      </c>
      <c r="M260" t="s">
        <v>540</v>
      </c>
      <c r="N260" t="s">
        <v>592</v>
      </c>
      <c r="O260" t="s">
        <v>540</v>
      </c>
      <c r="P260">
        <v>1</v>
      </c>
      <c r="Q260" t="s">
        <v>553</v>
      </c>
      <c r="R260">
        <v>84</v>
      </c>
    </row>
    <row r="261" spans="2:18">
      <c r="B261">
        <v>13</v>
      </c>
      <c r="C261" t="s">
        <v>533</v>
      </c>
      <c r="D261" t="s">
        <v>534</v>
      </c>
      <c r="E261" t="s">
        <v>499</v>
      </c>
      <c r="F261" t="s">
        <v>686</v>
      </c>
      <c r="G261" t="s">
        <v>593</v>
      </c>
      <c r="H261" t="s">
        <v>594</v>
      </c>
      <c r="I261" t="s">
        <v>595</v>
      </c>
      <c r="K261" t="s">
        <v>596</v>
      </c>
      <c r="L261" t="s">
        <v>532</v>
      </c>
      <c r="M261" t="s">
        <v>540</v>
      </c>
      <c r="N261" t="s">
        <v>597</v>
      </c>
      <c r="O261" t="s">
        <v>540</v>
      </c>
      <c r="P261">
        <v>1</v>
      </c>
      <c r="Q261" t="s">
        <v>553</v>
      </c>
      <c r="R261">
        <v>165</v>
      </c>
    </row>
    <row r="262" spans="2:18">
      <c r="B262">
        <v>14</v>
      </c>
      <c r="C262" t="s">
        <v>533</v>
      </c>
      <c r="D262" t="s">
        <v>534</v>
      </c>
      <c r="E262" t="s">
        <v>499</v>
      </c>
      <c r="F262" t="s">
        <v>686</v>
      </c>
      <c r="G262" t="s">
        <v>559</v>
      </c>
      <c r="H262" t="s">
        <v>598</v>
      </c>
      <c r="I262" t="s">
        <v>599</v>
      </c>
      <c r="K262" t="s">
        <v>600</v>
      </c>
      <c r="L262" t="s">
        <v>532</v>
      </c>
      <c r="M262" t="s">
        <v>540</v>
      </c>
      <c r="N262" t="s">
        <v>540</v>
      </c>
      <c r="O262" t="s">
        <v>540</v>
      </c>
      <c r="P262">
        <v>1</v>
      </c>
      <c r="Q262" t="s">
        <v>553</v>
      </c>
      <c r="R262">
        <v>43</v>
      </c>
    </row>
    <row r="263" spans="2:18">
      <c r="B263">
        <v>15</v>
      </c>
      <c r="C263" t="s">
        <v>533</v>
      </c>
      <c r="D263" t="s">
        <v>534</v>
      </c>
      <c r="E263" t="s">
        <v>499</v>
      </c>
      <c r="F263" t="s">
        <v>686</v>
      </c>
      <c r="G263" t="s">
        <v>559</v>
      </c>
      <c r="H263" t="s">
        <v>601</v>
      </c>
      <c r="I263" t="s">
        <v>602</v>
      </c>
      <c r="K263" t="s">
        <v>603</v>
      </c>
      <c r="L263" t="s">
        <v>532</v>
      </c>
      <c r="M263" t="s">
        <v>540</v>
      </c>
      <c r="N263" t="s">
        <v>604</v>
      </c>
      <c r="O263" t="s">
        <v>540</v>
      </c>
      <c r="P263">
        <v>1</v>
      </c>
      <c r="Q263" t="s">
        <v>553</v>
      </c>
      <c r="R263">
        <v>77</v>
      </c>
    </row>
    <row r="264" spans="2:18">
      <c r="B264">
        <v>16</v>
      </c>
      <c r="C264" t="s">
        <v>533</v>
      </c>
      <c r="D264" t="s">
        <v>534</v>
      </c>
      <c r="E264" t="s">
        <v>499</v>
      </c>
      <c r="F264" t="s">
        <v>686</v>
      </c>
      <c r="G264" t="s">
        <v>536</v>
      </c>
      <c r="H264" t="s">
        <v>605</v>
      </c>
      <c r="I264" t="s">
        <v>697</v>
      </c>
      <c r="K264" t="s">
        <v>698</v>
      </c>
      <c r="L264" t="s">
        <v>532</v>
      </c>
      <c r="M264" t="s">
        <v>540</v>
      </c>
      <c r="N264" t="s">
        <v>699</v>
      </c>
      <c r="O264" t="s">
        <v>540</v>
      </c>
      <c r="P264">
        <v>1</v>
      </c>
      <c r="Q264" t="s">
        <v>609</v>
      </c>
      <c r="R264">
        <v>415</v>
      </c>
    </row>
    <row r="265" spans="2:18">
      <c r="B265">
        <v>17</v>
      </c>
      <c r="C265" t="s">
        <v>533</v>
      </c>
      <c r="D265" t="s">
        <v>534</v>
      </c>
      <c r="E265" t="s">
        <v>499</v>
      </c>
      <c r="F265" t="s">
        <v>686</v>
      </c>
      <c r="G265" t="s">
        <v>610</v>
      </c>
      <c r="H265" t="s">
        <v>611</v>
      </c>
      <c r="I265" t="s">
        <v>612</v>
      </c>
      <c r="K265" t="s">
        <v>613</v>
      </c>
      <c r="L265" t="s">
        <v>532</v>
      </c>
      <c r="M265" t="s">
        <v>540</v>
      </c>
      <c r="N265" t="s">
        <v>614</v>
      </c>
      <c r="O265" t="s">
        <v>540</v>
      </c>
      <c r="P265">
        <v>1</v>
      </c>
      <c r="Q265" t="s">
        <v>615</v>
      </c>
      <c r="R265">
        <v>53</v>
      </c>
    </row>
    <row r="266" spans="2:18">
      <c r="B266">
        <v>18</v>
      </c>
      <c r="C266" t="s">
        <v>533</v>
      </c>
      <c r="D266" t="s">
        <v>534</v>
      </c>
      <c r="E266" t="s">
        <v>499</v>
      </c>
      <c r="F266" t="s">
        <v>686</v>
      </c>
      <c r="G266" t="s">
        <v>559</v>
      </c>
      <c r="H266" t="s">
        <v>477</v>
      </c>
      <c r="I266" t="s">
        <v>616</v>
      </c>
      <c r="K266" t="s">
        <v>617</v>
      </c>
      <c r="L266" t="s">
        <v>532</v>
      </c>
      <c r="M266" t="s">
        <v>540</v>
      </c>
      <c r="N266" t="s">
        <v>540</v>
      </c>
      <c r="O266" t="s">
        <v>540</v>
      </c>
      <c r="P266">
        <v>1</v>
      </c>
      <c r="Q266" t="s">
        <v>618</v>
      </c>
      <c r="R266">
        <v>875</v>
      </c>
    </row>
    <row r="267" spans="2:18">
      <c r="B267">
        <v>19</v>
      </c>
      <c r="C267" t="s">
        <v>533</v>
      </c>
      <c r="D267" t="s">
        <v>534</v>
      </c>
      <c r="E267" t="s">
        <v>499</v>
      </c>
      <c r="F267" t="s">
        <v>686</v>
      </c>
      <c r="G267" t="s">
        <v>559</v>
      </c>
      <c r="H267" t="s">
        <v>626</v>
      </c>
      <c r="I267" t="s">
        <v>627</v>
      </c>
      <c r="K267" t="s">
        <v>628</v>
      </c>
      <c r="L267" t="s">
        <v>532</v>
      </c>
      <c r="M267" t="s">
        <v>540</v>
      </c>
      <c r="N267" t="s">
        <v>540</v>
      </c>
      <c r="O267" t="s">
        <v>540</v>
      </c>
      <c r="P267">
        <v>1</v>
      </c>
      <c r="Q267" t="s">
        <v>629</v>
      </c>
      <c r="R267">
        <v>58</v>
      </c>
    </row>
    <row r="268" spans="2:18">
      <c r="B268">
        <v>20</v>
      </c>
      <c r="C268" t="s">
        <v>533</v>
      </c>
      <c r="D268" t="s">
        <v>534</v>
      </c>
      <c r="E268" t="s">
        <v>499</v>
      </c>
      <c r="F268" t="s">
        <v>558</v>
      </c>
      <c r="G268" t="s">
        <v>536</v>
      </c>
      <c r="H268" t="s">
        <v>690</v>
      </c>
      <c r="I268" t="s">
        <v>691</v>
      </c>
      <c r="K268" t="s">
        <v>692</v>
      </c>
      <c r="L268" t="s">
        <v>532</v>
      </c>
      <c r="M268" t="s">
        <v>540</v>
      </c>
      <c r="N268" t="s">
        <v>693</v>
      </c>
      <c r="O268" t="s">
        <v>540</v>
      </c>
      <c r="P268">
        <v>1</v>
      </c>
      <c r="Q268" t="s">
        <v>609</v>
      </c>
      <c r="R268">
        <v>800</v>
      </c>
    </row>
    <row r="269" spans="2:18">
      <c r="B269">
        <v>21</v>
      </c>
      <c r="C269" t="s">
        <v>533</v>
      </c>
      <c r="D269" t="s">
        <v>534</v>
      </c>
      <c r="E269" t="s">
        <v>499</v>
      </c>
      <c r="F269" t="s">
        <v>558</v>
      </c>
      <c r="G269" t="s">
        <v>536</v>
      </c>
      <c r="H269" t="s">
        <v>605</v>
      </c>
      <c r="I269" t="s">
        <v>697</v>
      </c>
      <c r="K269" t="s">
        <v>698</v>
      </c>
      <c r="L269" t="s">
        <v>532</v>
      </c>
      <c r="M269" t="s">
        <v>540</v>
      </c>
      <c r="N269" t="s">
        <v>699</v>
      </c>
      <c r="O269" t="s">
        <v>540</v>
      </c>
      <c r="P269">
        <v>1</v>
      </c>
      <c r="Q269" t="s">
        <v>609</v>
      </c>
      <c r="R269">
        <v>415</v>
      </c>
    </row>
    <row r="270" spans="2:18">
      <c r="B270">
        <v>22</v>
      </c>
      <c r="C270" t="s">
        <v>533</v>
      </c>
      <c r="D270" t="s">
        <v>534</v>
      </c>
      <c r="E270" t="s">
        <v>499</v>
      </c>
      <c r="F270" t="s">
        <v>558</v>
      </c>
      <c r="G270" t="s">
        <v>610</v>
      </c>
      <c r="H270" t="s">
        <v>611</v>
      </c>
      <c r="I270" t="s">
        <v>687</v>
      </c>
      <c r="K270" t="s">
        <v>688</v>
      </c>
      <c r="L270" t="s">
        <v>532</v>
      </c>
      <c r="M270" t="s">
        <v>540</v>
      </c>
      <c r="N270" t="s">
        <v>614</v>
      </c>
      <c r="O270" t="s">
        <v>540</v>
      </c>
      <c r="P270">
        <v>1</v>
      </c>
      <c r="Q270" t="s">
        <v>689</v>
      </c>
      <c r="R270">
        <v>77</v>
      </c>
    </row>
    <row r="271" spans="2:18">
      <c r="B271">
        <v>23</v>
      </c>
      <c r="C271" t="s">
        <v>533</v>
      </c>
      <c r="D271" t="s">
        <v>534</v>
      </c>
      <c r="E271" t="s">
        <v>499</v>
      </c>
      <c r="F271" t="s">
        <v>558</v>
      </c>
      <c r="G271" t="s">
        <v>559</v>
      </c>
      <c r="H271" t="s">
        <v>564</v>
      </c>
      <c r="I271" t="s">
        <v>565</v>
      </c>
      <c r="K271" t="s">
        <v>566</v>
      </c>
      <c r="L271" t="s">
        <v>532</v>
      </c>
      <c r="M271" t="s">
        <v>540</v>
      </c>
      <c r="N271" t="s">
        <v>540</v>
      </c>
      <c r="O271" t="s">
        <v>540</v>
      </c>
      <c r="P271">
        <v>1</v>
      </c>
      <c r="Q271" t="s">
        <v>567</v>
      </c>
      <c r="R271">
        <v>640</v>
      </c>
    </row>
    <row r="272" spans="2:18">
      <c r="B272">
        <v>24</v>
      </c>
      <c r="C272" t="s">
        <v>533</v>
      </c>
      <c r="D272" t="s">
        <v>534</v>
      </c>
      <c r="E272" t="s">
        <v>499</v>
      </c>
      <c r="F272" t="s">
        <v>558</v>
      </c>
      <c r="G272" t="s">
        <v>559</v>
      </c>
      <c r="H272" t="s">
        <v>568</v>
      </c>
      <c r="I272" t="s">
        <v>569</v>
      </c>
      <c r="K272" t="s">
        <v>570</v>
      </c>
      <c r="L272" t="s">
        <v>532</v>
      </c>
      <c r="M272" t="s">
        <v>540</v>
      </c>
      <c r="N272" t="s">
        <v>540</v>
      </c>
      <c r="O272" t="s">
        <v>540</v>
      </c>
      <c r="P272">
        <v>1</v>
      </c>
      <c r="Q272" t="s">
        <v>567</v>
      </c>
      <c r="R272">
        <v>425</v>
      </c>
    </row>
    <row r="273" spans="2:18">
      <c r="B273">
        <v>25</v>
      </c>
      <c r="C273" t="s">
        <v>533</v>
      </c>
      <c r="D273" t="s">
        <v>534</v>
      </c>
      <c r="E273" t="s">
        <v>499</v>
      </c>
      <c r="F273" t="s">
        <v>558</v>
      </c>
      <c r="G273" t="s">
        <v>559</v>
      </c>
      <c r="H273" t="s">
        <v>571</v>
      </c>
      <c r="I273" t="s">
        <v>572</v>
      </c>
      <c r="K273" t="s">
        <v>573</v>
      </c>
      <c r="L273" t="s">
        <v>532</v>
      </c>
      <c r="M273" t="s">
        <v>540</v>
      </c>
      <c r="N273" t="s">
        <v>574</v>
      </c>
      <c r="O273" t="s">
        <v>540</v>
      </c>
      <c r="P273">
        <v>1</v>
      </c>
      <c r="Q273" t="s">
        <v>553</v>
      </c>
      <c r="R273">
        <v>959</v>
      </c>
    </row>
    <row r="274" spans="2:18">
      <c r="B274">
        <v>26</v>
      </c>
      <c r="C274" t="s">
        <v>533</v>
      </c>
      <c r="D274" t="s">
        <v>534</v>
      </c>
      <c r="E274" t="s">
        <v>499</v>
      </c>
      <c r="F274" t="s">
        <v>558</v>
      </c>
      <c r="G274" t="s">
        <v>559</v>
      </c>
      <c r="H274" t="s">
        <v>478</v>
      </c>
      <c r="I274" t="s">
        <v>683</v>
      </c>
      <c r="K274" t="s">
        <v>684</v>
      </c>
      <c r="L274" t="s">
        <v>532</v>
      </c>
      <c r="M274" t="s">
        <v>540</v>
      </c>
      <c r="N274" t="s">
        <v>685</v>
      </c>
      <c r="O274" t="s">
        <v>540</v>
      </c>
      <c r="P274">
        <v>1</v>
      </c>
      <c r="Q274" t="s">
        <v>567</v>
      </c>
      <c r="R274">
        <v>331</v>
      </c>
    </row>
    <row r="275" spans="2:18">
      <c r="B275">
        <v>27</v>
      </c>
      <c r="C275" t="s">
        <v>533</v>
      </c>
      <c r="D275" t="s">
        <v>534</v>
      </c>
      <c r="E275" t="s">
        <v>499</v>
      </c>
      <c r="F275" t="s">
        <v>558</v>
      </c>
      <c r="G275" t="s">
        <v>559</v>
      </c>
      <c r="H275" t="s">
        <v>622</v>
      </c>
      <c r="I275" t="s">
        <v>623</v>
      </c>
      <c r="K275" t="s">
        <v>624</v>
      </c>
      <c r="L275" t="s">
        <v>532</v>
      </c>
      <c r="M275" t="s">
        <v>540</v>
      </c>
      <c r="N275" t="s">
        <v>625</v>
      </c>
      <c r="O275" t="s">
        <v>540</v>
      </c>
      <c r="P275">
        <v>1</v>
      </c>
      <c r="Q275" t="s">
        <v>547</v>
      </c>
      <c r="R275">
        <v>92</v>
      </c>
    </row>
    <row r="276" spans="2:18">
      <c r="B276">
        <v>28</v>
      </c>
      <c r="C276" t="s">
        <v>533</v>
      </c>
      <c r="D276" t="s">
        <v>534</v>
      </c>
      <c r="E276" t="s">
        <v>499</v>
      </c>
      <c r="F276" t="s">
        <v>558</v>
      </c>
      <c r="G276" t="s">
        <v>575</v>
      </c>
      <c r="H276" t="s">
        <v>576</v>
      </c>
      <c r="I276" t="s">
        <v>577</v>
      </c>
      <c r="K276" t="s">
        <v>578</v>
      </c>
      <c r="L276" t="s">
        <v>532</v>
      </c>
      <c r="M276" t="s">
        <v>540</v>
      </c>
      <c r="N276" t="s">
        <v>540</v>
      </c>
      <c r="O276" t="s">
        <v>540</v>
      </c>
      <c r="P276">
        <v>1</v>
      </c>
      <c r="Q276" t="s">
        <v>553</v>
      </c>
      <c r="R276">
        <v>1680</v>
      </c>
    </row>
    <row r="277" spans="2:18">
      <c r="B277">
        <v>29</v>
      </c>
      <c r="C277" t="s">
        <v>533</v>
      </c>
      <c r="D277" t="s">
        <v>534</v>
      </c>
      <c r="E277" t="s">
        <v>499</v>
      </c>
      <c r="F277" t="s">
        <v>558</v>
      </c>
      <c r="G277" t="s">
        <v>579</v>
      </c>
      <c r="H277" t="s">
        <v>580</v>
      </c>
      <c r="I277" t="s">
        <v>581</v>
      </c>
      <c r="K277" t="s">
        <v>582</v>
      </c>
      <c r="L277" t="s">
        <v>532</v>
      </c>
      <c r="M277" t="s">
        <v>540</v>
      </c>
      <c r="N277" t="s">
        <v>583</v>
      </c>
      <c r="O277" t="s">
        <v>540</v>
      </c>
      <c r="P277">
        <v>1</v>
      </c>
      <c r="Q277" t="s">
        <v>553</v>
      </c>
      <c r="R277">
        <v>56</v>
      </c>
    </row>
    <row r="278" spans="2:18">
      <c r="B278">
        <v>30</v>
      </c>
      <c r="C278" t="s">
        <v>533</v>
      </c>
      <c r="D278" t="s">
        <v>534</v>
      </c>
      <c r="E278" t="s">
        <v>499</v>
      </c>
      <c r="F278" t="s">
        <v>558</v>
      </c>
      <c r="G278" t="s">
        <v>579</v>
      </c>
      <c r="H278" t="s">
        <v>584</v>
      </c>
      <c r="I278" t="s">
        <v>585</v>
      </c>
      <c r="K278" t="s">
        <v>586</v>
      </c>
      <c r="L278" t="s">
        <v>532</v>
      </c>
      <c r="M278" t="s">
        <v>540</v>
      </c>
      <c r="N278" t="s">
        <v>587</v>
      </c>
      <c r="O278" t="s">
        <v>540</v>
      </c>
      <c r="P278">
        <v>1</v>
      </c>
      <c r="Q278" t="s">
        <v>553</v>
      </c>
      <c r="R278">
        <v>74</v>
      </c>
    </row>
    <row r="279" spans="2:18">
      <c r="B279">
        <v>31</v>
      </c>
      <c r="C279" t="s">
        <v>533</v>
      </c>
      <c r="D279" t="s">
        <v>534</v>
      </c>
      <c r="E279" t="s">
        <v>499</v>
      </c>
      <c r="F279" t="s">
        <v>558</v>
      </c>
      <c r="G279" t="s">
        <v>588</v>
      </c>
      <c r="H279" t="s">
        <v>589</v>
      </c>
      <c r="I279" t="s">
        <v>590</v>
      </c>
      <c r="K279" t="s">
        <v>591</v>
      </c>
      <c r="L279" t="s">
        <v>532</v>
      </c>
      <c r="M279" t="s">
        <v>540</v>
      </c>
      <c r="N279" t="s">
        <v>592</v>
      </c>
      <c r="O279" t="s">
        <v>540</v>
      </c>
      <c r="P279">
        <v>1</v>
      </c>
      <c r="Q279" t="s">
        <v>553</v>
      </c>
      <c r="R279">
        <v>84</v>
      </c>
    </row>
    <row r="280" spans="2:18">
      <c r="B280">
        <v>32</v>
      </c>
      <c r="C280" t="s">
        <v>533</v>
      </c>
      <c r="D280" t="s">
        <v>534</v>
      </c>
      <c r="E280" t="s">
        <v>499</v>
      </c>
      <c r="F280" t="s">
        <v>630</v>
      </c>
      <c r="G280" t="s">
        <v>593</v>
      </c>
      <c r="H280" t="s">
        <v>631</v>
      </c>
      <c r="I280" t="s">
        <v>632</v>
      </c>
      <c r="K280" t="s">
        <v>633</v>
      </c>
      <c r="L280" t="s">
        <v>532</v>
      </c>
      <c r="M280" t="s">
        <v>540</v>
      </c>
      <c r="N280" t="s">
        <v>540</v>
      </c>
      <c r="O280" t="s">
        <v>540</v>
      </c>
      <c r="P280">
        <v>1</v>
      </c>
      <c r="Q280" t="s">
        <v>553</v>
      </c>
      <c r="R280">
        <v>41</v>
      </c>
    </row>
    <row r="281" spans="2:18">
      <c r="B281">
        <v>33</v>
      </c>
      <c r="C281" t="s">
        <v>533</v>
      </c>
      <c r="D281" t="s">
        <v>534</v>
      </c>
      <c r="E281" t="s">
        <v>499</v>
      </c>
      <c r="F281" t="s">
        <v>630</v>
      </c>
      <c r="G281" t="s">
        <v>536</v>
      </c>
      <c r="H281" t="s">
        <v>634</v>
      </c>
      <c r="I281" t="s">
        <v>635</v>
      </c>
      <c r="K281" t="s">
        <v>636</v>
      </c>
      <c r="L281" t="s">
        <v>532</v>
      </c>
      <c r="M281" t="s">
        <v>540</v>
      </c>
      <c r="N281" t="s">
        <v>637</v>
      </c>
      <c r="O281" t="s">
        <v>540</v>
      </c>
      <c r="P281">
        <v>1</v>
      </c>
      <c r="Q281" t="s">
        <v>609</v>
      </c>
      <c r="R281">
        <v>290</v>
      </c>
    </row>
    <row r="282" spans="2:18">
      <c r="B282">
        <v>34</v>
      </c>
      <c r="C282" t="s">
        <v>533</v>
      </c>
      <c r="D282" t="s">
        <v>534</v>
      </c>
      <c r="E282" t="s">
        <v>499</v>
      </c>
      <c r="F282" t="s">
        <v>630</v>
      </c>
      <c r="G282" t="s">
        <v>575</v>
      </c>
      <c r="H282" t="s">
        <v>638</v>
      </c>
      <c r="I282" t="s">
        <v>709</v>
      </c>
      <c r="K282" t="s">
        <v>710</v>
      </c>
      <c r="L282" t="s">
        <v>532</v>
      </c>
      <c r="M282" t="s">
        <v>540</v>
      </c>
      <c r="N282" t="s">
        <v>711</v>
      </c>
      <c r="O282" t="s">
        <v>540</v>
      </c>
      <c r="P282">
        <v>1</v>
      </c>
      <c r="Q282" t="s">
        <v>553</v>
      </c>
      <c r="R282">
        <v>153</v>
      </c>
    </row>
    <row r="283" spans="2:18">
      <c r="B283">
        <v>35</v>
      </c>
      <c r="C283" t="s">
        <v>533</v>
      </c>
      <c r="D283" t="s">
        <v>534</v>
      </c>
      <c r="E283" t="s">
        <v>499</v>
      </c>
      <c r="F283" t="s">
        <v>630</v>
      </c>
      <c r="G283" t="s">
        <v>559</v>
      </c>
      <c r="H283" t="s">
        <v>642</v>
      </c>
      <c r="I283" t="s">
        <v>643</v>
      </c>
      <c r="K283" t="s">
        <v>644</v>
      </c>
      <c r="L283" t="s">
        <v>532</v>
      </c>
      <c r="M283" t="s">
        <v>540</v>
      </c>
      <c r="N283" t="s">
        <v>645</v>
      </c>
      <c r="O283" t="s">
        <v>540</v>
      </c>
      <c r="P283">
        <v>1</v>
      </c>
      <c r="Q283" t="s">
        <v>646</v>
      </c>
      <c r="R283">
        <v>55</v>
      </c>
    </row>
    <row r="284" spans="2:18">
      <c r="B284">
        <v>36</v>
      </c>
      <c r="C284" t="s">
        <v>533</v>
      </c>
      <c r="D284" t="s">
        <v>534</v>
      </c>
      <c r="E284" t="s">
        <v>499</v>
      </c>
      <c r="F284" t="s">
        <v>630</v>
      </c>
      <c r="G284" t="s">
        <v>579</v>
      </c>
      <c r="H284" t="s">
        <v>647</v>
      </c>
      <c r="I284" t="s">
        <v>648</v>
      </c>
      <c r="K284" t="s">
        <v>649</v>
      </c>
      <c r="L284" t="s">
        <v>532</v>
      </c>
      <c r="M284" t="s">
        <v>540</v>
      </c>
      <c r="N284" t="s">
        <v>592</v>
      </c>
      <c r="O284" t="s">
        <v>540</v>
      </c>
      <c r="P284">
        <v>1</v>
      </c>
      <c r="Q284" t="s">
        <v>553</v>
      </c>
      <c r="R284">
        <v>66.26</v>
      </c>
    </row>
    <row r="285" spans="2:18">
      <c r="B285">
        <v>37</v>
      </c>
      <c r="C285" t="s">
        <v>533</v>
      </c>
      <c r="D285" t="s">
        <v>534</v>
      </c>
      <c r="E285" t="s">
        <v>499</v>
      </c>
      <c r="F285" t="s">
        <v>630</v>
      </c>
      <c r="G285" t="s">
        <v>650</v>
      </c>
      <c r="H285" t="s">
        <v>651</v>
      </c>
      <c r="I285" t="s">
        <v>652</v>
      </c>
      <c r="K285" t="s">
        <v>653</v>
      </c>
      <c r="L285" t="s">
        <v>532</v>
      </c>
      <c r="M285" t="s">
        <v>540</v>
      </c>
      <c r="N285" t="s">
        <v>654</v>
      </c>
      <c r="O285" t="s">
        <v>540</v>
      </c>
      <c r="P285">
        <v>1</v>
      </c>
      <c r="Q285" t="s">
        <v>553</v>
      </c>
      <c r="R285">
        <v>101</v>
      </c>
    </row>
    <row r="286" spans="2:18">
      <c r="B286">
        <v>38</v>
      </c>
      <c r="C286" t="s">
        <v>533</v>
      </c>
      <c r="D286" t="s">
        <v>534</v>
      </c>
      <c r="E286" t="s">
        <v>499</v>
      </c>
      <c r="F286" t="s">
        <v>630</v>
      </c>
      <c r="G286" t="s">
        <v>650</v>
      </c>
      <c r="H286" t="s">
        <v>655</v>
      </c>
      <c r="I286" t="s">
        <v>656</v>
      </c>
      <c r="K286" t="s">
        <v>657</v>
      </c>
      <c r="L286" t="s">
        <v>532</v>
      </c>
      <c r="M286" t="s">
        <v>540</v>
      </c>
      <c r="N286" t="s">
        <v>658</v>
      </c>
      <c r="O286" t="s">
        <v>540</v>
      </c>
      <c r="P286">
        <v>1</v>
      </c>
      <c r="Q286" t="s">
        <v>553</v>
      </c>
      <c r="R286">
        <v>418</v>
      </c>
    </row>
    <row r="287" spans="2:18">
      <c r="B287">
        <v>39</v>
      </c>
      <c r="C287" t="s">
        <v>533</v>
      </c>
      <c r="D287" t="s">
        <v>534</v>
      </c>
      <c r="E287" t="s">
        <v>499</v>
      </c>
      <c r="F287" t="s">
        <v>630</v>
      </c>
      <c r="G287" t="s">
        <v>650</v>
      </c>
      <c r="H287" t="s">
        <v>659</v>
      </c>
      <c r="I287" t="s">
        <v>660</v>
      </c>
      <c r="K287" t="s">
        <v>661</v>
      </c>
      <c r="L287" t="s">
        <v>532</v>
      </c>
      <c r="M287" t="s">
        <v>540</v>
      </c>
      <c r="N287" t="s">
        <v>662</v>
      </c>
      <c r="O287" t="s">
        <v>540</v>
      </c>
      <c r="P287">
        <v>1</v>
      </c>
      <c r="Q287" t="s">
        <v>553</v>
      </c>
      <c r="R287">
        <v>37</v>
      </c>
    </row>
    <row r="288" spans="2:18">
      <c r="B288">
        <v>40</v>
      </c>
      <c r="C288" t="s">
        <v>533</v>
      </c>
      <c r="D288" t="s">
        <v>534</v>
      </c>
      <c r="E288" t="s">
        <v>499</v>
      </c>
      <c r="F288" t="s">
        <v>630</v>
      </c>
      <c r="G288" t="s">
        <v>575</v>
      </c>
      <c r="H288" t="s">
        <v>663</v>
      </c>
      <c r="I288" t="s">
        <v>712</v>
      </c>
      <c r="K288" t="s">
        <v>713</v>
      </c>
      <c r="L288" t="s">
        <v>532</v>
      </c>
      <c r="M288" t="s">
        <v>540</v>
      </c>
      <c r="N288" t="s">
        <v>714</v>
      </c>
      <c r="O288" t="s">
        <v>540</v>
      </c>
      <c r="P288">
        <v>1</v>
      </c>
      <c r="Q288" t="s">
        <v>667</v>
      </c>
      <c r="R288">
        <v>430</v>
      </c>
    </row>
    <row r="289" spans="2:18">
      <c r="B289">
        <v>41</v>
      </c>
      <c r="C289" t="s">
        <v>533</v>
      </c>
      <c r="D289" t="s">
        <v>534</v>
      </c>
      <c r="E289" t="s">
        <v>499</v>
      </c>
      <c r="F289" t="s">
        <v>630</v>
      </c>
      <c r="G289" t="s">
        <v>548</v>
      </c>
      <c r="H289" t="s">
        <v>668</v>
      </c>
      <c r="I289" t="s">
        <v>669</v>
      </c>
      <c r="K289" t="s">
        <v>670</v>
      </c>
      <c r="L289" t="s">
        <v>532</v>
      </c>
      <c r="M289" t="s">
        <v>540</v>
      </c>
      <c r="N289" t="s">
        <v>671</v>
      </c>
      <c r="O289" t="s">
        <v>540</v>
      </c>
      <c r="P289">
        <v>1</v>
      </c>
      <c r="Q289" t="s">
        <v>567</v>
      </c>
      <c r="R289">
        <v>4.7</v>
      </c>
    </row>
    <row r="290" spans="2:18">
      <c r="B290">
        <v>42</v>
      </c>
      <c r="C290" t="s">
        <v>533</v>
      </c>
      <c r="D290" t="s">
        <v>534</v>
      </c>
      <c r="E290" t="s">
        <v>499</v>
      </c>
      <c r="F290" t="s">
        <v>630</v>
      </c>
      <c r="G290" t="s">
        <v>650</v>
      </c>
      <c r="H290" t="s">
        <v>672</v>
      </c>
      <c r="I290" t="s">
        <v>673</v>
      </c>
      <c r="K290" t="s">
        <v>674</v>
      </c>
      <c r="L290" t="s">
        <v>532</v>
      </c>
      <c r="M290" t="s">
        <v>540</v>
      </c>
      <c r="N290" t="s">
        <v>675</v>
      </c>
      <c r="O290" t="s">
        <v>540</v>
      </c>
      <c r="P290">
        <v>1</v>
      </c>
      <c r="Q290" t="s">
        <v>618</v>
      </c>
      <c r="R290">
        <v>370</v>
      </c>
    </row>
    <row r="291" spans="2:18">
      <c r="B291">
        <v>43</v>
      </c>
      <c r="C291" t="s">
        <v>533</v>
      </c>
      <c r="D291" t="s">
        <v>534</v>
      </c>
      <c r="E291" t="s">
        <v>499</v>
      </c>
      <c r="F291" t="s">
        <v>630</v>
      </c>
      <c r="G291" t="s">
        <v>650</v>
      </c>
      <c r="H291" t="s">
        <v>676</v>
      </c>
      <c r="I291" t="s">
        <v>677</v>
      </c>
      <c r="K291" t="s">
        <v>678</v>
      </c>
      <c r="L291" t="s">
        <v>532</v>
      </c>
      <c r="M291" t="s">
        <v>540</v>
      </c>
      <c r="N291" t="s">
        <v>679</v>
      </c>
      <c r="O291" t="s">
        <v>540</v>
      </c>
      <c r="P291">
        <v>1</v>
      </c>
      <c r="Q291" t="s">
        <v>553</v>
      </c>
      <c r="R291">
        <v>39.5</v>
      </c>
    </row>
    <row r="292" spans="2:18">
      <c r="B292">
        <v>44</v>
      </c>
      <c r="C292" t="s">
        <v>533</v>
      </c>
      <c r="D292" t="s">
        <v>534</v>
      </c>
      <c r="E292" t="s">
        <v>499</v>
      </c>
      <c r="F292" t="s">
        <v>630</v>
      </c>
      <c r="G292" t="s">
        <v>650</v>
      </c>
      <c r="H292" t="s">
        <v>680</v>
      </c>
      <c r="I292" t="s">
        <v>681</v>
      </c>
      <c r="K292" t="s">
        <v>682</v>
      </c>
      <c r="L292" t="s">
        <v>532</v>
      </c>
      <c r="M292" t="s">
        <v>540</v>
      </c>
      <c r="N292" t="s">
        <v>679</v>
      </c>
      <c r="O292" t="s">
        <v>540</v>
      </c>
      <c r="P292">
        <v>1</v>
      </c>
      <c r="Q292" t="s">
        <v>553</v>
      </c>
      <c r="R292">
        <v>17.2</v>
      </c>
    </row>
    <row r="293" spans="2:18">
      <c r="B293">
        <v>1</v>
      </c>
      <c r="C293" t="s">
        <v>533</v>
      </c>
      <c r="D293" t="s">
        <v>534</v>
      </c>
      <c r="E293" t="s">
        <v>500</v>
      </c>
      <c r="F293" t="s">
        <v>535</v>
      </c>
      <c r="G293" t="s">
        <v>536</v>
      </c>
      <c r="H293" t="s">
        <v>537</v>
      </c>
      <c r="I293" t="s">
        <v>538</v>
      </c>
      <c r="K293" t="s">
        <v>539</v>
      </c>
      <c r="L293" t="s">
        <v>532</v>
      </c>
      <c r="M293" t="s">
        <v>540</v>
      </c>
      <c r="N293" t="s">
        <v>541</v>
      </c>
      <c r="O293" t="s">
        <v>540</v>
      </c>
      <c r="P293">
        <v>1</v>
      </c>
      <c r="Q293" t="s">
        <v>542</v>
      </c>
      <c r="R293">
        <v>920</v>
      </c>
    </row>
    <row r="294" spans="2:18">
      <c r="B294">
        <v>2</v>
      </c>
      <c r="C294" t="s">
        <v>533</v>
      </c>
      <c r="D294" t="s">
        <v>534</v>
      </c>
      <c r="E294" t="s">
        <v>500</v>
      </c>
      <c r="F294" t="s">
        <v>535</v>
      </c>
      <c r="G294" t="s">
        <v>536</v>
      </c>
      <c r="H294" t="s">
        <v>543</v>
      </c>
      <c r="I294" t="s">
        <v>544</v>
      </c>
      <c r="K294" t="s">
        <v>545</v>
      </c>
      <c r="L294" t="s">
        <v>532</v>
      </c>
      <c r="M294" t="s">
        <v>540</v>
      </c>
      <c r="N294" t="s">
        <v>546</v>
      </c>
      <c r="O294" t="s">
        <v>540</v>
      </c>
      <c r="P294">
        <v>1</v>
      </c>
      <c r="Q294" t="s">
        <v>547</v>
      </c>
      <c r="R294">
        <v>380</v>
      </c>
    </row>
    <row r="295" spans="2:18">
      <c r="B295">
        <v>3</v>
      </c>
      <c r="C295" t="s">
        <v>533</v>
      </c>
      <c r="D295" t="s">
        <v>534</v>
      </c>
      <c r="E295" t="s">
        <v>500</v>
      </c>
      <c r="F295" t="s">
        <v>535</v>
      </c>
      <c r="G295" t="s">
        <v>548</v>
      </c>
      <c r="H295" t="s">
        <v>549</v>
      </c>
      <c r="I295" t="s">
        <v>550</v>
      </c>
      <c r="K295" t="s">
        <v>551</v>
      </c>
      <c r="L295" t="s">
        <v>532</v>
      </c>
      <c r="M295" t="s">
        <v>540</v>
      </c>
      <c r="N295" t="s">
        <v>552</v>
      </c>
      <c r="O295" t="s">
        <v>540</v>
      </c>
      <c r="P295">
        <v>1</v>
      </c>
      <c r="Q295" t="s">
        <v>553</v>
      </c>
      <c r="R295">
        <v>14</v>
      </c>
    </row>
    <row r="296" spans="2:18">
      <c r="B296">
        <v>4</v>
      </c>
      <c r="C296" t="s">
        <v>533</v>
      </c>
      <c r="D296" t="s">
        <v>534</v>
      </c>
      <c r="E296" t="s">
        <v>500</v>
      </c>
      <c r="F296" t="s">
        <v>535</v>
      </c>
      <c r="G296" t="s">
        <v>548</v>
      </c>
      <c r="H296" t="s">
        <v>554</v>
      </c>
      <c r="I296" t="s">
        <v>555</v>
      </c>
      <c r="K296" t="s">
        <v>556</v>
      </c>
      <c r="L296" t="s">
        <v>532</v>
      </c>
      <c r="M296" t="s">
        <v>540</v>
      </c>
      <c r="N296" t="s">
        <v>557</v>
      </c>
      <c r="O296" t="s">
        <v>540</v>
      </c>
      <c r="P296">
        <v>1</v>
      </c>
      <c r="Q296" t="s">
        <v>553</v>
      </c>
      <c r="R296">
        <v>33</v>
      </c>
    </row>
    <row r="297" spans="2:18">
      <c r="B297">
        <v>5</v>
      </c>
      <c r="C297" t="s">
        <v>533</v>
      </c>
      <c r="D297" t="s">
        <v>534</v>
      </c>
      <c r="E297" t="s">
        <v>500</v>
      </c>
      <c r="F297" t="s">
        <v>558</v>
      </c>
      <c r="G297" t="s">
        <v>559</v>
      </c>
      <c r="H297" t="s">
        <v>560</v>
      </c>
      <c r="I297" t="s">
        <v>561</v>
      </c>
      <c r="K297" t="s">
        <v>562</v>
      </c>
      <c r="L297" t="s">
        <v>532</v>
      </c>
      <c r="M297" t="s">
        <v>540</v>
      </c>
      <c r="N297" t="s">
        <v>563</v>
      </c>
      <c r="O297" t="s">
        <v>540</v>
      </c>
      <c r="P297">
        <v>1</v>
      </c>
      <c r="Q297" t="s">
        <v>553</v>
      </c>
      <c r="R297">
        <v>223</v>
      </c>
    </row>
    <row r="298" spans="2:18">
      <c r="B298">
        <v>6</v>
      </c>
      <c r="C298" t="s">
        <v>533</v>
      </c>
      <c r="D298" t="s">
        <v>534</v>
      </c>
      <c r="E298" t="s">
        <v>500</v>
      </c>
      <c r="F298" t="s">
        <v>558</v>
      </c>
      <c r="G298" t="s">
        <v>559</v>
      </c>
      <c r="H298" t="s">
        <v>564</v>
      </c>
      <c r="I298" t="s">
        <v>565</v>
      </c>
      <c r="K298" t="s">
        <v>566</v>
      </c>
      <c r="L298" t="s">
        <v>532</v>
      </c>
      <c r="M298" t="s">
        <v>540</v>
      </c>
      <c r="N298" t="s">
        <v>540</v>
      </c>
      <c r="O298" t="s">
        <v>540</v>
      </c>
      <c r="P298">
        <v>1</v>
      </c>
      <c r="Q298" t="s">
        <v>567</v>
      </c>
      <c r="R298">
        <v>640</v>
      </c>
    </row>
    <row r="299" spans="2:18">
      <c r="B299">
        <v>7</v>
      </c>
      <c r="C299" t="s">
        <v>533</v>
      </c>
      <c r="D299" t="s">
        <v>534</v>
      </c>
      <c r="E299" t="s">
        <v>500</v>
      </c>
      <c r="F299" t="s">
        <v>558</v>
      </c>
      <c r="G299" t="s">
        <v>559</v>
      </c>
      <c r="H299" t="s">
        <v>568</v>
      </c>
      <c r="I299" t="s">
        <v>569</v>
      </c>
      <c r="K299" t="s">
        <v>570</v>
      </c>
      <c r="L299" t="s">
        <v>532</v>
      </c>
      <c r="M299" t="s">
        <v>540</v>
      </c>
      <c r="N299" t="s">
        <v>540</v>
      </c>
      <c r="O299" t="s">
        <v>540</v>
      </c>
      <c r="P299">
        <v>1</v>
      </c>
      <c r="Q299" t="s">
        <v>567</v>
      </c>
      <c r="R299">
        <v>425</v>
      </c>
    </row>
    <row r="300" spans="2:18">
      <c r="B300">
        <v>8</v>
      </c>
      <c r="C300" t="s">
        <v>533</v>
      </c>
      <c r="D300" t="s">
        <v>534</v>
      </c>
      <c r="E300" t="s">
        <v>500</v>
      </c>
      <c r="F300" t="s">
        <v>558</v>
      </c>
      <c r="G300" t="s">
        <v>559</v>
      </c>
      <c r="H300" t="s">
        <v>571</v>
      </c>
      <c r="I300" t="s">
        <v>572</v>
      </c>
      <c r="K300" t="s">
        <v>573</v>
      </c>
      <c r="L300" t="s">
        <v>532</v>
      </c>
      <c r="M300" t="s">
        <v>540</v>
      </c>
      <c r="N300" t="s">
        <v>574</v>
      </c>
      <c r="O300" t="s">
        <v>540</v>
      </c>
      <c r="P300">
        <v>1</v>
      </c>
      <c r="Q300" t="s">
        <v>553</v>
      </c>
      <c r="R300">
        <v>959</v>
      </c>
    </row>
    <row r="301" spans="2:18">
      <c r="B301">
        <v>9</v>
      </c>
      <c r="C301" t="s">
        <v>533</v>
      </c>
      <c r="D301" t="s">
        <v>534</v>
      </c>
      <c r="E301" t="s">
        <v>500</v>
      </c>
      <c r="F301" t="s">
        <v>558</v>
      </c>
      <c r="G301" t="s">
        <v>575</v>
      </c>
      <c r="H301" t="s">
        <v>576</v>
      </c>
      <c r="I301" t="s">
        <v>577</v>
      </c>
      <c r="K301" t="s">
        <v>578</v>
      </c>
      <c r="L301" t="s">
        <v>532</v>
      </c>
      <c r="M301" t="s">
        <v>540</v>
      </c>
      <c r="N301" t="s">
        <v>540</v>
      </c>
      <c r="O301" t="s">
        <v>540</v>
      </c>
      <c r="P301">
        <v>1</v>
      </c>
      <c r="Q301" t="s">
        <v>553</v>
      </c>
      <c r="R301">
        <v>1680</v>
      </c>
    </row>
    <row r="302" spans="2:18">
      <c r="B302">
        <v>10</v>
      </c>
      <c r="C302" t="s">
        <v>533</v>
      </c>
      <c r="D302" t="s">
        <v>534</v>
      </c>
      <c r="E302" t="s">
        <v>500</v>
      </c>
      <c r="F302" t="s">
        <v>558</v>
      </c>
      <c r="G302" t="s">
        <v>579</v>
      </c>
      <c r="H302" t="s">
        <v>580</v>
      </c>
      <c r="I302" t="s">
        <v>581</v>
      </c>
      <c r="K302" t="s">
        <v>582</v>
      </c>
      <c r="L302" t="s">
        <v>532</v>
      </c>
      <c r="M302" t="s">
        <v>540</v>
      </c>
      <c r="N302" t="s">
        <v>583</v>
      </c>
      <c r="O302" t="s">
        <v>540</v>
      </c>
      <c r="P302">
        <v>1</v>
      </c>
      <c r="Q302" t="s">
        <v>553</v>
      </c>
      <c r="R302">
        <v>56</v>
      </c>
    </row>
    <row r="303" spans="2:18">
      <c r="B303">
        <v>11</v>
      </c>
      <c r="C303" t="s">
        <v>533</v>
      </c>
      <c r="D303" t="s">
        <v>534</v>
      </c>
      <c r="E303" t="s">
        <v>500</v>
      </c>
      <c r="F303" t="s">
        <v>558</v>
      </c>
      <c r="G303" t="s">
        <v>579</v>
      </c>
      <c r="H303" t="s">
        <v>584</v>
      </c>
      <c r="I303" t="s">
        <v>585</v>
      </c>
      <c r="K303" t="s">
        <v>586</v>
      </c>
      <c r="L303" t="s">
        <v>532</v>
      </c>
      <c r="M303" t="s">
        <v>540</v>
      </c>
      <c r="N303" t="s">
        <v>587</v>
      </c>
      <c r="O303" t="s">
        <v>540</v>
      </c>
      <c r="P303">
        <v>1</v>
      </c>
      <c r="Q303" t="s">
        <v>553</v>
      </c>
      <c r="R303">
        <v>74</v>
      </c>
    </row>
    <row r="304" spans="2:18">
      <c r="B304">
        <v>12</v>
      </c>
      <c r="C304" t="s">
        <v>533</v>
      </c>
      <c r="D304" t="s">
        <v>534</v>
      </c>
      <c r="E304" t="s">
        <v>500</v>
      </c>
      <c r="F304" t="s">
        <v>558</v>
      </c>
      <c r="G304" t="s">
        <v>588</v>
      </c>
      <c r="H304" t="s">
        <v>589</v>
      </c>
      <c r="I304" t="s">
        <v>590</v>
      </c>
      <c r="K304" t="s">
        <v>591</v>
      </c>
      <c r="L304" t="s">
        <v>532</v>
      </c>
      <c r="M304" t="s">
        <v>540</v>
      </c>
      <c r="N304" t="s">
        <v>592</v>
      </c>
      <c r="O304" t="s">
        <v>540</v>
      </c>
      <c r="P304">
        <v>1</v>
      </c>
      <c r="Q304" t="s">
        <v>553</v>
      </c>
      <c r="R304">
        <v>84</v>
      </c>
    </row>
    <row r="305" spans="2:18">
      <c r="B305">
        <v>13</v>
      </c>
      <c r="C305" t="s">
        <v>533</v>
      </c>
      <c r="D305" t="s">
        <v>534</v>
      </c>
      <c r="E305" t="s">
        <v>500</v>
      </c>
      <c r="F305" t="s">
        <v>558</v>
      </c>
      <c r="G305" t="s">
        <v>593</v>
      </c>
      <c r="H305" t="s">
        <v>594</v>
      </c>
      <c r="I305" t="s">
        <v>595</v>
      </c>
      <c r="K305" t="s">
        <v>596</v>
      </c>
      <c r="L305" t="s">
        <v>532</v>
      </c>
      <c r="M305" t="s">
        <v>540</v>
      </c>
      <c r="N305" t="s">
        <v>597</v>
      </c>
      <c r="O305" t="s">
        <v>540</v>
      </c>
      <c r="P305">
        <v>1</v>
      </c>
      <c r="Q305" t="s">
        <v>553</v>
      </c>
      <c r="R305">
        <v>165</v>
      </c>
    </row>
    <row r="306" spans="2:18">
      <c r="B306">
        <v>14</v>
      </c>
      <c r="C306" t="s">
        <v>533</v>
      </c>
      <c r="D306" t="s">
        <v>534</v>
      </c>
      <c r="E306" t="s">
        <v>500</v>
      </c>
      <c r="F306" t="s">
        <v>558</v>
      </c>
      <c r="G306" t="s">
        <v>559</v>
      </c>
      <c r="H306" t="s">
        <v>598</v>
      </c>
      <c r="I306" t="s">
        <v>599</v>
      </c>
      <c r="K306" t="s">
        <v>600</v>
      </c>
      <c r="L306" t="s">
        <v>532</v>
      </c>
      <c r="M306" t="s">
        <v>540</v>
      </c>
      <c r="N306" t="s">
        <v>540</v>
      </c>
      <c r="O306" t="s">
        <v>540</v>
      </c>
      <c r="P306">
        <v>1</v>
      </c>
      <c r="Q306" t="s">
        <v>553</v>
      </c>
      <c r="R306">
        <v>43</v>
      </c>
    </row>
    <row r="307" spans="2:18">
      <c r="B307">
        <v>15</v>
      </c>
      <c r="C307" t="s">
        <v>533</v>
      </c>
      <c r="D307" t="s">
        <v>534</v>
      </c>
      <c r="E307" t="s">
        <v>500</v>
      </c>
      <c r="F307" t="s">
        <v>558</v>
      </c>
      <c r="G307" t="s">
        <v>559</v>
      </c>
      <c r="H307" t="s">
        <v>601</v>
      </c>
      <c r="I307" t="s">
        <v>602</v>
      </c>
      <c r="K307" t="s">
        <v>603</v>
      </c>
      <c r="L307" t="s">
        <v>532</v>
      </c>
      <c r="M307" t="s">
        <v>540</v>
      </c>
      <c r="N307" t="s">
        <v>604</v>
      </c>
      <c r="O307" t="s">
        <v>540</v>
      </c>
      <c r="P307">
        <v>1</v>
      </c>
      <c r="Q307" t="s">
        <v>553</v>
      </c>
      <c r="R307">
        <v>77</v>
      </c>
    </row>
    <row r="308" spans="2:18">
      <c r="B308">
        <v>16</v>
      </c>
      <c r="C308" t="s">
        <v>533</v>
      </c>
      <c r="D308" t="s">
        <v>534</v>
      </c>
      <c r="E308" t="s">
        <v>500</v>
      </c>
      <c r="F308" t="s">
        <v>558</v>
      </c>
      <c r="G308" t="s">
        <v>536</v>
      </c>
      <c r="H308" t="s">
        <v>605</v>
      </c>
      <c r="I308" t="s">
        <v>697</v>
      </c>
      <c r="K308" t="s">
        <v>698</v>
      </c>
      <c r="L308" t="s">
        <v>532</v>
      </c>
      <c r="M308" t="s">
        <v>540</v>
      </c>
      <c r="N308" t="s">
        <v>699</v>
      </c>
      <c r="O308" t="s">
        <v>540</v>
      </c>
      <c r="P308">
        <v>1</v>
      </c>
      <c r="Q308" t="s">
        <v>609</v>
      </c>
      <c r="R308">
        <v>415</v>
      </c>
    </row>
    <row r="309" spans="2:18">
      <c r="B309">
        <v>17</v>
      </c>
      <c r="C309" t="s">
        <v>533</v>
      </c>
      <c r="D309" t="s">
        <v>534</v>
      </c>
      <c r="E309" t="s">
        <v>500</v>
      </c>
      <c r="F309" t="s">
        <v>558</v>
      </c>
      <c r="G309" t="s">
        <v>610</v>
      </c>
      <c r="H309" t="s">
        <v>611</v>
      </c>
      <c r="I309" t="s">
        <v>612</v>
      </c>
      <c r="K309" t="s">
        <v>613</v>
      </c>
      <c r="L309" t="s">
        <v>532</v>
      </c>
      <c r="M309" t="s">
        <v>540</v>
      </c>
      <c r="N309" t="s">
        <v>614</v>
      </c>
      <c r="O309" t="s">
        <v>540</v>
      </c>
      <c r="P309">
        <v>1</v>
      </c>
      <c r="Q309" t="s">
        <v>615</v>
      </c>
      <c r="R309">
        <v>53</v>
      </c>
    </row>
    <row r="310" spans="2:18">
      <c r="B310">
        <v>18</v>
      </c>
      <c r="C310" t="s">
        <v>533</v>
      </c>
      <c r="D310" t="s">
        <v>534</v>
      </c>
      <c r="E310" t="s">
        <v>500</v>
      </c>
      <c r="F310" t="s">
        <v>558</v>
      </c>
      <c r="G310" t="s">
        <v>559</v>
      </c>
      <c r="H310" t="s">
        <v>477</v>
      </c>
      <c r="I310" t="s">
        <v>616</v>
      </c>
      <c r="K310" t="s">
        <v>617</v>
      </c>
      <c r="L310" t="s">
        <v>532</v>
      </c>
      <c r="M310" t="s">
        <v>540</v>
      </c>
      <c r="N310" t="s">
        <v>540</v>
      </c>
      <c r="O310" t="s">
        <v>540</v>
      </c>
      <c r="P310">
        <v>1</v>
      </c>
      <c r="Q310" t="s">
        <v>618</v>
      </c>
      <c r="R310">
        <v>875</v>
      </c>
    </row>
    <row r="311" spans="2:18">
      <c r="B311">
        <v>19</v>
      </c>
      <c r="C311" t="s">
        <v>533</v>
      </c>
      <c r="D311" t="s">
        <v>534</v>
      </c>
      <c r="E311" t="s">
        <v>500</v>
      </c>
      <c r="F311" t="s">
        <v>558</v>
      </c>
      <c r="G311" t="s">
        <v>559</v>
      </c>
      <c r="H311" t="s">
        <v>478</v>
      </c>
      <c r="I311" t="s">
        <v>683</v>
      </c>
      <c r="K311" t="s">
        <v>684</v>
      </c>
      <c r="L311" t="s">
        <v>532</v>
      </c>
      <c r="M311" t="s">
        <v>540</v>
      </c>
      <c r="N311" t="s">
        <v>685</v>
      </c>
      <c r="O311" t="s">
        <v>540</v>
      </c>
      <c r="P311">
        <v>1</v>
      </c>
      <c r="Q311" t="s">
        <v>567</v>
      </c>
      <c r="R311">
        <v>331</v>
      </c>
    </row>
    <row r="312" spans="2:18">
      <c r="B312">
        <v>20</v>
      </c>
      <c r="C312" t="s">
        <v>533</v>
      </c>
      <c r="D312" t="s">
        <v>534</v>
      </c>
      <c r="E312" t="s">
        <v>500</v>
      </c>
      <c r="F312" t="s">
        <v>558</v>
      </c>
      <c r="G312" t="s">
        <v>559</v>
      </c>
      <c r="H312" t="s">
        <v>622</v>
      </c>
      <c r="I312" t="s">
        <v>623</v>
      </c>
      <c r="K312" t="s">
        <v>624</v>
      </c>
      <c r="L312" t="s">
        <v>532</v>
      </c>
      <c r="M312" t="s">
        <v>540</v>
      </c>
      <c r="N312" t="s">
        <v>625</v>
      </c>
      <c r="O312" t="s">
        <v>540</v>
      </c>
      <c r="P312">
        <v>1</v>
      </c>
      <c r="Q312" t="s">
        <v>547</v>
      </c>
      <c r="R312">
        <v>92</v>
      </c>
    </row>
    <row r="313" spans="2:18">
      <c r="B313">
        <v>21</v>
      </c>
      <c r="C313" t="s">
        <v>533</v>
      </c>
      <c r="D313" t="s">
        <v>534</v>
      </c>
      <c r="E313" t="s">
        <v>500</v>
      </c>
      <c r="F313" t="s">
        <v>630</v>
      </c>
      <c r="G313" t="s">
        <v>593</v>
      </c>
      <c r="H313" t="s">
        <v>631</v>
      </c>
      <c r="I313" t="s">
        <v>632</v>
      </c>
      <c r="K313" t="s">
        <v>633</v>
      </c>
      <c r="L313" t="s">
        <v>532</v>
      </c>
      <c r="M313" t="s">
        <v>540</v>
      </c>
      <c r="N313" t="s">
        <v>540</v>
      </c>
      <c r="O313" t="s">
        <v>540</v>
      </c>
      <c r="P313">
        <v>1</v>
      </c>
      <c r="Q313" t="s">
        <v>553</v>
      </c>
      <c r="R313">
        <v>41</v>
      </c>
    </row>
    <row r="314" spans="2:18">
      <c r="B314">
        <v>22</v>
      </c>
      <c r="C314" t="s">
        <v>533</v>
      </c>
      <c r="D314" t="s">
        <v>534</v>
      </c>
      <c r="E314" t="s">
        <v>500</v>
      </c>
      <c r="F314" t="s">
        <v>630</v>
      </c>
      <c r="G314" t="s">
        <v>536</v>
      </c>
      <c r="H314" t="s">
        <v>634</v>
      </c>
      <c r="I314" t="s">
        <v>635</v>
      </c>
      <c r="K314" t="s">
        <v>636</v>
      </c>
      <c r="L314" t="s">
        <v>532</v>
      </c>
      <c r="M314" t="s">
        <v>540</v>
      </c>
      <c r="N314" t="s">
        <v>637</v>
      </c>
      <c r="O314" t="s">
        <v>540</v>
      </c>
      <c r="P314">
        <v>1</v>
      </c>
      <c r="Q314" t="s">
        <v>609</v>
      </c>
      <c r="R314">
        <v>290</v>
      </c>
    </row>
    <row r="315" spans="2:18">
      <c r="B315">
        <v>23</v>
      </c>
      <c r="C315" t="s">
        <v>533</v>
      </c>
      <c r="D315" t="s">
        <v>534</v>
      </c>
      <c r="E315" t="s">
        <v>500</v>
      </c>
      <c r="F315" t="s">
        <v>630</v>
      </c>
      <c r="G315" t="s">
        <v>575</v>
      </c>
      <c r="H315" t="s">
        <v>638</v>
      </c>
      <c r="I315" t="s">
        <v>639</v>
      </c>
      <c r="K315" t="s">
        <v>640</v>
      </c>
      <c r="L315" t="s">
        <v>532</v>
      </c>
      <c r="M315" t="s">
        <v>540</v>
      </c>
      <c r="N315" t="s">
        <v>641</v>
      </c>
      <c r="O315" t="s">
        <v>540</v>
      </c>
      <c r="P315">
        <v>1</v>
      </c>
      <c r="Q315" t="s">
        <v>553</v>
      </c>
      <c r="R315">
        <v>100</v>
      </c>
    </row>
    <row r="316" spans="2:18">
      <c r="B316">
        <v>24</v>
      </c>
      <c r="C316" t="s">
        <v>533</v>
      </c>
      <c r="D316" t="s">
        <v>534</v>
      </c>
      <c r="E316" t="s">
        <v>500</v>
      </c>
      <c r="F316" t="s">
        <v>630</v>
      </c>
      <c r="G316" t="s">
        <v>559</v>
      </c>
      <c r="H316" t="s">
        <v>642</v>
      </c>
      <c r="I316" t="s">
        <v>643</v>
      </c>
      <c r="K316" t="s">
        <v>644</v>
      </c>
      <c r="L316" t="s">
        <v>532</v>
      </c>
      <c r="M316" t="s">
        <v>540</v>
      </c>
      <c r="N316" t="s">
        <v>645</v>
      </c>
      <c r="O316" t="s">
        <v>540</v>
      </c>
      <c r="P316">
        <v>1</v>
      </c>
      <c r="Q316" t="s">
        <v>646</v>
      </c>
      <c r="R316">
        <v>55</v>
      </c>
    </row>
    <row r="317" spans="2:18">
      <c r="B317">
        <v>25</v>
      </c>
      <c r="C317" t="s">
        <v>533</v>
      </c>
      <c r="D317" t="s">
        <v>534</v>
      </c>
      <c r="E317" t="s">
        <v>500</v>
      </c>
      <c r="F317" t="s">
        <v>630</v>
      </c>
      <c r="G317" t="s">
        <v>579</v>
      </c>
      <c r="H317" t="s">
        <v>647</v>
      </c>
      <c r="I317" t="s">
        <v>648</v>
      </c>
      <c r="K317" t="s">
        <v>649</v>
      </c>
      <c r="L317" t="s">
        <v>532</v>
      </c>
      <c r="M317" t="s">
        <v>540</v>
      </c>
      <c r="N317" t="s">
        <v>592</v>
      </c>
      <c r="O317" t="s">
        <v>540</v>
      </c>
      <c r="P317">
        <v>1</v>
      </c>
      <c r="Q317" t="s">
        <v>553</v>
      </c>
      <c r="R317">
        <v>66.26</v>
      </c>
    </row>
    <row r="318" spans="2:18">
      <c r="B318">
        <v>26</v>
      </c>
      <c r="C318" t="s">
        <v>533</v>
      </c>
      <c r="D318" t="s">
        <v>534</v>
      </c>
      <c r="E318" t="s">
        <v>500</v>
      </c>
      <c r="F318" t="s">
        <v>630</v>
      </c>
      <c r="G318" t="s">
        <v>650</v>
      </c>
      <c r="H318" t="s">
        <v>651</v>
      </c>
      <c r="I318" t="s">
        <v>652</v>
      </c>
      <c r="K318" t="s">
        <v>653</v>
      </c>
      <c r="L318" t="s">
        <v>532</v>
      </c>
      <c r="M318" t="s">
        <v>540</v>
      </c>
      <c r="N318" t="s">
        <v>654</v>
      </c>
      <c r="O318" t="s">
        <v>540</v>
      </c>
      <c r="P318">
        <v>1</v>
      </c>
      <c r="Q318" t="s">
        <v>553</v>
      </c>
      <c r="R318">
        <v>101</v>
      </c>
    </row>
    <row r="319" spans="2:18">
      <c r="B319">
        <v>27</v>
      </c>
      <c r="C319" t="s">
        <v>533</v>
      </c>
      <c r="D319" t="s">
        <v>534</v>
      </c>
      <c r="E319" t="s">
        <v>500</v>
      </c>
      <c r="F319" t="s">
        <v>630</v>
      </c>
      <c r="G319" t="s">
        <v>650</v>
      </c>
      <c r="H319" t="s">
        <v>655</v>
      </c>
      <c r="I319" t="s">
        <v>656</v>
      </c>
      <c r="K319" t="s">
        <v>657</v>
      </c>
      <c r="L319" t="s">
        <v>532</v>
      </c>
      <c r="M319" t="s">
        <v>540</v>
      </c>
      <c r="N319" t="s">
        <v>658</v>
      </c>
      <c r="O319" t="s">
        <v>540</v>
      </c>
      <c r="P319">
        <v>1</v>
      </c>
      <c r="Q319" t="s">
        <v>553</v>
      </c>
      <c r="R319">
        <v>418</v>
      </c>
    </row>
    <row r="320" spans="2:18">
      <c r="B320">
        <v>28</v>
      </c>
      <c r="C320" t="s">
        <v>533</v>
      </c>
      <c r="D320" t="s">
        <v>534</v>
      </c>
      <c r="E320" t="s">
        <v>500</v>
      </c>
      <c r="F320" t="s">
        <v>630</v>
      </c>
      <c r="G320" t="s">
        <v>650</v>
      </c>
      <c r="H320" t="s">
        <v>659</v>
      </c>
      <c r="I320" t="s">
        <v>660</v>
      </c>
      <c r="K320" t="s">
        <v>661</v>
      </c>
      <c r="L320" t="s">
        <v>532</v>
      </c>
      <c r="M320" t="s">
        <v>540</v>
      </c>
      <c r="N320" t="s">
        <v>662</v>
      </c>
      <c r="O320" t="s">
        <v>540</v>
      </c>
      <c r="P320">
        <v>1</v>
      </c>
      <c r="Q320" t="s">
        <v>553</v>
      </c>
      <c r="R320">
        <v>37</v>
      </c>
    </row>
    <row r="321" spans="2:18">
      <c r="B321">
        <v>29</v>
      </c>
      <c r="C321" t="s">
        <v>533</v>
      </c>
      <c r="D321" t="s">
        <v>534</v>
      </c>
      <c r="E321" t="s">
        <v>500</v>
      </c>
      <c r="F321" t="s">
        <v>630</v>
      </c>
      <c r="G321" t="s">
        <v>575</v>
      </c>
      <c r="H321" t="s">
        <v>663</v>
      </c>
      <c r="I321" t="s">
        <v>664</v>
      </c>
      <c r="K321" t="s">
        <v>665</v>
      </c>
      <c r="L321" t="s">
        <v>532</v>
      </c>
      <c r="M321" t="s">
        <v>540</v>
      </c>
      <c r="N321" t="s">
        <v>666</v>
      </c>
      <c r="O321" t="s">
        <v>540</v>
      </c>
      <c r="P321">
        <v>1</v>
      </c>
      <c r="Q321" t="s">
        <v>667</v>
      </c>
      <c r="R321">
        <v>370</v>
      </c>
    </row>
    <row r="322" spans="2:18">
      <c r="B322">
        <v>30</v>
      </c>
      <c r="C322" t="s">
        <v>533</v>
      </c>
      <c r="D322" t="s">
        <v>534</v>
      </c>
      <c r="E322" t="s">
        <v>500</v>
      </c>
      <c r="F322" t="s">
        <v>630</v>
      </c>
      <c r="G322" t="s">
        <v>548</v>
      </c>
      <c r="H322" t="s">
        <v>668</v>
      </c>
      <c r="I322" t="s">
        <v>669</v>
      </c>
      <c r="K322" t="s">
        <v>670</v>
      </c>
      <c r="L322" t="s">
        <v>532</v>
      </c>
      <c r="M322" t="s">
        <v>540</v>
      </c>
      <c r="N322" t="s">
        <v>671</v>
      </c>
      <c r="O322" t="s">
        <v>540</v>
      </c>
      <c r="P322">
        <v>1</v>
      </c>
      <c r="Q322" t="s">
        <v>567</v>
      </c>
      <c r="R322">
        <v>4.7</v>
      </c>
    </row>
    <row r="323" spans="2:18">
      <c r="B323">
        <v>31</v>
      </c>
      <c r="C323" t="s">
        <v>533</v>
      </c>
      <c r="D323" t="s">
        <v>534</v>
      </c>
      <c r="E323" t="s">
        <v>500</v>
      </c>
      <c r="F323" t="s">
        <v>630</v>
      </c>
      <c r="G323" t="s">
        <v>650</v>
      </c>
      <c r="H323" t="s">
        <v>672</v>
      </c>
      <c r="I323" t="s">
        <v>673</v>
      </c>
      <c r="K323" t="s">
        <v>674</v>
      </c>
      <c r="L323" t="s">
        <v>532</v>
      </c>
      <c r="M323" t="s">
        <v>540</v>
      </c>
      <c r="N323" t="s">
        <v>675</v>
      </c>
      <c r="O323" t="s">
        <v>540</v>
      </c>
      <c r="P323">
        <v>1</v>
      </c>
      <c r="Q323" t="s">
        <v>618</v>
      </c>
      <c r="R323">
        <v>370</v>
      </c>
    </row>
    <row r="324" spans="2:18">
      <c r="B324">
        <v>32</v>
      </c>
      <c r="C324" t="s">
        <v>533</v>
      </c>
      <c r="D324" t="s">
        <v>534</v>
      </c>
      <c r="E324" t="s">
        <v>500</v>
      </c>
      <c r="F324" t="s">
        <v>630</v>
      </c>
      <c r="G324" t="s">
        <v>650</v>
      </c>
      <c r="H324" t="s">
        <v>676</v>
      </c>
      <c r="I324" t="s">
        <v>677</v>
      </c>
      <c r="K324" t="s">
        <v>678</v>
      </c>
      <c r="L324" t="s">
        <v>532</v>
      </c>
      <c r="M324" t="s">
        <v>540</v>
      </c>
      <c r="N324" t="s">
        <v>679</v>
      </c>
      <c r="O324" t="s">
        <v>540</v>
      </c>
      <c r="P324">
        <v>1</v>
      </c>
      <c r="Q324" t="s">
        <v>553</v>
      </c>
      <c r="R324">
        <v>39.5</v>
      </c>
    </row>
    <row r="325" spans="2:18">
      <c r="B325">
        <v>33</v>
      </c>
      <c r="C325" t="s">
        <v>533</v>
      </c>
      <c r="D325" t="s">
        <v>534</v>
      </c>
      <c r="E325" t="s">
        <v>500</v>
      </c>
      <c r="F325" t="s">
        <v>630</v>
      </c>
      <c r="G325" t="s">
        <v>650</v>
      </c>
      <c r="H325" t="s">
        <v>680</v>
      </c>
      <c r="I325" t="s">
        <v>681</v>
      </c>
      <c r="K325" t="s">
        <v>682</v>
      </c>
      <c r="L325" t="s">
        <v>532</v>
      </c>
      <c r="M325" t="s">
        <v>540</v>
      </c>
      <c r="N325" t="s">
        <v>679</v>
      </c>
      <c r="O325" t="s">
        <v>540</v>
      </c>
      <c r="P325">
        <v>1</v>
      </c>
      <c r="Q325" t="s">
        <v>553</v>
      </c>
      <c r="R325">
        <v>17.2</v>
      </c>
    </row>
    <row r="326" spans="2:18">
      <c r="B326">
        <v>1</v>
      </c>
      <c r="C326" t="s">
        <v>533</v>
      </c>
      <c r="D326" t="s">
        <v>534</v>
      </c>
      <c r="E326" t="s">
        <v>501</v>
      </c>
      <c r="F326" t="s">
        <v>535</v>
      </c>
      <c r="G326" t="s">
        <v>536</v>
      </c>
      <c r="H326" t="s">
        <v>537</v>
      </c>
      <c r="I326" t="s">
        <v>538</v>
      </c>
      <c r="K326" t="s">
        <v>539</v>
      </c>
      <c r="L326" t="s">
        <v>532</v>
      </c>
      <c r="M326" t="s">
        <v>540</v>
      </c>
      <c r="N326" t="s">
        <v>541</v>
      </c>
      <c r="O326" t="s">
        <v>540</v>
      </c>
      <c r="P326">
        <v>1</v>
      </c>
      <c r="Q326" t="s">
        <v>542</v>
      </c>
      <c r="R326">
        <v>920</v>
      </c>
    </row>
    <row r="327" spans="2:18">
      <c r="B327">
        <v>2</v>
      </c>
      <c r="C327" t="s">
        <v>533</v>
      </c>
      <c r="D327" t="s">
        <v>534</v>
      </c>
      <c r="E327" t="s">
        <v>501</v>
      </c>
      <c r="F327" t="s">
        <v>535</v>
      </c>
      <c r="G327" t="s">
        <v>536</v>
      </c>
      <c r="H327" t="s">
        <v>543</v>
      </c>
      <c r="I327" t="s">
        <v>544</v>
      </c>
      <c r="K327" t="s">
        <v>545</v>
      </c>
      <c r="L327" t="s">
        <v>532</v>
      </c>
      <c r="M327" t="s">
        <v>540</v>
      </c>
      <c r="N327" t="s">
        <v>546</v>
      </c>
      <c r="O327" t="s">
        <v>540</v>
      </c>
      <c r="P327">
        <v>1</v>
      </c>
      <c r="Q327" t="s">
        <v>547</v>
      </c>
      <c r="R327">
        <v>380</v>
      </c>
    </row>
    <row r="328" spans="2:18">
      <c r="B328">
        <v>3</v>
      </c>
      <c r="C328" t="s">
        <v>533</v>
      </c>
      <c r="D328" t="s">
        <v>534</v>
      </c>
      <c r="E328" t="s">
        <v>501</v>
      </c>
      <c r="F328" t="s">
        <v>535</v>
      </c>
      <c r="G328" t="s">
        <v>548</v>
      </c>
      <c r="H328" t="s">
        <v>549</v>
      </c>
      <c r="I328" t="s">
        <v>550</v>
      </c>
      <c r="K328" t="s">
        <v>551</v>
      </c>
      <c r="L328" t="s">
        <v>532</v>
      </c>
      <c r="M328" t="s">
        <v>540</v>
      </c>
      <c r="N328" t="s">
        <v>552</v>
      </c>
      <c r="O328" t="s">
        <v>540</v>
      </c>
      <c r="P328">
        <v>1</v>
      </c>
      <c r="Q328" t="s">
        <v>553</v>
      </c>
      <c r="R328">
        <v>14</v>
      </c>
    </row>
    <row r="329" spans="2:18">
      <c r="B329">
        <v>4</v>
      </c>
      <c r="C329" t="s">
        <v>533</v>
      </c>
      <c r="D329" t="s">
        <v>534</v>
      </c>
      <c r="E329" t="s">
        <v>501</v>
      </c>
      <c r="F329" t="s">
        <v>535</v>
      </c>
      <c r="G329" t="s">
        <v>548</v>
      </c>
      <c r="H329" t="s">
        <v>554</v>
      </c>
      <c r="I329" t="s">
        <v>555</v>
      </c>
      <c r="K329" t="s">
        <v>556</v>
      </c>
      <c r="L329" t="s">
        <v>532</v>
      </c>
      <c r="M329" t="s">
        <v>540</v>
      </c>
      <c r="N329" t="s">
        <v>557</v>
      </c>
      <c r="O329" t="s">
        <v>540</v>
      </c>
      <c r="P329">
        <v>1</v>
      </c>
      <c r="Q329" t="s">
        <v>553</v>
      </c>
      <c r="R329">
        <v>33</v>
      </c>
    </row>
    <row r="330" spans="2:18">
      <c r="B330">
        <v>6</v>
      </c>
      <c r="C330" t="s">
        <v>533</v>
      </c>
      <c r="D330" t="s">
        <v>534</v>
      </c>
      <c r="E330" t="s">
        <v>501</v>
      </c>
      <c r="F330" t="s">
        <v>558</v>
      </c>
      <c r="G330" t="s">
        <v>559</v>
      </c>
      <c r="H330" t="s">
        <v>560</v>
      </c>
      <c r="I330" t="s">
        <v>561</v>
      </c>
      <c r="K330" t="s">
        <v>562</v>
      </c>
      <c r="L330" t="s">
        <v>532</v>
      </c>
      <c r="M330" t="s">
        <v>540</v>
      </c>
      <c r="N330" t="s">
        <v>563</v>
      </c>
      <c r="O330" t="s">
        <v>540</v>
      </c>
      <c r="P330">
        <v>1</v>
      </c>
      <c r="Q330" t="s">
        <v>553</v>
      </c>
      <c r="R330">
        <v>223</v>
      </c>
    </row>
    <row r="331" spans="2:18">
      <c r="B331">
        <v>7</v>
      </c>
      <c r="C331" t="s">
        <v>533</v>
      </c>
      <c r="D331" t="s">
        <v>534</v>
      </c>
      <c r="E331" t="s">
        <v>501</v>
      </c>
      <c r="F331" t="s">
        <v>558</v>
      </c>
      <c r="G331" t="s">
        <v>559</v>
      </c>
      <c r="H331" t="s">
        <v>564</v>
      </c>
      <c r="I331" t="s">
        <v>565</v>
      </c>
      <c r="K331" t="s">
        <v>566</v>
      </c>
      <c r="L331" t="s">
        <v>532</v>
      </c>
      <c r="M331" t="s">
        <v>540</v>
      </c>
      <c r="N331" t="s">
        <v>540</v>
      </c>
      <c r="O331" t="s">
        <v>540</v>
      </c>
      <c r="P331">
        <v>1</v>
      </c>
      <c r="Q331" t="s">
        <v>567</v>
      </c>
      <c r="R331">
        <v>640</v>
      </c>
    </row>
    <row r="332" spans="2:18">
      <c r="B332">
        <v>8</v>
      </c>
      <c r="C332" t="s">
        <v>533</v>
      </c>
      <c r="D332" t="s">
        <v>534</v>
      </c>
      <c r="E332" t="s">
        <v>501</v>
      </c>
      <c r="F332" t="s">
        <v>558</v>
      </c>
      <c r="G332" t="s">
        <v>559</v>
      </c>
      <c r="H332" t="s">
        <v>568</v>
      </c>
      <c r="I332" t="s">
        <v>569</v>
      </c>
      <c r="K332" t="s">
        <v>570</v>
      </c>
      <c r="L332" t="s">
        <v>532</v>
      </c>
      <c r="M332" t="s">
        <v>540</v>
      </c>
      <c r="N332" t="s">
        <v>540</v>
      </c>
      <c r="O332" t="s">
        <v>540</v>
      </c>
      <c r="P332">
        <v>1</v>
      </c>
      <c r="Q332" t="s">
        <v>567</v>
      </c>
      <c r="R332">
        <v>425</v>
      </c>
    </row>
    <row r="333" spans="2:18">
      <c r="B333">
        <v>9</v>
      </c>
      <c r="C333" t="s">
        <v>533</v>
      </c>
      <c r="D333" t="s">
        <v>534</v>
      </c>
      <c r="E333" t="s">
        <v>501</v>
      </c>
      <c r="F333" t="s">
        <v>558</v>
      </c>
      <c r="G333" t="s">
        <v>559</v>
      </c>
      <c r="H333" t="s">
        <v>571</v>
      </c>
      <c r="I333" t="s">
        <v>572</v>
      </c>
      <c r="K333" t="s">
        <v>573</v>
      </c>
      <c r="L333" t="s">
        <v>532</v>
      </c>
      <c r="M333" t="s">
        <v>540</v>
      </c>
      <c r="N333" t="s">
        <v>574</v>
      </c>
      <c r="O333" t="s">
        <v>540</v>
      </c>
      <c r="P333">
        <v>1</v>
      </c>
      <c r="Q333" t="s">
        <v>553</v>
      </c>
      <c r="R333">
        <v>959</v>
      </c>
    </row>
    <row r="334" spans="2:18">
      <c r="B334">
        <v>10</v>
      </c>
      <c r="C334" t="s">
        <v>533</v>
      </c>
      <c r="D334" t="s">
        <v>534</v>
      </c>
      <c r="E334" t="s">
        <v>501</v>
      </c>
      <c r="F334" t="s">
        <v>558</v>
      </c>
      <c r="G334" t="s">
        <v>575</v>
      </c>
      <c r="H334" t="s">
        <v>576</v>
      </c>
      <c r="I334" t="s">
        <v>577</v>
      </c>
      <c r="K334" t="s">
        <v>578</v>
      </c>
      <c r="L334" t="s">
        <v>532</v>
      </c>
      <c r="M334" t="s">
        <v>540</v>
      </c>
      <c r="N334" t="s">
        <v>540</v>
      </c>
      <c r="O334" t="s">
        <v>540</v>
      </c>
      <c r="P334">
        <v>1</v>
      </c>
      <c r="Q334" t="s">
        <v>553</v>
      </c>
      <c r="R334">
        <v>1680</v>
      </c>
    </row>
    <row r="335" spans="2:18">
      <c r="B335">
        <v>12</v>
      </c>
      <c r="C335" t="s">
        <v>533</v>
      </c>
      <c r="D335" t="s">
        <v>534</v>
      </c>
      <c r="E335" t="s">
        <v>501</v>
      </c>
      <c r="F335" t="s">
        <v>558</v>
      </c>
      <c r="G335" t="s">
        <v>579</v>
      </c>
      <c r="H335" t="s">
        <v>580</v>
      </c>
      <c r="I335" t="s">
        <v>581</v>
      </c>
      <c r="K335" t="s">
        <v>582</v>
      </c>
      <c r="L335" t="s">
        <v>532</v>
      </c>
      <c r="M335" t="s">
        <v>540</v>
      </c>
      <c r="N335" t="s">
        <v>583</v>
      </c>
      <c r="O335" t="s">
        <v>540</v>
      </c>
      <c r="P335">
        <v>1</v>
      </c>
      <c r="Q335" t="s">
        <v>553</v>
      </c>
      <c r="R335">
        <v>56</v>
      </c>
    </row>
    <row r="336" spans="2:18">
      <c r="B336">
        <v>12</v>
      </c>
      <c r="C336" t="s">
        <v>533</v>
      </c>
      <c r="D336" t="s">
        <v>534</v>
      </c>
      <c r="E336" t="s">
        <v>501</v>
      </c>
      <c r="F336" t="s">
        <v>558</v>
      </c>
      <c r="G336" t="s">
        <v>579</v>
      </c>
      <c r="H336" t="s">
        <v>584</v>
      </c>
      <c r="I336" t="s">
        <v>585</v>
      </c>
      <c r="K336" t="s">
        <v>586</v>
      </c>
      <c r="L336" t="s">
        <v>532</v>
      </c>
      <c r="M336" t="s">
        <v>540</v>
      </c>
      <c r="N336" t="s">
        <v>587</v>
      </c>
      <c r="O336" t="s">
        <v>540</v>
      </c>
      <c r="P336">
        <v>1</v>
      </c>
      <c r="Q336" t="s">
        <v>553</v>
      </c>
      <c r="R336">
        <v>74</v>
      </c>
    </row>
    <row r="337" spans="2:18">
      <c r="B337">
        <v>13</v>
      </c>
      <c r="C337" t="s">
        <v>533</v>
      </c>
      <c r="D337" t="s">
        <v>534</v>
      </c>
      <c r="E337" t="s">
        <v>501</v>
      </c>
      <c r="F337" t="s">
        <v>558</v>
      </c>
      <c r="G337" t="s">
        <v>588</v>
      </c>
      <c r="H337" t="s">
        <v>589</v>
      </c>
      <c r="I337" t="s">
        <v>590</v>
      </c>
      <c r="K337" t="s">
        <v>591</v>
      </c>
      <c r="L337" t="s">
        <v>532</v>
      </c>
      <c r="M337" t="s">
        <v>540</v>
      </c>
      <c r="N337" t="s">
        <v>592</v>
      </c>
      <c r="O337" t="s">
        <v>540</v>
      </c>
      <c r="P337">
        <v>1</v>
      </c>
      <c r="Q337" t="s">
        <v>553</v>
      </c>
      <c r="R337">
        <v>84</v>
      </c>
    </row>
    <row r="338" spans="2:18">
      <c r="B338">
        <v>14</v>
      </c>
      <c r="C338" t="s">
        <v>533</v>
      </c>
      <c r="D338" t="s">
        <v>534</v>
      </c>
      <c r="E338" t="s">
        <v>501</v>
      </c>
      <c r="F338" t="s">
        <v>558</v>
      </c>
      <c r="G338" t="s">
        <v>593</v>
      </c>
      <c r="H338" t="s">
        <v>594</v>
      </c>
      <c r="I338" t="s">
        <v>595</v>
      </c>
      <c r="K338" t="s">
        <v>596</v>
      </c>
      <c r="L338" t="s">
        <v>532</v>
      </c>
      <c r="M338" t="s">
        <v>540</v>
      </c>
      <c r="N338" t="s">
        <v>597</v>
      </c>
      <c r="O338" t="s">
        <v>540</v>
      </c>
      <c r="P338">
        <v>1</v>
      </c>
      <c r="Q338" t="s">
        <v>553</v>
      </c>
      <c r="R338">
        <v>165</v>
      </c>
    </row>
    <row r="339" spans="2:18">
      <c r="B339">
        <v>15</v>
      </c>
      <c r="C339" t="s">
        <v>533</v>
      </c>
      <c r="D339" t="s">
        <v>534</v>
      </c>
      <c r="E339" t="s">
        <v>501</v>
      </c>
      <c r="F339" t="s">
        <v>558</v>
      </c>
      <c r="G339" t="s">
        <v>559</v>
      </c>
      <c r="H339" t="s">
        <v>598</v>
      </c>
      <c r="I339" t="s">
        <v>599</v>
      </c>
      <c r="K339" t="s">
        <v>600</v>
      </c>
      <c r="L339" t="s">
        <v>532</v>
      </c>
      <c r="M339" t="s">
        <v>540</v>
      </c>
      <c r="N339" t="s">
        <v>540</v>
      </c>
      <c r="O339" t="s">
        <v>540</v>
      </c>
      <c r="P339">
        <v>1</v>
      </c>
      <c r="Q339" t="s">
        <v>553</v>
      </c>
      <c r="R339">
        <v>43</v>
      </c>
    </row>
    <row r="340" spans="2:18">
      <c r="B340">
        <v>17</v>
      </c>
      <c r="C340" t="s">
        <v>533</v>
      </c>
      <c r="D340" t="s">
        <v>534</v>
      </c>
      <c r="E340" t="s">
        <v>501</v>
      </c>
      <c r="F340" t="s">
        <v>558</v>
      </c>
      <c r="G340" t="s">
        <v>559</v>
      </c>
      <c r="H340" t="s">
        <v>601</v>
      </c>
      <c r="I340" t="s">
        <v>602</v>
      </c>
      <c r="K340" t="s">
        <v>603</v>
      </c>
      <c r="L340" t="s">
        <v>532</v>
      </c>
      <c r="M340" t="s">
        <v>540</v>
      </c>
      <c r="N340" t="s">
        <v>604</v>
      </c>
      <c r="O340" t="s">
        <v>540</v>
      </c>
      <c r="P340">
        <v>1</v>
      </c>
      <c r="Q340" t="s">
        <v>553</v>
      </c>
      <c r="R340">
        <v>77</v>
      </c>
    </row>
    <row r="341" spans="2:18">
      <c r="B341">
        <v>18</v>
      </c>
      <c r="C341" t="s">
        <v>533</v>
      </c>
      <c r="D341" t="s">
        <v>534</v>
      </c>
      <c r="E341" t="s">
        <v>501</v>
      </c>
      <c r="F341" t="s">
        <v>558</v>
      </c>
      <c r="G341" t="s">
        <v>536</v>
      </c>
      <c r="H341" t="s">
        <v>605</v>
      </c>
      <c r="I341" t="s">
        <v>697</v>
      </c>
      <c r="K341" t="s">
        <v>698</v>
      </c>
      <c r="L341" t="s">
        <v>532</v>
      </c>
      <c r="M341" t="s">
        <v>540</v>
      </c>
      <c r="N341" t="s">
        <v>699</v>
      </c>
      <c r="O341" t="s">
        <v>540</v>
      </c>
      <c r="P341">
        <v>1</v>
      </c>
      <c r="Q341" t="s">
        <v>609</v>
      </c>
      <c r="R341">
        <v>415</v>
      </c>
    </row>
    <row r="342" spans="2:18">
      <c r="B342">
        <v>19</v>
      </c>
      <c r="C342" t="s">
        <v>533</v>
      </c>
      <c r="D342" t="s">
        <v>534</v>
      </c>
      <c r="E342" t="s">
        <v>501</v>
      </c>
      <c r="F342" t="s">
        <v>558</v>
      </c>
      <c r="G342" t="s">
        <v>610</v>
      </c>
      <c r="H342" t="s">
        <v>611</v>
      </c>
      <c r="I342" t="s">
        <v>612</v>
      </c>
      <c r="K342" t="s">
        <v>613</v>
      </c>
      <c r="L342" t="s">
        <v>532</v>
      </c>
      <c r="M342" t="s">
        <v>540</v>
      </c>
      <c r="N342" t="s">
        <v>614</v>
      </c>
      <c r="O342" t="s">
        <v>540</v>
      </c>
      <c r="P342">
        <v>1</v>
      </c>
      <c r="Q342" t="s">
        <v>615</v>
      </c>
      <c r="R342">
        <v>53</v>
      </c>
    </row>
    <row r="343" spans="2:18">
      <c r="B343">
        <v>20</v>
      </c>
      <c r="C343" t="s">
        <v>533</v>
      </c>
      <c r="D343" t="s">
        <v>534</v>
      </c>
      <c r="E343" t="s">
        <v>501</v>
      </c>
      <c r="F343" t="s">
        <v>558</v>
      </c>
      <c r="G343" t="s">
        <v>559</v>
      </c>
      <c r="H343" t="s">
        <v>477</v>
      </c>
      <c r="I343" t="s">
        <v>616</v>
      </c>
      <c r="K343" t="s">
        <v>617</v>
      </c>
      <c r="L343" t="s">
        <v>532</v>
      </c>
      <c r="M343" t="s">
        <v>540</v>
      </c>
      <c r="N343" t="s">
        <v>540</v>
      </c>
      <c r="O343" t="s">
        <v>540</v>
      </c>
      <c r="P343">
        <v>1</v>
      </c>
      <c r="Q343" t="s">
        <v>618</v>
      </c>
      <c r="R343">
        <v>875</v>
      </c>
    </row>
    <row r="344" spans="2:18">
      <c r="B344">
        <v>22</v>
      </c>
      <c r="C344" t="s">
        <v>533</v>
      </c>
      <c r="D344" t="s">
        <v>534</v>
      </c>
      <c r="E344" t="s">
        <v>501</v>
      </c>
      <c r="F344" t="s">
        <v>558</v>
      </c>
      <c r="G344" t="s">
        <v>559</v>
      </c>
      <c r="H344" t="s">
        <v>478</v>
      </c>
      <c r="I344" t="s">
        <v>683</v>
      </c>
      <c r="K344" t="s">
        <v>684</v>
      </c>
      <c r="L344" t="s">
        <v>532</v>
      </c>
      <c r="M344" t="s">
        <v>540</v>
      </c>
      <c r="N344" t="s">
        <v>685</v>
      </c>
      <c r="O344" t="s">
        <v>540</v>
      </c>
      <c r="P344">
        <v>1</v>
      </c>
      <c r="Q344" t="s">
        <v>567</v>
      </c>
      <c r="R344">
        <v>331</v>
      </c>
    </row>
    <row r="345" spans="2:18">
      <c r="B345">
        <v>23</v>
      </c>
      <c r="C345" t="s">
        <v>533</v>
      </c>
      <c r="D345" t="s">
        <v>534</v>
      </c>
      <c r="E345" t="s">
        <v>501</v>
      </c>
      <c r="F345" t="s">
        <v>558</v>
      </c>
      <c r="G345" t="s">
        <v>559</v>
      </c>
      <c r="H345" t="s">
        <v>622</v>
      </c>
      <c r="I345" t="s">
        <v>623</v>
      </c>
      <c r="K345" t="s">
        <v>624</v>
      </c>
      <c r="L345" t="s">
        <v>532</v>
      </c>
      <c r="M345" t="s">
        <v>540</v>
      </c>
      <c r="N345" t="s">
        <v>625</v>
      </c>
      <c r="O345" t="s">
        <v>540</v>
      </c>
      <c r="P345">
        <v>1</v>
      </c>
      <c r="Q345" t="s">
        <v>547</v>
      </c>
      <c r="R345">
        <v>92</v>
      </c>
    </row>
    <row r="346" spans="2:18">
      <c r="B346">
        <v>24</v>
      </c>
      <c r="C346" t="s">
        <v>533</v>
      </c>
      <c r="D346" t="s">
        <v>534</v>
      </c>
      <c r="E346" t="s">
        <v>501</v>
      </c>
      <c r="F346" t="s">
        <v>558</v>
      </c>
      <c r="G346" t="s">
        <v>559</v>
      </c>
      <c r="H346" t="s">
        <v>626</v>
      </c>
      <c r="I346" t="s">
        <v>627</v>
      </c>
      <c r="K346" t="s">
        <v>628</v>
      </c>
      <c r="L346" t="s">
        <v>532</v>
      </c>
      <c r="M346" t="s">
        <v>540</v>
      </c>
      <c r="N346" t="s">
        <v>540</v>
      </c>
      <c r="O346" t="s">
        <v>540</v>
      </c>
      <c r="P346">
        <v>1</v>
      </c>
      <c r="Q346" t="s">
        <v>629</v>
      </c>
      <c r="R346">
        <v>58</v>
      </c>
    </row>
    <row r="347" spans="2:18">
      <c r="B347">
        <v>21</v>
      </c>
      <c r="C347" t="s">
        <v>533</v>
      </c>
      <c r="D347" t="s">
        <v>534</v>
      </c>
      <c r="E347" t="s">
        <v>501</v>
      </c>
      <c r="F347" t="s">
        <v>630</v>
      </c>
      <c r="G347" t="s">
        <v>593</v>
      </c>
      <c r="H347" t="s">
        <v>631</v>
      </c>
      <c r="I347" t="s">
        <v>632</v>
      </c>
      <c r="K347" t="s">
        <v>633</v>
      </c>
      <c r="L347" t="s">
        <v>532</v>
      </c>
      <c r="M347" t="s">
        <v>540</v>
      </c>
      <c r="N347" t="s">
        <v>540</v>
      </c>
      <c r="O347" t="s">
        <v>540</v>
      </c>
      <c r="P347">
        <v>1</v>
      </c>
      <c r="Q347" t="s">
        <v>553</v>
      </c>
      <c r="R347">
        <v>41</v>
      </c>
    </row>
    <row r="348" spans="2:18">
      <c r="B348">
        <v>25</v>
      </c>
      <c r="C348" t="s">
        <v>533</v>
      </c>
      <c r="D348" t="s">
        <v>534</v>
      </c>
      <c r="E348" t="s">
        <v>501</v>
      </c>
      <c r="F348" t="s">
        <v>630</v>
      </c>
      <c r="G348" t="s">
        <v>536</v>
      </c>
      <c r="H348" t="s">
        <v>634</v>
      </c>
      <c r="I348" t="s">
        <v>635</v>
      </c>
      <c r="K348" t="s">
        <v>636</v>
      </c>
      <c r="L348" t="s">
        <v>532</v>
      </c>
      <c r="M348" t="s">
        <v>540</v>
      </c>
      <c r="N348" t="s">
        <v>637</v>
      </c>
      <c r="O348" t="s">
        <v>540</v>
      </c>
      <c r="P348">
        <v>1</v>
      </c>
      <c r="Q348" t="s">
        <v>609</v>
      </c>
      <c r="R348">
        <v>290</v>
      </c>
    </row>
    <row r="349" spans="2:18">
      <c r="B349">
        <v>26</v>
      </c>
      <c r="C349" t="s">
        <v>533</v>
      </c>
      <c r="D349" t="s">
        <v>534</v>
      </c>
      <c r="E349" t="s">
        <v>501</v>
      </c>
      <c r="F349" t="s">
        <v>630</v>
      </c>
      <c r="G349" t="s">
        <v>575</v>
      </c>
      <c r="H349" t="s">
        <v>638</v>
      </c>
      <c r="I349" t="s">
        <v>639</v>
      </c>
      <c r="K349" t="s">
        <v>640</v>
      </c>
      <c r="L349" t="s">
        <v>532</v>
      </c>
      <c r="M349" t="s">
        <v>540</v>
      </c>
      <c r="N349" t="s">
        <v>641</v>
      </c>
      <c r="O349" t="s">
        <v>540</v>
      </c>
      <c r="P349">
        <v>1</v>
      </c>
      <c r="Q349" t="s">
        <v>553</v>
      </c>
      <c r="R349">
        <v>100</v>
      </c>
    </row>
    <row r="350" spans="2:18">
      <c r="B350">
        <v>27</v>
      </c>
      <c r="C350" t="s">
        <v>533</v>
      </c>
      <c r="D350" t="s">
        <v>534</v>
      </c>
      <c r="E350" t="s">
        <v>501</v>
      </c>
      <c r="F350" t="s">
        <v>630</v>
      </c>
      <c r="G350" t="s">
        <v>559</v>
      </c>
      <c r="H350" t="s">
        <v>642</v>
      </c>
      <c r="I350" t="s">
        <v>643</v>
      </c>
      <c r="K350" t="s">
        <v>644</v>
      </c>
      <c r="L350" t="s">
        <v>532</v>
      </c>
      <c r="M350" t="s">
        <v>540</v>
      </c>
      <c r="N350" t="s">
        <v>645</v>
      </c>
      <c r="O350" t="s">
        <v>540</v>
      </c>
      <c r="P350">
        <v>1</v>
      </c>
      <c r="Q350" t="s">
        <v>646</v>
      </c>
      <c r="R350">
        <v>55</v>
      </c>
    </row>
    <row r="351" spans="2:18">
      <c r="B351">
        <v>28</v>
      </c>
      <c r="C351" t="s">
        <v>533</v>
      </c>
      <c r="D351" t="s">
        <v>534</v>
      </c>
      <c r="E351" t="s">
        <v>501</v>
      </c>
      <c r="F351" t="s">
        <v>630</v>
      </c>
      <c r="G351" t="s">
        <v>579</v>
      </c>
      <c r="H351" t="s">
        <v>647</v>
      </c>
      <c r="I351" t="s">
        <v>648</v>
      </c>
      <c r="K351" t="s">
        <v>649</v>
      </c>
      <c r="L351" t="s">
        <v>532</v>
      </c>
      <c r="M351" t="s">
        <v>540</v>
      </c>
      <c r="N351" t="s">
        <v>592</v>
      </c>
      <c r="O351" t="s">
        <v>540</v>
      </c>
      <c r="P351">
        <v>1</v>
      </c>
      <c r="Q351" t="s">
        <v>553</v>
      </c>
      <c r="R351">
        <v>66.26</v>
      </c>
    </row>
    <row r="352" spans="2:18">
      <c r="B352">
        <v>29</v>
      </c>
      <c r="C352" t="s">
        <v>533</v>
      </c>
      <c r="D352" t="s">
        <v>534</v>
      </c>
      <c r="E352" t="s">
        <v>501</v>
      </c>
      <c r="F352" t="s">
        <v>630</v>
      </c>
      <c r="G352" t="s">
        <v>650</v>
      </c>
      <c r="H352" t="s">
        <v>651</v>
      </c>
      <c r="I352" t="s">
        <v>652</v>
      </c>
      <c r="K352" t="s">
        <v>653</v>
      </c>
      <c r="L352" t="s">
        <v>532</v>
      </c>
      <c r="M352" t="s">
        <v>540</v>
      </c>
      <c r="N352" t="s">
        <v>654</v>
      </c>
      <c r="O352" t="s">
        <v>540</v>
      </c>
      <c r="P352">
        <v>1</v>
      </c>
      <c r="Q352" t="s">
        <v>553</v>
      </c>
      <c r="R352">
        <v>101</v>
      </c>
    </row>
    <row r="353" spans="2:18">
      <c r="B353">
        <v>30</v>
      </c>
      <c r="C353" t="s">
        <v>533</v>
      </c>
      <c r="D353" t="s">
        <v>534</v>
      </c>
      <c r="E353" t="s">
        <v>501</v>
      </c>
      <c r="F353" t="s">
        <v>630</v>
      </c>
      <c r="G353" t="s">
        <v>650</v>
      </c>
      <c r="H353" t="s">
        <v>655</v>
      </c>
      <c r="I353" t="s">
        <v>656</v>
      </c>
      <c r="K353" t="s">
        <v>657</v>
      </c>
      <c r="L353" t="s">
        <v>532</v>
      </c>
      <c r="M353" t="s">
        <v>540</v>
      </c>
      <c r="N353" t="s">
        <v>658</v>
      </c>
      <c r="O353" t="s">
        <v>540</v>
      </c>
      <c r="P353">
        <v>1</v>
      </c>
      <c r="Q353" t="s">
        <v>553</v>
      </c>
      <c r="R353">
        <v>418</v>
      </c>
    </row>
    <row r="354" spans="2:18">
      <c r="B354">
        <v>31</v>
      </c>
      <c r="C354" t="s">
        <v>533</v>
      </c>
      <c r="D354" t="s">
        <v>534</v>
      </c>
      <c r="E354" t="s">
        <v>501</v>
      </c>
      <c r="F354" t="s">
        <v>630</v>
      </c>
      <c r="G354" t="s">
        <v>650</v>
      </c>
      <c r="H354" t="s">
        <v>659</v>
      </c>
      <c r="I354" t="s">
        <v>660</v>
      </c>
      <c r="K354" t="s">
        <v>661</v>
      </c>
      <c r="L354" t="s">
        <v>532</v>
      </c>
      <c r="M354" t="s">
        <v>540</v>
      </c>
      <c r="N354" t="s">
        <v>662</v>
      </c>
      <c r="O354" t="s">
        <v>540</v>
      </c>
      <c r="P354">
        <v>1</v>
      </c>
      <c r="Q354" t="s">
        <v>553</v>
      </c>
      <c r="R354">
        <v>37</v>
      </c>
    </row>
    <row r="355" spans="2:18">
      <c r="B355">
        <v>32</v>
      </c>
      <c r="C355" t="s">
        <v>533</v>
      </c>
      <c r="D355" t="s">
        <v>534</v>
      </c>
      <c r="E355" t="s">
        <v>501</v>
      </c>
      <c r="F355" t="s">
        <v>630</v>
      </c>
      <c r="G355" t="s">
        <v>575</v>
      </c>
      <c r="H355" t="s">
        <v>663</v>
      </c>
      <c r="I355" t="s">
        <v>664</v>
      </c>
      <c r="K355" t="s">
        <v>665</v>
      </c>
      <c r="L355" t="s">
        <v>532</v>
      </c>
      <c r="M355" t="s">
        <v>540</v>
      </c>
      <c r="N355" t="s">
        <v>666</v>
      </c>
      <c r="O355" t="s">
        <v>540</v>
      </c>
      <c r="P355">
        <v>1</v>
      </c>
      <c r="Q355" t="s">
        <v>667</v>
      </c>
      <c r="R355">
        <v>370</v>
      </c>
    </row>
    <row r="356" spans="2:18">
      <c r="B356">
        <v>33</v>
      </c>
      <c r="C356" t="s">
        <v>533</v>
      </c>
      <c r="D356" t="s">
        <v>534</v>
      </c>
      <c r="E356" t="s">
        <v>501</v>
      </c>
      <c r="F356" t="s">
        <v>630</v>
      </c>
      <c r="G356" t="s">
        <v>548</v>
      </c>
      <c r="H356" t="s">
        <v>668</v>
      </c>
      <c r="I356" t="s">
        <v>669</v>
      </c>
      <c r="K356" t="s">
        <v>670</v>
      </c>
      <c r="L356" t="s">
        <v>532</v>
      </c>
      <c r="M356" t="s">
        <v>540</v>
      </c>
      <c r="N356" t="s">
        <v>671</v>
      </c>
      <c r="O356" t="s">
        <v>540</v>
      </c>
      <c r="P356">
        <v>1</v>
      </c>
      <c r="Q356" t="s">
        <v>567</v>
      </c>
      <c r="R356">
        <v>4.7</v>
      </c>
    </row>
    <row r="357" spans="2:18">
      <c r="B357">
        <v>34</v>
      </c>
      <c r="C357" t="s">
        <v>533</v>
      </c>
      <c r="D357" t="s">
        <v>534</v>
      </c>
      <c r="E357" t="s">
        <v>501</v>
      </c>
      <c r="F357" t="s">
        <v>630</v>
      </c>
      <c r="G357" t="s">
        <v>650</v>
      </c>
      <c r="H357" t="s">
        <v>672</v>
      </c>
      <c r="I357" t="s">
        <v>673</v>
      </c>
      <c r="K357" t="s">
        <v>674</v>
      </c>
      <c r="L357" t="s">
        <v>532</v>
      </c>
      <c r="M357" t="s">
        <v>540</v>
      </c>
      <c r="N357" t="s">
        <v>675</v>
      </c>
      <c r="O357" t="s">
        <v>540</v>
      </c>
      <c r="P357">
        <v>1</v>
      </c>
      <c r="Q357" t="s">
        <v>618</v>
      </c>
      <c r="R357">
        <v>370</v>
      </c>
    </row>
    <row r="358" spans="2:18">
      <c r="B358">
        <v>35</v>
      </c>
      <c r="C358" t="s">
        <v>533</v>
      </c>
      <c r="D358" t="s">
        <v>534</v>
      </c>
      <c r="E358" t="s">
        <v>501</v>
      </c>
      <c r="F358" t="s">
        <v>630</v>
      </c>
      <c r="G358" t="s">
        <v>650</v>
      </c>
      <c r="H358" t="s">
        <v>676</v>
      </c>
      <c r="I358" t="s">
        <v>677</v>
      </c>
      <c r="K358" t="s">
        <v>678</v>
      </c>
      <c r="L358" t="s">
        <v>532</v>
      </c>
      <c r="M358" t="s">
        <v>540</v>
      </c>
      <c r="N358" t="s">
        <v>679</v>
      </c>
      <c r="O358" t="s">
        <v>540</v>
      </c>
      <c r="P358">
        <v>1</v>
      </c>
      <c r="Q358" t="s">
        <v>553</v>
      </c>
      <c r="R358">
        <v>39.5</v>
      </c>
    </row>
    <row r="359" spans="2:18">
      <c r="B359">
        <v>36</v>
      </c>
      <c r="C359" t="s">
        <v>533</v>
      </c>
      <c r="D359" t="s">
        <v>534</v>
      </c>
      <c r="E359" t="s">
        <v>501</v>
      </c>
      <c r="F359" t="s">
        <v>630</v>
      </c>
      <c r="G359" t="s">
        <v>650</v>
      </c>
      <c r="H359" t="s">
        <v>680</v>
      </c>
      <c r="I359" t="s">
        <v>681</v>
      </c>
      <c r="K359" t="s">
        <v>682</v>
      </c>
      <c r="L359" t="s">
        <v>532</v>
      </c>
      <c r="M359" t="s">
        <v>540</v>
      </c>
      <c r="N359" t="s">
        <v>679</v>
      </c>
      <c r="O359" t="s">
        <v>540</v>
      </c>
      <c r="P359">
        <v>1</v>
      </c>
      <c r="Q359" t="s">
        <v>553</v>
      </c>
      <c r="R359">
        <v>17.2</v>
      </c>
    </row>
    <row r="360" spans="2:18">
      <c r="B360">
        <v>1</v>
      </c>
      <c r="C360" t="s">
        <v>533</v>
      </c>
      <c r="D360" t="s">
        <v>534</v>
      </c>
      <c r="E360" t="s">
        <v>502</v>
      </c>
      <c r="F360" t="s">
        <v>535</v>
      </c>
      <c r="G360" t="s">
        <v>536</v>
      </c>
      <c r="H360" t="s">
        <v>537</v>
      </c>
      <c r="I360" t="s">
        <v>538</v>
      </c>
      <c r="K360" t="s">
        <v>539</v>
      </c>
      <c r="L360" t="s">
        <v>532</v>
      </c>
      <c r="M360" t="s">
        <v>540</v>
      </c>
      <c r="N360" t="s">
        <v>541</v>
      </c>
      <c r="O360" t="s">
        <v>540</v>
      </c>
      <c r="P360">
        <v>1</v>
      </c>
      <c r="Q360" t="s">
        <v>542</v>
      </c>
      <c r="R360">
        <v>920</v>
      </c>
    </row>
    <row r="361" spans="2:18">
      <c r="B361">
        <v>2</v>
      </c>
      <c r="C361" t="s">
        <v>533</v>
      </c>
      <c r="D361" t="s">
        <v>534</v>
      </c>
      <c r="E361" t="s">
        <v>502</v>
      </c>
      <c r="F361" t="s">
        <v>535</v>
      </c>
      <c r="G361" t="s">
        <v>536</v>
      </c>
      <c r="H361" t="s">
        <v>543</v>
      </c>
      <c r="I361" t="s">
        <v>544</v>
      </c>
      <c r="K361" t="s">
        <v>545</v>
      </c>
      <c r="L361" t="s">
        <v>532</v>
      </c>
      <c r="M361" t="s">
        <v>540</v>
      </c>
      <c r="N361" t="s">
        <v>546</v>
      </c>
      <c r="O361" t="s">
        <v>540</v>
      </c>
      <c r="P361">
        <v>1</v>
      </c>
      <c r="Q361" t="s">
        <v>547</v>
      </c>
      <c r="R361">
        <v>380</v>
      </c>
    </row>
    <row r="362" spans="2:18">
      <c r="B362">
        <v>3</v>
      </c>
      <c r="C362" t="s">
        <v>533</v>
      </c>
      <c r="D362" t="s">
        <v>534</v>
      </c>
      <c r="E362" t="s">
        <v>502</v>
      </c>
      <c r="F362" t="s">
        <v>535</v>
      </c>
      <c r="G362" t="s">
        <v>548</v>
      </c>
      <c r="H362" t="s">
        <v>549</v>
      </c>
      <c r="I362" t="s">
        <v>550</v>
      </c>
      <c r="K362" t="s">
        <v>551</v>
      </c>
      <c r="L362" t="s">
        <v>532</v>
      </c>
      <c r="M362" t="s">
        <v>540</v>
      </c>
      <c r="N362" t="s">
        <v>552</v>
      </c>
      <c r="O362" t="s">
        <v>540</v>
      </c>
      <c r="P362">
        <v>1</v>
      </c>
      <c r="Q362" t="s">
        <v>553</v>
      </c>
      <c r="R362">
        <v>14</v>
      </c>
    </row>
    <row r="363" spans="2:18">
      <c r="B363">
        <v>4</v>
      </c>
      <c r="C363" t="s">
        <v>533</v>
      </c>
      <c r="D363" t="s">
        <v>534</v>
      </c>
      <c r="E363" t="s">
        <v>502</v>
      </c>
      <c r="F363" t="s">
        <v>535</v>
      </c>
      <c r="G363" t="s">
        <v>548</v>
      </c>
      <c r="H363" t="s">
        <v>554</v>
      </c>
      <c r="I363" t="s">
        <v>555</v>
      </c>
      <c r="K363" t="s">
        <v>556</v>
      </c>
      <c r="L363" t="s">
        <v>532</v>
      </c>
      <c r="M363" t="s">
        <v>540</v>
      </c>
      <c r="N363" t="s">
        <v>557</v>
      </c>
      <c r="O363" t="s">
        <v>540</v>
      </c>
      <c r="P363">
        <v>1</v>
      </c>
      <c r="Q363" t="s">
        <v>553</v>
      </c>
      <c r="R363">
        <v>33</v>
      </c>
    </row>
    <row r="364" spans="2:18">
      <c r="B364">
        <v>6</v>
      </c>
      <c r="C364" t="s">
        <v>533</v>
      </c>
      <c r="D364" t="s">
        <v>534</v>
      </c>
      <c r="E364" t="s">
        <v>502</v>
      </c>
      <c r="F364" t="s">
        <v>558</v>
      </c>
      <c r="G364" t="s">
        <v>559</v>
      </c>
      <c r="H364" t="s">
        <v>560</v>
      </c>
      <c r="I364" t="s">
        <v>561</v>
      </c>
      <c r="K364" t="s">
        <v>562</v>
      </c>
      <c r="L364" t="s">
        <v>532</v>
      </c>
      <c r="M364" t="s">
        <v>540</v>
      </c>
      <c r="N364" t="s">
        <v>563</v>
      </c>
      <c r="O364" t="s">
        <v>540</v>
      </c>
      <c r="P364">
        <v>1</v>
      </c>
      <c r="Q364" t="s">
        <v>553</v>
      </c>
      <c r="R364">
        <v>223</v>
      </c>
    </row>
    <row r="365" spans="2:18">
      <c r="B365">
        <v>7</v>
      </c>
      <c r="C365" t="s">
        <v>533</v>
      </c>
      <c r="D365" t="s">
        <v>534</v>
      </c>
      <c r="E365" t="s">
        <v>502</v>
      </c>
      <c r="F365" t="s">
        <v>558</v>
      </c>
      <c r="G365" t="s">
        <v>559</v>
      </c>
      <c r="H365" t="s">
        <v>564</v>
      </c>
      <c r="I365" t="s">
        <v>565</v>
      </c>
      <c r="K365" t="s">
        <v>566</v>
      </c>
      <c r="L365" t="s">
        <v>532</v>
      </c>
      <c r="M365" t="s">
        <v>540</v>
      </c>
      <c r="N365" t="s">
        <v>540</v>
      </c>
      <c r="O365" t="s">
        <v>540</v>
      </c>
      <c r="P365">
        <v>1</v>
      </c>
      <c r="Q365" t="s">
        <v>567</v>
      </c>
      <c r="R365">
        <v>640</v>
      </c>
    </row>
    <row r="366" spans="2:18">
      <c r="B366">
        <v>8</v>
      </c>
      <c r="C366" t="s">
        <v>533</v>
      </c>
      <c r="D366" t="s">
        <v>534</v>
      </c>
      <c r="E366" t="s">
        <v>502</v>
      </c>
      <c r="F366" t="s">
        <v>558</v>
      </c>
      <c r="G366" t="s">
        <v>559</v>
      </c>
      <c r="H366" t="s">
        <v>568</v>
      </c>
      <c r="I366" t="s">
        <v>569</v>
      </c>
      <c r="K366" t="s">
        <v>570</v>
      </c>
      <c r="L366" t="s">
        <v>532</v>
      </c>
      <c r="M366" t="s">
        <v>540</v>
      </c>
      <c r="N366" t="s">
        <v>540</v>
      </c>
      <c r="O366" t="s">
        <v>540</v>
      </c>
      <c r="P366">
        <v>1</v>
      </c>
      <c r="Q366" t="s">
        <v>567</v>
      </c>
      <c r="R366">
        <v>425</v>
      </c>
    </row>
    <row r="367" spans="2:18">
      <c r="B367">
        <v>9</v>
      </c>
      <c r="C367" t="s">
        <v>533</v>
      </c>
      <c r="D367" t="s">
        <v>534</v>
      </c>
      <c r="E367" t="s">
        <v>502</v>
      </c>
      <c r="F367" t="s">
        <v>558</v>
      </c>
      <c r="G367" t="s">
        <v>559</v>
      </c>
      <c r="H367" t="s">
        <v>571</v>
      </c>
      <c r="I367" t="s">
        <v>572</v>
      </c>
      <c r="K367" t="s">
        <v>573</v>
      </c>
      <c r="L367" t="s">
        <v>532</v>
      </c>
      <c r="M367" t="s">
        <v>540</v>
      </c>
      <c r="N367" t="s">
        <v>574</v>
      </c>
      <c r="O367" t="s">
        <v>540</v>
      </c>
      <c r="P367">
        <v>1</v>
      </c>
      <c r="Q367" t="s">
        <v>553</v>
      </c>
      <c r="R367">
        <v>959</v>
      </c>
    </row>
    <row r="368" spans="2:18">
      <c r="B368">
        <v>10</v>
      </c>
      <c r="C368" t="s">
        <v>533</v>
      </c>
      <c r="D368" t="s">
        <v>534</v>
      </c>
      <c r="E368" t="s">
        <v>502</v>
      </c>
      <c r="F368" t="s">
        <v>558</v>
      </c>
      <c r="G368" t="s">
        <v>575</v>
      </c>
      <c r="H368" t="s">
        <v>576</v>
      </c>
      <c r="I368" t="s">
        <v>577</v>
      </c>
      <c r="K368" t="s">
        <v>578</v>
      </c>
      <c r="L368" t="s">
        <v>532</v>
      </c>
      <c r="M368" t="s">
        <v>540</v>
      </c>
      <c r="N368" t="s">
        <v>540</v>
      </c>
      <c r="O368" t="s">
        <v>540</v>
      </c>
      <c r="P368">
        <v>1</v>
      </c>
      <c r="Q368" t="s">
        <v>553</v>
      </c>
      <c r="R368">
        <v>1680</v>
      </c>
    </row>
    <row r="369" spans="2:18">
      <c r="B369">
        <v>12</v>
      </c>
      <c r="C369" t="s">
        <v>533</v>
      </c>
      <c r="D369" t="s">
        <v>534</v>
      </c>
      <c r="E369" t="s">
        <v>502</v>
      </c>
      <c r="F369" t="s">
        <v>558</v>
      </c>
      <c r="G369" t="s">
        <v>579</v>
      </c>
      <c r="H369" t="s">
        <v>580</v>
      </c>
      <c r="I369" t="s">
        <v>581</v>
      </c>
      <c r="K369" t="s">
        <v>582</v>
      </c>
      <c r="L369" t="s">
        <v>532</v>
      </c>
      <c r="M369" t="s">
        <v>540</v>
      </c>
      <c r="N369" t="s">
        <v>583</v>
      </c>
      <c r="O369" t="s">
        <v>540</v>
      </c>
      <c r="P369">
        <v>1</v>
      </c>
      <c r="Q369" t="s">
        <v>553</v>
      </c>
      <c r="R369">
        <v>56</v>
      </c>
    </row>
    <row r="370" spans="2:18">
      <c r="B370">
        <v>12</v>
      </c>
      <c r="C370" t="s">
        <v>533</v>
      </c>
      <c r="D370" t="s">
        <v>534</v>
      </c>
      <c r="E370" t="s">
        <v>502</v>
      </c>
      <c r="F370" t="s">
        <v>558</v>
      </c>
      <c r="G370" t="s">
        <v>579</v>
      </c>
      <c r="H370" t="s">
        <v>584</v>
      </c>
      <c r="I370" t="s">
        <v>585</v>
      </c>
      <c r="K370" t="s">
        <v>586</v>
      </c>
      <c r="L370" t="s">
        <v>532</v>
      </c>
      <c r="M370" t="s">
        <v>540</v>
      </c>
      <c r="N370" t="s">
        <v>587</v>
      </c>
      <c r="O370" t="s">
        <v>540</v>
      </c>
      <c r="P370">
        <v>1</v>
      </c>
      <c r="Q370" t="s">
        <v>553</v>
      </c>
      <c r="R370">
        <v>74</v>
      </c>
    </row>
    <row r="371" spans="2:18">
      <c r="B371">
        <v>13</v>
      </c>
      <c r="C371" t="s">
        <v>533</v>
      </c>
      <c r="D371" t="s">
        <v>534</v>
      </c>
      <c r="E371" t="s">
        <v>502</v>
      </c>
      <c r="F371" t="s">
        <v>558</v>
      </c>
      <c r="G371" t="s">
        <v>588</v>
      </c>
      <c r="H371" t="s">
        <v>589</v>
      </c>
      <c r="I371" t="s">
        <v>590</v>
      </c>
      <c r="K371" t="s">
        <v>591</v>
      </c>
      <c r="L371" t="s">
        <v>532</v>
      </c>
      <c r="M371" t="s">
        <v>540</v>
      </c>
      <c r="N371" t="s">
        <v>592</v>
      </c>
      <c r="O371" t="s">
        <v>540</v>
      </c>
      <c r="P371">
        <v>1</v>
      </c>
      <c r="Q371" t="s">
        <v>553</v>
      </c>
      <c r="R371">
        <v>84</v>
      </c>
    </row>
    <row r="372" spans="2:18">
      <c r="B372">
        <v>14</v>
      </c>
      <c r="C372" t="s">
        <v>533</v>
      </c>
      <c r="D372" t="s">
        <v>534</v>
      </c>
      <c r="E372" t="s">
        <v>502</v>
      </c>
      <c r="F372" t="s">
        <v>558</v>
      </c>
      <c r="G372" t="s">
        <v>593</v>
      </c>
      <c r="H372" t="s">
        <v>594</v>
      </c>
      <c r="I372" t="s">
        <v>595</v>
      </c>
      <c r="K372" t="s">
        <v>596</v>
      </c>
      <c r="L372" t="s">
        <v>532</v>
      </c>
      <c r="M372" t="s">
        <v>540</v>
      </c>
      <c r="N372" t="s">
        <v>597</v>
      </c>
      <c r="O372" t="s">
        <v>540</v>
      </c>
      <c r="P372">
        <v>1</v>
      </c>
      <c r="Q372" t="s">
        <v>553</v>
      </c>
      <c r="R372">
        <v>165</v>
      </c>
    </row>
    <row r="373" spans="2:18">
      <c r="B373">
        <v>15</v>
      </c>
      <c r="C373" t="s">
        <v>533</v>
      </c>
      <c r="D373" t="s">
        <v>534</v>
      </c>
      <c r="E373" t="s">
        <v>502</v>
      </c>
      <c r="F373" t="s">
        <v>558</v>
      </c>
      <c r="G373" t="s">
        <v>559</v>
      </c>
      <c r="H373" t="s">
        <v>598</v>
      </c>
      <c r="I373" t="s">
        <v>599</v>
      </c>
      <c r="K373" t="s">
        <v>600</v>
      </c>
      <c r="L373" t="s">
        <v>532</v>
      </c>
      <c r="M373" t="s">
        <v>540</v>
      </c>
      <c r="N373" t="s">
        <v>540</v>
      </c>
      <c r="O373" t="s">
        <v>540</v>
      </c>
      <c r="P373">
        <v>1</v>
      </c>
      <c r="Q373" t="s">
        <v>553</v>
      </c>
      <c r="R373">
        <v>43</v>
      </c>
    </row>
    <row r="374" spans="2:18">
      <c r="B374">
        <v>17</v>
      </c>
      <c r="C374" t="s">
        <v>533</v>
      </c>
      <c r="D374" t="s">
        <v>534</v>
      </c>
      <c r="E374" t="s">
        <v>502</v>
      </c>
      <c r="F374" t="s">
        <v>558</v>
      </c>
      <c r="G374" t="s">
        <v>559</v>
      </c>
      <c r="H374" t="s">
        <v>601</v>
      </c>
      <c r="I374" t="s">
        <v>602</v>
      </c>
      <c r="K374" t="s">
        <v>603</v>
      </c>
      <c r="L374" t="s">
        <v>532</v>
      </c>
      <c r="M374" t="s">
        <v>540</v>
      </c>
      <c r="N374" t="s">
        <v>604</v>
      </c>
      <c r="O374" t="s">
        <v>540</v>
      </c>
      <c r="P374">
        <v>1</v>
      </c>
      <c r="Q374" t="s">
        <v>553</v>
      </c>
      <c r="R374">
        <v>77</v>
      </c>
    </row>
    <row r="375" spans="2:18">
      <c r="B375">
        <v>18</v>
      </c>
      <c r="C375" t="s">
        <v>533</v>
      </c>
      <c r="D375" t="s">
        <v>534</v>
      </c>
      <c r="E375" t="s">
        <v>502</v>
      </c>
      <c r="F375" t="s">
        <v>558</v>
      </c>
      <c r="G375" t="s">
        <v>536</v>
      </c>
      <c r="H375" t="s">
        <v>605</v>
      </c>
      <c r="I375" t="s">
        <v>697</v>
      </c>
      <c r="K375" t="s">
        <v>698</v>
      </c>
      <c r="L375" t="s">
        <v>532</v>
      </c>
      <c r="M375" t="s">
        <v>540</v>
      </c>
      <c r="N375" t="s">
        <v>699</v>
      </c>
      <c r="O375" t="s">
        <v>540</v>
      </c>
      <c r="P375">
        <v>3</v>
      </c>
      <c r="Q375" t="s">
        <v>609</v>
      </c>
      <c r="R375">
        <v>415</v>
      </c>
    </row>
    <row r="376" spans="2:18">
      <c r="B376">
        <v>19</v>
      </c>
      <c r="C376" t="s">
        <v>533</v>
      </c>
      <c r="D376" t="s">
        <v>534</v>
      </c>
      <c r="E376" t="s">
        <v>502</v>
      </c>
      <c r="F376" t="s">
        <v>558</v>
      </c>
      <c r="G376" t="s">
        <v>610</v>
      </c>
      <c r="H376" t="s">
        <v>611</v>
      </c>
      <c r="I376" t="s">
        <v>687</v>
      </c>
      <c r="K376" t="s">
        <v>688</v>
      </c>
      <c r="L376" t="s">
        <v>532</v>
      </c>
      <c r="M376" t="s">
        <v>540</v>
      </c>
      <c r="N376" t="s">
        <v>614</v>
      </c>
      <c r="O376" t="s">
        <v>540</v>
      </c>
      <c r="P376">
        <v>2</v>
      </c>
      <c r="Q376" t="s">
        <v>689</v>
      </c>
      <c r="R376">
        <v>77</v>
      </c>
    </row>
    <row r="377" spans="2:18">
      <c r="B377">
        <v>19</v>
      </c>
      <c r="C377" t="s">
        <v>533</v>
      </c>
      <c r="D377" t="s">
        <v>534</v>
      </c>
      <c r="E377" t="s">
        <v>502</v>
      </c>
      <c r="F377" t="s">
        <v>558</v>
      </c>
      <c r="G377" t="s">
        <v>610</v>
      </c>
      <c r="H377" t="s">
        <v>611</v>
      </c>
      <c r="I377" t="s">
        <v>612</v>
      </c>
      <c r="K377" t="s">
        <v>613</v>
      </c>
      <c r="L377" t="s">
        <v>532</v>
      </c>
      <c r="M377" t="s">
        <v>540</v>
      </c>
      <c r="N377" t="s">
        <v>614</v>
      </c>
      <c r="O377" t="s">
        <v>540</v>
      </c>
      <c r="P377">
        <v>1</v>
      </c>
      <c r="Q377" t="s">
        <v>615</v>
      </c>
      <c r="R377">
        <v>53</v>
      </c>
    </row>
    <row r="378" spans="2:18">
      <c r="B378">
        <v>20</v>
      </c>
      <c r="C378" t="s">
        <v>533</v>
      </c>
      <c r="D378" t="s">
        <v>534</v>
      </c>
      <c r="E378" t="s">
        <v>502</v>
      </c>
      <c r="F378" t="s">
        <v>558</v>
      </c>
      <c r="G378" t="s">
        <v>559</v>
      </c>
      <c r="H378" t="s">
        <v>477</v>
      </c>
      <c r="I378" t="s">
        <v>616</v>
      </c>
      <c r="K378" t="s">
        <v>617</v>
      </c>
      <c r="L378" t="s">
        <v>532</v>
      </c>
      <c r="M378" t="s">
        <v>540</v>
      </c>
      <c r="N378" t="s">
        <v>540</v>
      </c>
      <c r="O378" t="s">
        <v>540</v>
      </c>
      <c r="P378">
        <v>1</v>
      </c>
      <c r="Q378" t="s">
        <v>618</v>
      </c>
      <c r="R378">
        <v>875</v>
      </c>
    </row>
    <row r="379" spans="2:18">
      <c r="B379">
        <v>22</v>
      </c>
      <c r="C379" t="s">
        <v>533</v>
      </c>
      <c r="D379" t="s">
        <v>534</v>
      </c>
      <c r="E379" t="s">
        <v>502</v>
      </c>
      <c r="F379" t="s">
        <v>558</v>
      </c>
      <c r="G379" t="s">
        <v>559</v>
      </c>
      <c r="H379" t="s">
        <v>478</v>
      </c>
      <c r="I379" t="s">
        <v>683</v>
      </c>
      <c r="K379" t="s">
        <v>684</v>
      </c>
      <c r="L379" t="s">
        <v>532</v>
      </c>
      <c r="M379" t="s">
        <v>540</v>
      </c>
      <c r="N379" t="s">
        <v>685</v>
      </c>
      <c r="O379" t="s">
        <v>540</v>
      </c>
      <c r="P379">
        <v>1</v>
      </c>
      <c r="Q379" t="s">
        <v>567</v>
      </c>
      <c r="R379">
        <v>331</v>
      </c>
    </row>
    <row r="380" spans="2:18">
      <c r="B380">
        <v>23</v>
      </c>
      <c r="C380" t="s">
        <v>533</v>
      </c>
      <c r="D380" t="s">
        <v>534</v>
      </c>
      <c r="E380" t="s">
        <v>502</v>
      </c>
      <c r="F380" t="s">
        <v>558</v>
      </c>
      <c r="G380" t="s">
        <v>559</v>
      </c>
      <c r="H380" t="s">
        <v>622</v>
      </c>
      <c r="I380" t="s">
        <v>623</v>
      </c>
      <c r="K380" t="s">
        <v>624</v>
      </c>
      <c r="L380" t="s">
        <v>532</v>
      </c>
      <c r="M380" t="s">
        <v>540</v>
      </c>
      <c r="N380" t="s">
        <v>625</v>
      </c>
      <c r="O380" t="s">
        <v>540</v>
      </c>
      <c r="P380">
        <v>1</v>
      </c>
      <c r="Q380" t="s">
        <v>547</v>
      </c>
      <c r="R380">
        <v>92</v>
      </c>
    </row>
    <row r="381" spans="2:18">
      <c r="B381">
        <v>24</v>
      </c>
      <c r="C381" t="s">
        <v>533</v>
      </c>
      <c r="D381" t="s">
        <v>534</v>
      </c>
      <c r="E381" t="s">
        <v>502</v>
      </c>
      <c r="F381" t="s">
        <v>558</v>
      </c>
      <c r="G381" t="s">
        <v>559</v>
      </c>
      <c r="H381" t="s">
        <v>626</v>
      </c>
      <c r="I381" t="s">
        <v>627</v>
      </c>
      <c r="K381" t="s">
        <v>628</v>
      </c>
      <c r="L381" t="s">
        <v>532</v>
      </c>
      <c r="M381" t="s">
        <v>540</v>
      </c>
      <c r="N381" t="s">
        <v>540</v>
      </c>
      <c r="O381" t="s">
        <v>540</v>
      </c>
      <c r="P381">
        <v>1</v>
      </c>
      <c r="Q381" t="s">
        <v>629</v>
      </c>
      <c r="R381">
        <v>58</v>
      </c>
    </row>
    <row r="382" spans="2:18">
      <c r="B382">
        <v>21</v>
      </c>
      <c r="C382" t="s">
        <v>533</v>
      </c>
      <c r="D382" t="s">
        <v>534</v>
      </c>
      <c r="E382" t="s">
        <v>502</v>
      </c>
      <c r="F382" t="s">
        <v>630</v>
      </c>
      <c r="G382" t="s">
        <v>593</v>
      </c>
      <c r="H382" t="s">
        <v>631</v>
      </c>
      <c r="I382" t="s">
        <v>632</v>
      </c>
      <c r="K382" t="s">
        <v>633</v>
      </c>
      <c r="L382" t="s">
        <v>532</v>
      </c>
      <c r="M382" t="s">
        <v>540</v>
      </c>
      <c r="N382" t="s">
        <v>540</v>
      </c>
      <c r="O382" t="s">
        <v>540</v>
      </c>
      <c r="P382">
        <v>1</v>
      </c>
      <c r="Q382" t="s">
        <v>553</v>
      </c>
      <c r="R382">
        <v>41</v>
      </c>
    </row>
    <row r="383" spans="2:18">
      <c r="B383">
        <v>25</v>
      </c>
      <c r="C383" t="s">
        <v>533</v>
      </c>
      <c r="D383" t="s">
        <v>534</v>
      </c>
      <c r="E383" t="s">
        <v>502</v>
      </c>
      <c r="F383" t="s">
        <v>630</v>
      </c>
      <c r="G383" t="s">
        <v>536</v>
      </c>
      <c r="H383" t="s">
        <v>634</v>
      </c>
      <c r="I383" t="s">
        <v>635</v>
      </c>
      <c r="K383" t="s">
        <v>636</v>
      </c>
      <c r="L383" t="s">
        <v>532</v>
      </c>
      <c r="M383" t="s">
        <v>540</v>
      </c>
      <c r="N383" t="s">
        <v>637</v>
      </c>
      <c r="O383" t="s">
        <v>540</v>
      </c>
      <c r="P383">
        <v>1</v>
      </c>
      <c r="Q383" t="s">
        <v>609</v>
      </c>
      <c r="R383">
        <v>290</v>
      </c>
    </row>
    <row r="384" spans="2:18">
      <c r="B384">
        <v>26</v>
      </c>
      <c r="C384" t="s">
        <v>533</v>
      </c>
      <c r="D384" t="s">
        <v>534</v>
      </c>
      <c r="E384" t="s">
        <v>502</v>
      </c>
      <c r="F384" t="s">
        <v>630</v>
      </c>
      <c r="G384" t="s">
        <v>575</v>
      </c>
      <c r="H384" t="s">
        <v>638</v>
      </c>
      <c r="I384" t="s">
        <v>639</v>
      </c>
      <c r="K384" t="s">
        <v>640</v>
      </c>
      <c r="L384" t="s">
        <v>532</v>
      </c>
      <c r="M384" t="s">
        <v>540</v>
      </c>
      <c r="N384" t="s">
        <v>641</v>
      </c>
      <c r="O384" t="s">
        <v>540</v>
      </c>
      <c r="P384">
        <v>1</v>
      </c>
      <c r="Q384" t="s">
        <v>553</v>
      </c>
      <c r="R384">
        <v>100</v>
      </c>
    </row>
    <row r="385" spans="2:18">
      <c r="B385">
        <v>27</v>
      </c>
      <c r="C385" t="s">
        <v>533</v>
      </c>
      <c r="D385" t="s">
        <v>534</v>
      </c>
      <c r="E385" t="s">
        <v>502</v>
      </c>
      <c r="F385" t="s">
        <v>630</v>
      </c>
      <c r="G385" t="s">
        <v>559</v>
      </c>
      <c r="H385" t="s">
        <v>642</v>
      </c>
      <c r="I385" t="s">
        <v>643</v>
      </c>
      <c r="K385" t="s">
        <v>644</v>
      </c>
      <c r="L385" t="s">
        <v>532</v>
      </c>
      <c r="M385" t="s">
        <v>540</v>
      </c>
      <c r="N385" t="s">
        <v>645</v>
      </c>
      <c r="O385" t="s">
        <v>540</v>
      </c>
      <c r="P385">
        <v>1</v>
      </c>
      <c r="Q385" t="s">
        <v>646</v>
      </c>
      <c r="R385">
        <v>55</v>
      </c>
    </row>
    <row r="386" spans="2:18">
      <c r="B386">
        <v>28</v>
      </c>
      <c r="C386" t="s">
        <v>533</v>
      </c>
      <c r="D386" t="s">
        <v>534</v>
      </c>
      <c r="E386" t="s">
        <v>502</v>
      </c>
      <c r="F386" t="s">
        <v>630</v>
      </c>
      <c r="G386" t="s">
        <v>579</v>
      </c>
      <c r="H386" t="s">
        <v>647</v>
      </c>
      <c r="I386" t="s">
        <v>648</v>
      </c>
      <c r="K386" t="s">
        <v>649</v>
      </c>
      <c r="L386" t="s">
        <v>532</v>
      </c>
      <c r="M386" t="s">
        <v>540</v>
      </c>
      <c r="N386" t="s">
        <v>592</v>
      </c>
      <c r="O386" t="s">
        <v>540</v>
      </c>
      <c r="P386">
        <v>1</v>
      </c>
      <c r="Q386" t="s">
        <v>553</v>
      </c>
      <c r="R386">
        <v>66.26</v>
      </c>
    </row>
    <row r="387" spans="2:18">
      <c r="B387">
        <v>29</v>
      </c>
      <c r="C387" t="s">
        <v>533</v>
      </c>
      <c r="D387" t="s">
        <v>534</v>
      </c>
      <c r="E387" t="s">
        <v>502</v>
      </c>
      <c r="F387" t="s">
        <v>630</v>
      </c>
      <c r="G387" t="s">
        <v>650</v>
      </c>
      <c r="H387" t="s">
        <v>651</v>
      </c>
      <c r="I387" t="s">
        <v>652</v>
      </c>
      <c r="K387" t="s">
        <v>653</v>
      </c>
      <c r="L387" t="s">
        <v>532</v>
      </c>
      <c r="M387" t="s">
        <v>540</v>
      </c>
      <c r="N387" t="s">
        <v>654</v>
      </c>
      <c r="O387" t="s">
        <v>540</v>
      </c>
      <c r="P387">
        <v>1</v>
      </c>
      <c r="Q387" t="s">
        <v>553</v>
      </c>
      <c r="R387">
        <v>101</v>
      </c>
    </row>
    <row r="388" spans="2:18">
      <c r="B388">
        <v>30</v>
      </c>
      <c r="C388" t="s">
        <v>533</v>
      </c>
      <c r="D388" t="s">
        <v>534</v>
      </c>
      <c r="E388" t="s">
        <v>502</v>
      </c>
      <c r="F388" t="s">
        <v>630</v>
      </c>
      <c r="G388" t="s">
        <v>650</v>
      </c>
      <c r="H388" t="s">
        <v>655</v>
      </c>
      <c r="I388" t="s">
        <v>656</v>
      </c>
      <c r="K388" t="s">
        <v>657</v>
      </c>
      <c r="L388" t="s">
        <v>532</v>
      </c>
      <c r="M388" t="s">
        <v>540</v>
      </c>
      <c r="N388" t="s">
        <v>658</v>
      </c>
      <c r="O388" t="s">
        <v>540</v>
      </c>
      <c r="P388">
        <v>1</v>
      </c>
      <c r="Q388" t="s">
        <v>553</v>
      </c>
      <c r="R388">
        <v>418</v>
      </c>
    </row>
    <row r="389" spans="2:18">
      <c r="B389">
        <v>31</v>
      </c>
      <c r="C389" t="s">
        <v>533</v>
      </c>
      <c r="D389" t="s">
        <v>534</v>
      </c>
      <c r="E389" t="s">
        <v>502</v>
      </c>
      <c r="F389" t="s">
        <v>630</v>
      </c>
      <c r="G389" t="s">
        <v>650</v>
      </c>
      <c r="H389" t="s">
        <v>659</v>
      </c>
      <c r="I389" t="s">
        <v>660</v>
      </c>
      <c r="K389" t="s">
        <v>661</v>
      </c>
      <c r="L389" t="s">
        <v>532</v>
      </c>
      <c r="M389" t="s">
        <v>540</v>
      </c>
      <c r="N389" t="s">
        <v>662</v>
      </c>
      <c r="O389" t="s">
        <v>540</v>
      </c>
      <c r="P389">
        <v>1</v>
      </c>
      <c r="Q389" t="s">
        <v>553</v>
      </c>
      <c r="R389">
        <v>37</v>
      </c>
    </row>
    <row r="390" spans="2:18">
      <c r="B390">
        <v>32</v>
      </c>
      <c r="C390" t="s">
        <v>533</v>
      </c>
      <c r="D390" t="s">
        <v>534</v>
      </c>
      <c r="E390" t="s">
        <v>502</v>
      </c>
      <c r="F390" t="s">
        <v>630</v>
      </c>
      <c r="G390" t="s">
        <v>575</v>
      </c>
      <c r="H390" t="s">
        <v>663</v>
      </c>
      <c r="I390" t="s">
        <v>664</v>
      </c>
      <c r="K390" t="s">
        <v>665</v>
      </c>
      <c r="L390" t="s">
        <v>532</v>
      </c>
      <c r="M390" t="s">
        <v>540</v>
      </c>
      <c r="N390" t="s">
        <v>666</v>
      </c>
      <c r="O390" t="s">
        <v>540</v>
      </c>
      <c r="P390">
        <v>1</v>
      </c>
      <c r="Q390" t="s">
        <v>667</v>
      </c>
      <c r="R390">
        <v>370</v>
      </c>
    </row>
    <row r="391" spans="2:18">
      <c r="B391">
        <v>33</v>
      </c>
      <c r="C391" t="s">
        <v>533</v>
      </c>
      <c r="D391" t="s">
        <v>534</v>
      </c>
      <c r="E391" t="s">
        <v>502</v>
      </c>
      <c r="F391" t="s">
        <v>630</v>
      </c>
      <c r="G391" t="s">
        <v>548</v>
      </c>
      <c r="H391" t="s">
        <v>668</v>
      </c>
      <c r="I391" t="s">
        <v>669</v>
      </c>
      <c r="K391" t="s">
        <v>670</v>
      </c>
      <c r="L391" t="s">
        <v>532</v>
      </c>
      <c r="M391" t="s">
        <v>540</v>
      </c>
      <c r="N391" t="s">
        <v>671</v>
      </c>
      <c r="O391" t="s">
        <v>540</v>
      </c>
      <c r="P391">
        <v>1</v>
      </c>
      <c r="Q391" t="s">
        <v>567</v>
      </c>
      <c r="R391">
        <v>4.7</v>
      </c>
    </row>
    <row r="392" spans="2:18">
      <c r="B392">
        <v>34</v>
      </c>
      <c r="C392" t="s">
        <v>533</v>
      </c>
      <c r="D392" t="s">
        <v>534</v>
      </c>
      <c r="E392" t="s">
        <v>502</v>
      </c>
      <c r="F392" t="s">
        <v>630</v>
      </c>
      <c r="G392" t="s">
        <v>650</v>
      </c>
      <c r="H392" t="s">
        <v>672</v>
      </c>
      <c r="I392" t="s">
        <v>673</v>
      </c>
      <c r="K392" t="s">
        <v>674</v>
      </c>
      <c r="L392" t="s">
        <v>532</v>
      </c>
      <c r="M392" t="s">
        <v>540</v>
      </c>
      <c r="N392" t="s">
        <v>675</v>
      </c>
      <c r="O392" t="s">
        <v>540</v>
      </c>
      <c r="P392">
        <v>1</v>
      </c>
      <c r="Q392" t="s">
        <v>618</v>
      </c>
      <c r="R392">
        <v>370</v>
      </c>
    </row>
    <row r="393" spans="2:18">
      <c r="B393">
        <v>35</v>
      </c>
      <c r="C393" t="s">
        <v>533</v>
      </c>
      <c r="D393" t="s">
        <v>534</v>
      </c>
      <c r="E393" t="s">
        <v>502</v>
      </c>
      <c r="F393" t="s">
        <v>630</v>
      </c>
      <c r="G393" t="s">
        <v>650</v>
      </c>
      <c r="H393" t="s">
        <v>676</v>
      </c>
      <c r="I393" t="s">
        <v>677</v>
      </c>
      <c r="K393" t="s">
        <v>678</v>
      </c>
      <c r="L393" t="s">
        <v>532</v>
      </c>
      <c r="M393" t="s">
        <v>540</v>
      </c>
      <c r="N393" t="s">
        <v>679</v>
      </c>
      <c r="O393" t="s">
        <v>540</v>
      </c>
      <c r="P393">
        <v>1</v>
      </c>
      <c r="Q393" t="s">
        <v>553</v>
      </c>
      <c r="R393">
        <v>39.5</v>
      </c>
    </row>
    <row r="394" spans="2:18">
      <c r="B394">
        <v>36</v>
      </c>
      <c r="C394" t="s">
        <v>533</v>
      </c>
      <c r="D394" t="s">
        <v>534</v>
      </c>
      <c r="E394" t="s">
        <v>502</v>
      </c>
      <c r="F394" t="s">
        <v>630</v>
      </c>
      <c r="G394" t="s">
        <v>650</v>
      </c>
      <c r="H394" t="s">
        <v>680</v>
      </c>
      <c r="I394" t="s">
        <v>681</v>
      </c>
      <c r="K394" t="s">
        <v>682</v>
      </c>
      <c r="L394" t="s">
        <v>532</v>
      </c>
      <c r="M394" t="s">
        <v>540</v>
      </c>
      <c r="N394" t="s">
        <v>679</v>
      </c>
      <c r="O394" t="s">
        <v>540</v>
      </c>
      <c r="P394">
        <v>1</v>
      </c>
      <c r="Q394" t="s">
        <v>553</v>
      </c>
      <c r="R394">
        <v>17.2</v>
      </c>
    </row>
    <row r="395" spans="2:18">
      <c r="B395">
        <v>1</v>
      </c>
      <c r="C395" t="s">
        <v>533</v>
      </c>
      <c r="D395" t="s">
        <v>534</v>
      </c>
      <c r="E395" t="s">
        <v>503</v>
      </c>
      <c r="F395" t="s">
        <v>535</v>
      </c>
      <c r="G395" t="s">
        <v>536</v>
      </c>
      <c r="H395" t="s">
        <v>537</v>
      </c>
      <c r="I395" t="s">
        <v>538</v>
      </c>
      <c r="K395" t="s">
        <v>539</v>
      </c>
      <c r="L395" t="s">
        <v>532</v>
      </c>
      <c r="M395" t="s">
        <v>540</v>
      </c>
      <c r="N395" t="s">
        <v>541</v>
      </c>
      <c r="O395" t="s">
        <v>540</v>
      </c>
      <c r="P395">
        <v>1</v>
      </c>
      <c r="Q395" t="s">
        <v>542</v>
      </c>
      <c r="R395">
        <v>920</v>
      </c>
    </row>
    <row r="396" spans="2:18">
      <c r="B396">
        <v>2</v>
      </c>
      <c r="C396" t="s">
        <v>533</v>
      </c>
      <c r="D396" t="s">
        <v>534</v>
      </c>
      <c r="E396" t="s">
        <v>503</v>
      </c>
      <c r="F396" t="s">
        <v>535</v>
      </c>
      <c r="G396" t="s">
        <v>536</v>
      </c>
      <c r="H396" t="s">
        <v>543</v>
      </c>
      <c r="I396" t="s">
        <v>544</v>
      </c>
      <c r="K396" t="s">
        <v>545</v>
      </c>
      <c r="L396" t="s">
        <v>532</v>
      </c>
      <c r="M396" t="s">
        <v>540</v>
      </c>
      <c r="N396" t="s">
        <v>546</v>
      </c>
      <c r="O396" t="s">
        <v>540</v>
      </c>
      <c r="P396">
        <v>1</v>
      </c>
      <c r="Q396" t="s">
        <v>547</v>
      </c>
      <c r="R396">
        <v>380</v>
      </c>
    </row>
    <row r="397" spans="2:18">
      <c r="B397">
        <v>3</v>
      </c>
      <c r="C397" t="s">
        <v>533</v>
      </c>
      <c r="D397" t="s">
        <v>534</v>
      </c>
      <c r="E397" t="s">
        <v>503</v>
      </c>
      <c r="F397" t="s">
        <v>535</v>
      </c>
      <c r="G397" t="s">
        <v>548</v>
      </c>
      <c r="H397" t="s">
        <v>549</v>
      </c>
      <c r="I397" t="s">
        <v>550</v>
      </c>
      <c r="K397" t="s">
        <v>551</v>
      </c>
      <c r="L397" t="s">
        <v>532</v>
      </c>
      <c r="M397" t="s">
        <v>540</v>
      </c>
      <c r="N397" t="s">
        <v>552</v>
      </c>
      <c r="O397" t="s">
        <v>540</v>
      </c>
      <c r="P397">
        <v>1</v>
      </c>
      <c r="Q397" t="s">
        <v>553</v>
      </c>
      <c r="R397">
        <v>14</v>
      </c>
    </row>
    <row r="398" spans="2:18">
      <c r="B398">
        <v>4</v>
      </c>
      <c r="C398" t="s">
        <v>533</v>
      </c>
      <c r="D398" t="s">
        <v>534</v>
      </c>
      <c r="E398" t="s">
        <v>503</v>
      </c>
      <c r="F398" t="s">
        <v>535</v>
      </c>
      <c r="G398" t="s">
        <v>548</v>
      </c>
      <c r="H398" t="s">
        <v>554</v>
      </c>
      <c r="I398" t="s">
        <v>555</v>
      </c>
      <c r="K398" t="s">
        <v>556</v>
      </c>
      <c r="L398" t="s">
        <v>532</v>
      </c>
      <c r="M398" t="s">
        <v>540</v>
      </c>
      <c r="N398" t="s">
        <v>557</v>
      </c>
      <c r="O398" t="s">
        <v>540</v>
      </c>
      <c r="P398">
        <v>1</v>
      </c>
      <c r="Q398" t="s">
        <v>553</v>
      </c>
      <c r="R398">
        <v>33</v>
      </c>
    </row>
    <row r="399" spans="2:18">
      <c r="B399">
        <v>6</v>
      </c>
      <c r="C399" t="s">
        <v>533</v>
      </c>
      <c r="D399" t="s">
        <v>534</v>
      </c>
      <c r="E399" t="s">
        <v>503</v>
      </c>
      <c r="F399" t="s">
        <v>686</v>
      </c>
      <c r="G399" t="s">
        <v>559</v>
      </c>
      <c r="H399" t="s">
        <v>560</v>
      </c>
      <c r="I399" t="s">
        <v>561</v>
      </c>
      <c r="K399" t="s">
        <v>562</v>
      </c>
      <c r="L399" t="s">
        <v>532</v>
      </c>
      <c r="M399" t="s">
        <v>540</v>
      </c>
      <c r="N399" t="s">
        <v>563</v>
      </c>
      <c r="O399" t="s">
        <v>540</v>
      </c>
      <c r="P399">
        <v>1</v>
      </c>
      <c r="Q399" t="s">
        <v>553</v>
      </c>
      <c r="R399">
        <v>223</v>
      </c>
    </row>
    <row r="400" spans="2:18">
      <c r="B400">
        <v>7</v>
      </c>
      <c r="C400" t="s">
        <v>533</v>
      </c>
      <c r="D400" t="s">
        <v>534</v>
      </c>
      <c r="E400" t="s">
        <v>503</v>
      </c>
      <c r="F400" t="s">
        <v>686</v>
      </c>
      <c r="G400" t="s">
        <v>559</v>
      </c>
      <c r="H400" t="s">
        <v>715</v>
      </c>
      <c r="I400" t="s">
        <v>716</v>
      </c>
      <c r="K400" t="s">
        <v>717</v>
      </c>
      <c r="L400" t="s">
        <v>532</v>
      </c>
      <c r="M400" t="s">
        <v>540</v>
      </c>
      <c r="N400" t="s">
        <v>718</v>
      </c>
      <c r="O400" t="s">
        <v>540</v>
      </c>
      <c r="P400">
        <v>1</v>
      </c>
      <c r="Q400" t="s">
        <v>567</v>
      </c>
      <c r="R400">
        <v>242</v>
      </c>
    </row>
    <row r="401" spans="2:18">
      <c r="B401">
        <v>8</v>
      </c>
      <c r="C401" t="s">
        <v>533</v>
      </c>
      <c r="D401" t="s">
        <v>534</v>
      </c>
      <c r="E401" t="s">
        <v>503</v>
      </c>
      <c r="F401" t="s">
        <v>686</v>
      </c>
      <c r="G401" t="s">
        <v>559</v>
      </c>
      <c r="H401" t="s">
        <v>700</v>
      </c>
      <c r="I401" t="s">
        <v>701</v>
      </c>
      <c r="K401" t="s">
        <v>702</v>
      </c>
      <c r="L401" t="s">
        <v>532</v>
      </c>
      <c r="M401" t="s">
        <v>540</v>
      </c>
      <c r="N401" t="s">
        <v>540</v>
      </c>
      <c r="O401" t="s">
        <v>540</v>
      </c>
      <c r="P401">
        <v>1</v>
      </c>
      <c r="Q401" t="s">
        <v>553</v>
      </c>
      <c r="R401">
        <v>784</v>
      </c>
    </row>
    <row r="402" spans="2:18">
      <c r="B402">
        <v>9</v>
      </c>
      <c r="C402" t="s">
        <v>533</v>
      </c>
      <c r="D402" t="s">
        <v>534</v>
      </c>
      <c r="E402" t="s">
        <v>503</v>
      </c>
      <c r="F402" t="s">
        <v>686</v>
      </c>
      <c r="G402" t="s">
        <v>559</v>
      </c>
      <c r="H402" t="s">
        <v>481</v>
      </c>
      <c r="I402" t="s">
        <v>703</v>
      </c>
      <c r="K402" t="s">
        <v>704</v>
      </c>
      <c r="L402" t="s">
        <v>532</v>
      </c>
      <c r="M402" t="s">
        <v>540</v>
      </c>
      <c r="N402" t="s">
        <v>705</v>
      </c>
      <c r="O402" t="s">
        <v>540</v>
      </c>
      <c r="P402">
        <v>1</v>
      </c>
      <c r="Q402" t="s">
        <v>567</v>
      </c>
      <c r="R402">
        <v>388</v>
      </c>
    </row>
    <row r="403" spans="2:18">
      <c r="B403">
        <v>10</v>
      </c>
      <c r="C403" t="s">
        <v>533</v>
      </c>
      <c r="D403" t="s">
        <v>534</v>
      </c>
      <c r="E403" t="s">
        <v>503</v>
      </c>
      <c r="F403" t="s">
        <v>686</v>
      </c>
      <c r="G403" t="s">
        <v>559</v>
      </c>
      <c r="H403" t="s">
        <v>622</v>
      </c>
      <c r="I403" t="s">
        <v>706</v>
      </c>
      <c r="K403" t="s">
        <v>707</v>
      </c>
      <c r="L403" t="s">
        <v>532</v>
      </c>
      <c r="M403" t="s">
        <v>540</v>
      </c>
      <c r="N403" t="s">
        <v>708</v>
      </c>
      <c r="O403" t="s">
        <v>540</v>
      </c>
      <c r="P403">
        <v>2</v>
      </c>
      <c r="Q403" t="s">
        <v>547</v>
      </c>
      <c r="R403">
        <v>128</v>
      </c>
    </row>
    <row r="404" spans="2:18">
      <c r="B404">
        <v>11</v>
      </c>
      <c r="C404" t="s">
        <v>533</v>
      </c>
      <c r="D404" t="s">
        <v>534</v>
      </c>
      <c r="E404" t="s">
        <v>503</v>
      </c>
      <c r="F404" t="s">
        <v>686</v>
      </c>
      <c r="G404" t="s">
        <v>575</v>
      </c>
      <c r="H404" t="s">
        <v>576</v>
      </c>
      <c r="I404" t="s">
        <v>577</v>
      </c>
      <c r="K404" t="s">
        <v>578</v>
      </c>
      <c r="L404" t="s">
        <v>532</v>
      </c>
      <c r="M404" t="s">
        <v>540</v>
      </c>
      <c r="N404" t="s">
        <v>540</v>
      </c>
      <c r="O404" t="s">
        <v>540</v>
      </c>
      <c r="P404">
        <v>1</v>
      </c>
      <c r="Q404" t="s">
        <v>553</v>
      </c>
      <c r="R404">
        <v>1680</v>
      </c>
    </row>
    <row r="405" spans="2:18">
      <c r="B405">
        <v>13</v>
      </c>
      <c r="C405" t="s">
        <v>533</v>
      </c>
      <c r="D405" t="s">
        <v>534</v>
      </c>
      <c r="E405" t="s">
        <v>503</v>
      </c>
      <c r="F405" t="s">
        <v>686</v>
      </c>
      <c r="G405" t="s">
        <v>579</v>
      </c>
      <c r="H405" t="s">
        <v>580</v>
      </c>
      <c r="I405" t="s">
        <v>581</v>
      </c>
      <c r="K405" t="s">
        <v>582</v>
      </c>
      <c r="L405" t="s">
        <v>532</v>
      </c>
      <c r="M405" t="s">
        <v>540</v>
      </c>
      <c r="N405" t="s">
        <v>583</v>
      </c>
      <c r="O405" t="s">
        <v>540</v>
      </c>
      <c r="P405">
        <v>1</v>
      </c>
      <c r="Q405" t="s">
        <v>553</v>
      </c>
      <c r="R405">
        <v>56</v>
      </c>
    </row>
    <row r="406" spans="2:18">
      <c r="B406">
        <v>14</v>
      </c>
      <c r="C406" t="s">
        <v>533</v>
      </c>
      <c r="D406" t="s">
        <v>534</v>
      </c>
      <c r="E406" t="s">
        <v>503</v>
      </c>
      <c r="F406" t="s">
        <v>686</v>
      </c>
      <c r="G406" t="s">
        <v>579</v>
      </c>
      <c r="H406" t="s">
        <v>584</v>
      </c>
      <c r="I406" t="s">
        <v>585</v>
      </c>
      <c r="K406" t="s">
        <v>586</v>
      </c>
      <c r="L406" t="s">
        <v>532</v>
      </c>
      <c r="M406" t="s">
        <v>540</v>
      </c>
      <c r="N406" t="s">
        <v>587</v>
      </c>
      <c r="O406" t="s">
        <v>540</v>
      </c>
      <c r="P406">
        <v>1</v>
      </c>
      <c r="Q406" t="s">
        <v>553</v>
      </c>
      <c r="R406">
        <v>74</v>
      </c>
    </row>
    <row r="407" spans="2:18">
      <c r="B407">
        <v>15</v>
      </c>
      <c r="C407" t="s">
        <v>533</v>
      </c>
      <c r="D407" t="s">
        <v>534</v>
      </c>
      <c r="E407" t="s">
        <v>503</v>
      </c>
      <c r="F407" t="s">
        <v>686</v>
      </c>
      <c r="G407" t="s">
        <v>588</v>
      </c>
      <c r="H407" t="s">
        <v>589</v>
      </c>
      <c r="I407" t="s">
        <v>590</v>
      </c>
      <c r="K407" t="s">
        <v>591</v>
      </c>
      <c r="L407" t="s">
        <v>532</v>
      </c>
      <c r="M407" t="s">
        <v>540</v>
      </c>
      <c r="N407" t="s">
        <v>592</v>
      </c>
      <c r="O407" t="s">
        <v>540</v>
      </c>
      <c r="P407">
        <v>1</v>
      </c>
      <c r="Q407" t="s">
        <v>553</v>
      </c>
      <c r="R407">
        <v>84</v>
      </c>
    </row>
    <row r="408" spans="2:18">
      <c r="B408">
        <v>16</v>
      </c>
      <c r="C408" t="s">
        <v>533</v>
      </c>
      <c r="D408" t="s">
        <v>534</v>
      </c>
      <c r="E408" t="s">
        <v>503</v>
      </c>
      <c r="F408" t="s">
        <v>686</v>
      </c>
      <c r="G408" t="s">
        <v>593</v>
      </c>
      <c r="H408" t="s">
        <v>594</v>
      </c>
      <c r="I408" t="s">
        <v>595</v>
      </c>
      <c r="K408" t="s">
        <v>596</v>
      </c>
      <c r="L408" t="s">
        <v>532</v>
      </c>
      <c r="M408" t="s">
        <v>540</v>
      </c>
      <c r="N408" t="s">
        <v>597</v>
      </c>
      <c r="O408" t="s">
        <v>540</v>
      </c>
      <c r="P408">
        <v>1</v>
      </c>
      <c r="Q408" t="s">
        <v>553</v>
      </c>
      <c r="R408">
        <v>165</v>
      </c>
    </row>
    <row r="409" spans="2:18">
      <c r="B409">
        <v>17</v>
      </c>
      <c r="C409" t="s">
        <v>533</v>
      </c>
      <c r="D409" t="s">
        <v>534</v>
      </c>
      <c r="E409" t="s">
        <v>503</v>
      </c>
      <c r="F409" t="s">
        <v>686</v>
      </c>
      <c r="G409" t="s">
        <v>559</v>
      </c>
      <c r="H409" t="s">
        <v>598</v>
      </c>
      <c r="I409" t="s">
        <v>599</v>
      </c>
      <c r="K409" t="s">
        <v>600</v>
      </c>
      <c r="L409" t="s">
        <v>532</v>
      </c>
      <c r="M409" t="s">
        <v>540</v>
      </c>
      <c r="N409" t="s">
        <v>540</v>
      </c>
      <c r="O409" t="s">
        <v>540</v>
      </c>
      <c r="P409">
        <v>1</v>
      </c>
      <c r="Q409" t="s">
        <v>553</v>
      </c>
      <c r="R409">
        <v>43</v>
      </c>
    </row>
    <row r="410" spans="2:18">
      <c r="B410">
        <v>19</v>
      </c>
      <c r="C410" t="s">
        <v>533</v>
      </c>
      <c r="D410" t="s">
        <v>534</v>
      </c>
      <c r="E410" t="s">
        <v>503</v>
      </c>
      <c r="F410" t="s">
        <v>686</v>
      </c>
      <c r="G410" t="s">
        <v>559</v>
      </c>
      <c r="H410" t="s">
        <v>601</v>
      </c>
      <c r="I410" t="s">
        <v>602</v>
      </c>
      <c r="K410" t="s">
        <v>603</v>
      </c>
      <c r="L410" t="s">
        <v>532</v>
      </c>
      <c r="M410" t="s">
        <v>540</v>
      </c>
      <c r="N410" t="s">
        <v>604</v>
      </c>
      <c r="O410" t="s">
        <v>540</v>
      </c>
      <c r="P410">
        <v>1</v>
      </c>
      <c r="Q410" t="s">
        <v>553</v>
      </c>
      <c r="R410">
        <v>77</v>
      </c>
    </row>
    <row r="411" spans="2:18">
      <c r="B411">
        <v>20</v>
      </c>
      <c r="C411" t="s">
        <v>533</v>
      </c>
      <c r="D411" t="s">
        <v>534</v>
      </c>
      <c r="E411" t="s">
        <v>503</v>
      </c>
      <c r="F411" t="s">
        <v>686</v>
      </c>
      <c r="G411" t="s">
        <v>536</v>
      </c>
      <c r="H411" t="s">
        <v>605</v>
      </c>
      <c r="I411" t="s">
        <v>697</v>
      </c>
      <c r="K411" t="s">
        <v>698</v>
      </c>
      <c r="L411" t="s">
        <v>532</v>
      </c>
      <c r="M411" t="s">
        <v>540</v>
      </c>
      <c r="N411" t="s">
        <v>699</v>
      </c>
      <c r="O411" t="s">
        <v>540</v>
      </c>
      <c r="P411">
        <v>1</v>
      </c>
      <c r="Q411" t="s">
        <v>609</v>
      </c>
      <c r="R411">
        <v>415</v>
      </c>
    </row>
    <row r="412" spans="2:18">
      <c r="B412">
        <v>21</v>
      </c>
      <c r="C412" t="s">
        <v>533</v>
      </c>
      <c r="D412" t="s">
        <v>534</v>
      </c>
      <c r="E412" t="s">
        <v>503</v>
      </c>
      <c r="F412" t="s">
        <v>686</v>
      </c>
      <c r="G412" t="s">
        <v>610</v>
      </c>
      <c r="H412" t="s">
        <v>611</v>
      </c>
      <c r="I412" t="s">
        <v>612</v>
      </c>
      <c r="K412" t="s">
        <v>613</v>
      </c>
      <c r="L412" t="s">
        <v>532</v>
      </c>
      <c r="M412" t="s">
        <v>540</v>
      </c>
      <c r="N412" t="s">
        <v>614</v>
      </c>
      <c r="O412" t="s">
        <v>540</v>
      </c>
      <c r="P412">
        <v>1</v>
      </c>
      <c r="Q412" t="s">
        <v>615</v>
      </c>
      <c r="R412">
        <v>53</v>
      </c>
    </row>
    <row r="413" spans="2:18">
      <c r="B413">
        <v>22</v>
      </c>
      <c r="C413" t="s">
        <v>533</v>
      </c>
      <c r="D413" t="s">
        <v>534</v>
      </c>
      <c r="E413" t="s">
        <v>503</v>
      </c>
      <c r="F413" t="s">
        <v>686</v>
      </c>
      <c r="G413" t="s">
        <v>559</v>
      </c>
      <c r="H413" t="s">
        <v>477</v>
      </c>
      <c r="I413" t="s">
        <v>616</v>
      </c>
      <c r="K413" t="s">
        <v>617</v>
      </c>
      <c r="L413" t="s">
        <v>532</v>
      </c>
      <c r="M413" t="s">
        <v>540</v>
      </c>
      <c r="N413" t="s">
        <v>540</v>
      </c>
      <c r="O413" t="s">
        <v>540</v>
      </c>
      <c r="P413">
        <v>1</v>
      </c>
      <c r="Q413" t="s">
        <v>618</v>
      </c>
      <c r="R413">
        <v>875</v>
      </c>
    </row>
    <row r="414" spans="2:18">
      <c r="B414">
        <v>24</v>
      </c>
      <c r="C414" t="s">
        <v>533</v>
      </c>
      <c r="D414" t="s">
        <v>534</v>
      </c>
      <c r="E414" t="s">
        <v>503</v>
      </c>
      <c r="F414" t="s">
        <v>686</v>
      </c>
      <c r="G414" t="s">
        <v>559</v>
      </c>
      <c r="H414" t="s">
        <v>626</v>
      </c>
      <c r="I414" t="s">
        <v>627</v>
      </c>
      <c r="K414" t="s">
        <v>628</v>
      </c>
      <c r="L414" t="s">
        <v>532</v>
      </c>
      <c r="M414" t="s">
        <v>540</v>
      </c>
      <c r="N414" t="s">
        <v>540</v>
      </c>
      <c r="O414" t="s">
        <v>540</v>
      </c>
      <c r="P414">
        <v>1</v>
      </c>
      <c r="Q414" t="s">
        <v>629</v>
      </c>
      <c r="R414">
        <v>58</v>
      </c>
    </row>
    <row r="415" spans="2:18">
      <c r="B415">
        <v>25</v>
      </c>
      <c r="C415" t="s">
        <v>533</v>
      </c>
      <c r="D415" t="s">
        <v>534</v>
      </c>
      <c r="E415" t="s">
        <v>503</v>
      </c>
      <c r="F415" t="s">
        <v>558</v>
      </c>
      <c r="G415" t="s">
        <v>536</v>
      </c>
      <c r="H415" t="s">
        <v>690</v>
      </c>
      <c r="I415" t="s">
        <v>691</v>
      </c>
      <c r="K415" t="s">
        <v>692</v>
      </c>
      <c r="L415" t="s">
        <v>532</v>
      </c>
      <c r="M415" t="s">
        <v>540</v>
      </c>
      <c r="N415" t="s">
        <v>693</v>
      </c>
      <c r="O415" t="s">
        <v>540</v>
      </c>
      <c r="P415">
        <v>1</v>
      </c>
      <c r="Q415" t="s">
        <v>609</v>
      </c>
      <c r="R415">
        <v>800</v>
      </c>
    </row>
    <row r="416" spans="2:18">
      <c r="B416">
        <v>26</v>
      </c>
      <c r="C416" t="s">
        <v>533</v>
      </c>
      <c r="D416" t="s">
        <v>534</v>
      </c>
      <c r="E416" t="s">
        <v>503</v>
      </c>
      <c r="F416" t="s">
        <v>558</v>
      </c>
      <c r="G416" t="s">
        <v>536</v>
      </c>
      <c r="H416" t="s">
        <v>605</v>
      </c>
      <c r="I416" t="s">
        <v>697</v>
      </c>
      <c r="K416" t="s">
        <v>698</v>
      </c>
      <c r="L416" t="s">
        <v>532</v>
      </c>
      <c r="M416" t="s">
        <v>540</v>
      </c>
      <c r="N416" t="s">
        <v>699</v>
      </c>
      <c r="O416" t="s">
        <v>540</v>
      </c>
      <c r="P416">
        <v>1</v>
      </c>
      <c r="Q416" t="s">
        <v>609</v>
      </c>
      <c r="R416">
        <v>415</v>
      </c>
    </row>
    <row r="417" spans="2:18">
      <c r="B417">
        <v>27</v>
      </c>
      <c r="C417" t="s">
        <v>533</v>
      </c>
      <c r="D417" t="s">
        <v>534</v>
      </c>
      <c r="E417" t="s">
        <v>503</v>
      </c>
      <c r="F417" t="s">
        <v>558</v>
      </c>
      <c r="G417" t="s">
        <v>610</v>
      </c>
      <c r="H417" t="s">
        <v>611</v>
      </c>
      <c r="I417" t="s">
        <v>687</v>
      </c>
      <c r="K417" t="s">
        <v>688</v>
      </c>
      <c r="L417" t="s">
        <v>532</v>
      </c>
      <c r="M417" t="s">
        <v>540</v>
      </c>
      <c r="N417" t="s">
        <v>614</v>
      </c>
      <c r="O417" t="s">
        <v>540</v>
      </c>
      <c r="P417">
        <v>1</v>
      </c>
      <c r="Q417" t="s">
        <v>689</v>
      </c>
      <c r="R417">
        <v>77</v>
      </c>
    </row>
    <row r="418" spans="2:18">
      <c r="B418">
        <v>28</v>
      </c>
      <c r="C418" t="s">
        <v>533</v>
      </c>
      <c r="D418" t="s">
        <v>534</v>
      </c>
      <c r="E418" t="s">
        <v>503</v>
      </c>
      <c r="F418" t="s">
        <v>558</v>
      </c>
      <c r="G418" t="s">
        <v>559</v>
      </c>
      <c r="H418" t="s">
        <v>564</v>
      </c>
      <c r="I418" t="s">
        <v>565</v>
      </c>
      <c r="K418" t="s">
        <v>566</v>
      </c>
      <c r="L418" t="s">
        <v>532</v>
      </c>
      <c r="M418" t="s">
        <v>540</v>
      </c>
      <c r="N418" t="s">
        <v>540</v>
      </c>
      <c r="O418" t="s">
        <v>540</v>
      </c>
      <c r="P418">
        <v>1</v>
      </c>
      <c r="Q418" t="s">
        <v>567</v>
      </c>
      <c r="R418">
        <v>640</v>
      </c>
    </row>
    <row r="419" spans="2:18">
      <c r="B419">
        <v>29</v>
      </c>
      <c r="C419" t="s">
        <v>533</v>
      </c>
      <c r="D419" t="s">
        <v>534</v>
      </c>
      <c r="E419" t="s">
        <v>503</v>
      </c>
      <c r="F419" t="s">
        <v>558</v>
      </c>
      <c r="G419" t="s">
        <v>559</v>
      </c>
      <c r="H419" t="s">
        <v>568</v>
      </c>
      <c r="I419" t="s">
        <v>569</v>
      </c>
      <c r="K419" t="s">
        <v>570</v>
      </c>
      <c r="L419" t="s">
        <v>532</v>
      </c>
      <c r="M419" t="s">
        <v>540</v>
      </c>
      <c r="N419" t="s">
        <v>540</v>
      </c>
      <c r="O419" t="s">
        <v>540</v>
      </c>
      <c r="P419">
        <v>1</v>
      </c>
      <c r="Q419" t="s">
        <v>567</v>
      </c>
      <c r="R419">
        <v>425</v>
      </c>
    </row>
    <row r="420" spans="2:18">
      <c r="B420">
        <v>30</v>
      </c>
      <c r="C420" t="s">
        <v>533</v>
      </c>
      <c r="D420" t="s">
        <v>534</v>
      </c>
      <c r="E420" t="s">
        <v>503</v>
      </c>
      <c r="F420" t="s">
        <v>558</v>
      </c>
      <c r="G420" t="s">
        <v>559</v>
      </c>
      <c r="H420" t="s">
        <v>719</v>
      </c>
      <c r="I420" t="s">
        <v>720</v>
      </c>
      <c r="K420" t="s">
        <v>721</v>
      </c>
      <c r="L420" t="s">
        <v>532</v>
      </c>
      <c r="M420" t="s">
        <v>540</v>
      </c>
      <c r="N420" t="s">
        <v>722</v>
      </c>
      <c r="O420" t="s">
        <v>540</v>
      </c>
      <c r="P420">
        <v>1</v>
      </c>
      <c r="Q420" t="s">
        <v>553</v>
      </c>
      <c r="R420">
        <v>130</v>
      </c>
    </row>
    <row r="421" spans="2:18">
      <c r="B421">
        <v>30</v>
      </c>
      <c r="C421" t="s">
        <v>533</v>
      </c>
      <c r="D421" t="s">
        <v>534</v>
      </c>
      <c r="E421" t="s">
        <v>503</v>
      </c>
      <c r="F421" t="s">
        <v>558</v>
      </c>
      <c r="G421" t="s">
        <v>559</v>
      </c>
      <c r="H421" t="s">
        <v>571</v>
      </c>
      <c r="I421" t="s">
        <v>572</v>
      </c>
      <c r="K421" t="s">
        <v>573</v>
      </c>
      <c r="L421" t="s">
        <v>532</v>
      </c>
      <c r="M421" t="s">
        <v>540</v>
      </c>
      <c r="N421" t="s">
        <v>574</v>
      </c>
      <c r="O421" t="s">
        <v>540</v>
      </c>
      <c r="P421">
        <v>1</v>
      </c>
      <c r="Q421" t="s">
        <v>553</v>
      </c>
      <c r="R421">
        <v>959</v>
      </c>
    </row>
    <row r="422" spans="2:18">
      <c r="B422">
        <v>31</v>
      </c>
      <c r="C422" t="s">
        <v>533</v>
      </c>
      <c r="D422" t="s">
        <v>534</v>
      </c>
      <c r="E422" t="s">
        <v>503</v>
      </c>
      <c r="F422" t="s">
        <v>558</v>
      </c>
      <c r="G422" t="s">
        <v>575</v>
      </c>
      <c r="H422" t="s">
        <v>576</v>
      </c>
      <c r="I422" t="s">
        <v>577</v>
      </c>
      <c r="K422" t="s">
        <v>578</v>
      </c>
      <c r="L422" t="s">
        <v>532</v>
      </c>
      <c r="M422" t="s">
        <v>540</v>
      </c>
      <c r="N422" t="s">
        <v>540</v>
      </c>
      <c r="O422" t="s">
        <v>540</v>
      </c>
      <c r="P422">
        <v>1</v>
      </c>
      <c r="Q422" t="s">
        <v>553</v>
      </c>
      <c r="R422">
        <v>1680</v>
      </c>
    </row>
    <row r="423" spans="2:18">
      <c r="B423">
        <v>33</v>
      </c>
      <c r="C423" t="s">
        <v>533</v>
      </c>
      <c r="D423" t="s">
        <v>534</v>
      </c>
      <c r="E423" t="s">
        <v>503</v>
      </c>
      <c r="F423" t="s">
        <v>558</v>
      </c>
      <c r="G423" t="s">
        <v>579</v>
      </c>
      <c r="H423" t="s">
        <v>584</v>
      </c>
      <c r="I423" t="s">
        <v>585</v>
      </c>
      <c r="K423" t="s">
        <v>586</v>
      </c>
      <c r="L423" t="s">
        <v>532</v>
      </c>
      <c r="M423" t="s">
        <v>540</v>
      </c>
      <c r="N423" t="s">
        <v>587</v>
      </c>
      <c r="O423" t="s">
        <v>540</v>
      </c>
      <c r="P423">
        <v>1</v>
      </c>
      <c r="Q423" t="s">
        <v>553</v>
      </c>
      <c r="R423">
        <v>74</v>
      </c>
    </row>
    <row r="424" spans="2:18">
      <c r="B424">
        <v>34</v>
      </c>
      <c r="C424" t="s">
        <v>533</v>
      </c>
      <c r="D424" t="s">
        <v>534</v>
      </c>
      <c r="E424" t="s">
        <v>503</v>
      </c>
      <c r="F424" t="s">
        <v>558</v>
      </c>
      <c r="G424" t="s">
        <v>588</v>
      </c>
      <c r="H424" t="s">
        <v>589</v>
      </c>
      <c r="I424" t="s">
        <v>590</v>
      </c>
      <c r="K424" t="s">
        <v>591</v>
      </c>
      <c r="L424" t="s">
        <v>532</v>
      </c>
      <c r="M424" t="s">
        <v>540</v>
      </c>
      <c r="N424" t="s">
        <v>592</v>
      </c>
      <c r="O424" t="s">
        <v>540</v>
      </c>
      <c r="P424">
        <v>1</v>
      </c>
      <c r="Q424" t="s">
        <v>553</v>
      </c>
      <c r="R424">
        <v>84</v>
      </c>
    </row>
    <row r="425" spans="2:18">
      <c r="B425">
        <v>23</v>
      </c>
      <c r="C425" t="s">
        <v>533</v>
      </c>
      <c r="D425" t="s">
        <v>534</v>
      </c>
      <c r="E425" t="s">
        <v>503</v>
      </c>
      <c r="F425" t="s">
        <v>630</v>
      </c>
      <c r="G425" t="s">
        <v>593</v>
      </c>
      <c r="H425" t="s">
        <v>631</v>
      </c>
      <c r="I425" t="s">
        <v>632</v>
      </c>
      <c r="K425" t="s">
        <v>633</v>
      </c>
      <c r="L425" t="s">
        <v>532</v>
      </c>
      <c r="M425" t="s">
        <v>540</v>
      </c>
      <c r="N425" t="s">
        <v>540</v>
      </c>
      <c r="O425" t="s">
        <v>540</v>
      </c>
      <c r="P425">
        <v>1</v>
      </c>
      <c r="Q425" t="s">
        <v>553</v>
      </c>
      <c r="R425">
        <v>41</v>
      </c>
    </row>
    <row r="426" spans="2:18">
      <c r="B426">
        <v>35</v>
      </c>
      <c r="C426" t="s">
        <v>533</v>
      </c>
      <c r="D426" t="s">
        <v>534</v>
      </c>
      <c r="E426" t="s">
        <v>503</v>
      </c>
      <c r="F426" t="s">
        <v>630</v>
      </c>
      <c r="G426" t="s">
        <v>536</v>
      </c>
      <c r="H426" t="s">
        <v>634</v>
      </c>
      <c r="I426" t="s">
        <v>635</v>
      </c>
      <c r="K426" t="s">
        <v>636</v>
      </c>
      <c r="L426" t="s">
        <v>532</v>
      </c>
      <c r="M426" t="s">
        <v>540</v>
      </c>
      <c r="N426" t="s">
        <v>637</v>
      </c>
      <c r="O426" t="s">
        <v>540</v>
      </c>
      <c r="P426">
        <v>1</v>
      </c>
      <c r="Q426" t="s">
        <v>609</v>
      </c>
      <c r="R426">
        <v>290</v>
      </c>
    </row>
    <row r="427" spans="2:18">
      <c r="B427">
        <v>36</v>
      </c>
      <c r="C427" t="s">
        <v>533</v>
      </c>
      <c r="D427" t="s">
        <v>534</v>
      </c>
      <c r="E427" t="s">
        <v>503</v>
      </c>
      <c r="F427" t="s">
        <v>630</v>
      </c>
      <c r="G427" t="s">
        <v>575</v>
      </c>
      <c r="H427" t="s">
        <v>638</v>
      </c>
      <c r="I427" t="s">
        <v>709</v>
      </c>
      <c r="K427" t="s">
        <v>710</v>
      </c>
      <c r="L427" t="s">
        <v>532</v>
      </c>
      <c r="M427" t="s">
        <v>540</v>
      </c>
      <c r="N427" t="s">
        <v>711</v>
      </c>
      <c r="O427" t="s">
        <v>540</v>
      </c>
      <c r="P427">
        <v>1</v>
      </c>
      <c r="Q427" t="s">
        <v>553</v>
      </c>
      <c r="R427">
        <v>153</v>
      </c>
    </row>
    <row r="428" spans="2:18">
      <c r="B428">
        <v>37</v>
      </c>
      <c r="C428" t="s">
        <v>533</v>
      </c>
      <c r="D428" t="s">
        <v>534</v>
      </c>
      <c r="E428" t="s">
        <v>503</v>
      </c>
      <c r="F428" t="s">
        <v>630</v>
      </c>
      <c r="G428" t="s">
        <v>559</v>
      </c>
      <c r="H428" t="s">
        <v>642</v>
      </c>
      <c r="I428" t="s">
        <v>643</v>
      </c>
      <c r="K428" t="s">
        <v>644</v>
      </c>
      <c r="L428" t="s">
        <v>532</v>
      </c>
      <c r="M428" t="s">
        <v>540</v>
      </c>
      <c r="N428" t="s">
        <v>645</v>
      </c>
      <c r="O428" t="s">
        <v>540</v>
      </c>
      <c r="P428">
        <v>1</v>
      </c>
      <c r="Q428" t="s">
        <v>646</v>
      </c>
      <c r="R428">
        <v>55</v>
      </c>
    </row>
    <row r="429" spans="2:18">
      <c r="B429">
        <v>38</v>
      </c>
      <c r="C429" t="s">
        <v>533</v>
      </c>
      <c r="D429" t="s">
        <v>534</v>
      </c>
      <c r="E429" t="s">
        <v>503</v>
      </c>
      <c r="F429" t="s">
        <v>630</v>
      </c>
      <c r="G429" t="s">
        <v>579</v>
      </c>
      <c r="H429" t="s">
        <v>647</v>
      </c>
      <c r="I429" t="s">
        <v>648</v>
      </c>
      <c r="K429" t="s">
        <v>649</v>
      </c>
      <c r="L429" t="s">
        <v>532</v>
      </c>
      <c r="M429" t="s">
        <v>540</v>
      </c>
      <c r="N429" t="s">
        <v>592</v>
      </c>
      <c r="O429" t="s">
        <v>540</v>
      </c>
      <c r="P429">
        <v>1</v>
      </c>
      <c r="Q429" t="s">
        <v>553</v>
      </c>
      <c r="R429">
        <v>66.26</v>
      </c>
    </row>
    <row r="430" spans="2:18">
      <c r="B430">
        <v>39</v>
      </c>
      <c r="C430" t="s">
        <v>533</v>
      </c>
      <c r="D430" t="s">
        <v>534</v>
      </c>
      <c r="E430" t="s">
        <v>503</v>
      </c>
      <c r="F430" t="s">
        <v>630</v>
      </c>
      <c r="G430" t="s">
        <v>650</v>
      </c>
      <c r="H430" t="s">
        <v>651</v>
      </c>
      <c r="I430" t="s">
        <v>652</v>
      </c>
      <c r="K430" t="s">
        <v>653</v>
      </c>
      <c r="L430" t="s">
        <v>532</v>
      </c>
      <c r="M430" t="s">
        <v>540</v>
      </c>
      <c r="N430" t="s">
        <v>654</v>
      </c>
      <c r="O430" t="s">
        <v>540</v>
      </c>
      <c r="P430">
        <v>1</v>
      </c>
      <c r="Q430" t="s">
        <v>553</v>
      </c>
      <c r="R430">
        <v>101</v>
      </c>
    </row>
    <row r="431" spans="2:18">
      <c r="B431">
        <v>40</v>
      </c>
      <c r="C431" t="s">
        <v>533</v>
      </c>
      <c r="D431" t="s">
        <v>534</v>
      </c>
      <c r="E431" t="s">
        <v>503</v>
      </c>
      <c r="F431" t="s">
        <v>630</v>
      </c>
      <c r="G431" t="s">
        <v>650</v>
      </c>
      <c r="H431" t="s">
        <v>655</v>
      </c>
      <c r="I431" t="s">
        <v>656</v>
      </c>
      <c r="K431" t="s">
        <v>657</v>
      </c>
      <c r="L431" t="s">
        <v>532</v>
      </c>
      <c r="M431" t="s">
        <v>540</v>
      </c>
      <c r="N431" t="s">
        <v>658</v>
      </c>
      <c r="O431" t="s">
        <v>540</v>
      </c>
      <c r="P431">
        <v>1</v>
      </c>
      <c r="Q431" t="s">
        <v>553</v>
      </c>
      <c r="R431">
        <v>418</v>
      </c>
    </row>
    <row r="432" spans="2:18">
      <c r="B432">
        <v>41</v>
      </c>
      <c r="C432" t="s">
        <v>533</v>
      </c>
      <c r="D432" t="s">
        <v>534</v>
      </c>
      <c r="E432" t="s">
        <v>503</v>
      </c>
      <c r="F432" t="s">
        <v>630</v>
      </c>
      <c r="G432" t="s">
        <v>650</v>
      </c>
      <c r="H432" t="s">
        <v>659</v>
      </c>
      <c r="I432" t="s">
        <v>660</v>
      </c>
      <c r="K432" t="s">
        <v>661</v>
      </c>
      <c r="L432" t="s">
        <v>532</v>
      </c>
      <c r="M432" t="s">
        <v>540</v>
      </c>
      <c r="N432" t="s">
        <v>662</v>
      </c>
      <c r="O432" t="s">
        <v>540</v>
      </c>
      <c r="P432">
        <v>1</v>
      </c>
      <c r="Q432" t="s">
        <v>553</v>
      </c>
      <c r="R432">
        <v>37</v>
      </c>
    </row>
    <row r="433" spans="2:18">
      <c r="B433">
        <v>42</v>
      </c>
      <c r="C433" t="s">
        <v>533</v>
      </c>
      <c r="D433" t="s">
        <v>534</v>
      </c>
      <c r="E433" t="s">
        <v>503</v>
      </c>
      <c r="F433" t="s">
        <v>630</v>
      </c>
      <c r="G433" t="s">
        <v>575</v>
      </c>
      <c r="H433" t="s">
        <v>663</v>
      </c>
      <c r="I433" t="s">
        <v>712</v>
      </c>
      <c r="K433" t="s">
        <v>713</v>
      </c>
      <c r="L433" t="s">
        <v>532</v>
      </c>
      <c r="M433" t="s">
        <v>540</v>
      </c>
      <c r="N433" t="s">
        <v>714</v>
      </c>
      <c r="O433" t="s">
        <v>540</v>
      </c>
      <c r="P433">
        <v>1</v>
      </c>
      <c r="Q433" t="s">
        <v>667</v>
      </c>
      <c r="R433">
        <v>430</v>
      </c>
    </row>
    <row r="434" spans="2:18">
      <c r="B434">
        <v>43</v>
      </c>
      <c r="C434" t="s">
        <v>533</v>
      </c>
      <c r="D434" t="s">
        <v>534</v>
      </c>
      <c r="E434" t="s">
        <v>503</v>
      </c>
      <c r="F434" t="s">
        <v>630</v>
      </c>
      <c r="G434" t="s">
        <v>548</v>
      </c>
      <c r="H434" t="s">
        <v>668</v>
      </c>
      <c r="I434" t="s">
        <v>669</v>
      </c>
      <c r="K434" t="s">
        <v>670</v>
      </c>
      <c r="L434" t="s">
        <v>532</v>
      </c>
      <c r="M434" t="s">
        <v>540</v>
      </c>
      <c r="N434" t="s">
        <v>671</v>
      </c>
      <c r="O434" t="s">
        <v>540</v>
      </c>
      <c r="P434">
        <v>1</v>
      </c>
      <c r="Q434" t="s">
        <v>567</v>
      </c>
      <c r="R434">
        <v>4.7</v>
      </c>
    </row>
    <row r="435" spans="2:18">
      <c r="B435">
        <v>44</v>
      </c>
      <c r="C435" t="s">
        <v>533</v>
      </c>
      <c r="D435" t="s">
        <v>534</v>
      </c>
      <c r="E435" t="s">
        <v>503</v>
      </c>
      <c r="F435" t="s">
        <v>630</v>
      </c>
      <c r="G435" t="s">
        <v>650</v>
      </c>
      <c r="H435" t="s">
        <v>672</v>
      </c>
      <c r="I435" t="s">
        <v>673</v>
      </c>
      <c r="K435" t="s">
        <v>674</v>
      </c>
      <c r="L435" t="s">
        <v>532</v>
      </c>
      <c r="M435" t="s">
        <v>540</v>
      </c>
      <c r="N435" t="s">
        <v>675</v>
      </c>
      <c r="O435" t="s">
        <v>540</v>
      </c>
      <c r="P435">
        <v>1</v>
      </c>
      <c r="Q435" t="s">
        <v>618</v>
      </c>
      <c r="R435">
        <v>370</v>
      </c>
    </row>
    <row r="436" spans="2:18">
      <c r="B436">
        <v>45</v>
      </c>
      <c r="C436" t="s">
        <v>533</v>
      </c>
      <c r="D436" t="s">
        <v>534</v>
      </c>
      <c r="E436" t="s">
        <v>503</v>
      </c>
      <c r="F436" t="s">
        <v>630</v>
      </c>
      <c r="G436" t="s">
        <v>650</v>
      </c>
      <c r="H436" t="s">
        <v>676</v>
      </c>
      <c r="I436" t="s">
        <v>677</v>
      </c>
      <c r="K436" t="s">
        <v>678</v>
      </c>
      <c r="L436" t="s">
        <v>532</v>
      </c>
      <c r="M436" t="s">
        <v>540</v>
      </c>
      <c r="N436" t="s">
        <v>679</v>
      </c>
      <c r="O436" t="s">
        <v>540</v>
      </c>
      <c r="P436">
        <v>1</v>
      </c>
      <c r="Q436" t="s">
        <v>553</v>
      </c>
      <c r="R436">
        <v>39.5</v>
      </c>
    </row>
    <row r="437" spans="2:18">
      <c r="B437">
        <v>46</v>
      </c>
      <c r="C437" t="s">
        <v>533</v>
      </c>
      <c r="D437" t="s">
        <v>534</v>
      </c>
      <c r="E437" t="s">
        <v>503</v>
      </c>
      <c r="F437" t="s">
        <v>630</v>
      </c>
      <c r="G437" t="s">
        <v>650</v>
      </c>
      <c r="H437" t="s">
        <v>680</v>
      </c>
      <c r="I437" t="s">
        <v>681</v>
      </c>
      <c r="K437" t="s">
        <v>682</v>
      </c>
      <c r="L437" t="s">
        <v>532</v>
      </c>
      <c r="M437" t="s">
        <v>540</v>
      </c>
      <c r="N437" t="s">
        <v>679</v>
      </c>
      <c r="O437" t="s">
        <v>540</v>
      </c>
      <c r="P437">
        <v>1</v>
      </c>
      <c r="Q437" t="s">
        <v>553</v>
      </c>
      <c r="R437">
        <v>17.2</v>
      </c>
    </row>
    <row r="438" spans="2:18">
      <c r="B438">
        <v>1</v>
      </c>
      <c r="C438" t="s">
        <v>533</v>
      </c>
      <c r="D438" t="s">
        <v>534</v>
      </c>
      <c r="E438" t="s">
        <v>504</v>
      </c>
      <c r="F438" t="s">
        <v>535</v>
      </c>
      <c r="G438" t="s">
        <v>536</v>
      </c>
      <c r="H438" t="s">
        <v>537</v>
      </c>
      <c r="I438" t="s">
        <v>538</v>
      </c>
      <c r="K438" t="s">
        <v>539</v>
      </c>
      <c r="L438" t="s">
        <v>532</v>
      </c>
      <c r="M438" t="s">
        <v>540</v>
      </c>
      <c r="N438" t="s">
        <v>541</v>
      </c>
      <c r="O438" t="s">
        <v>540</v>
      </c>
      <c r="P438">
        <v>1</v>
      </c>
      <c r="Q438" t="s">
        <v>542</v>
      </c>
      <c r="R438">
        <v>920</v>
      </c>
    </row>
    <row r="439" spans="2:18">
      <c r="B439">
        <v>2</v>
      </c>
      <c r="C439" t="s">
        <v>533</v>
      </c>
      <c r="D439" t="s">
        <v>534</v>
      </c>
      <c r="E439" t="s">
        <v>504</v>
      </c>
      <c r="F439" t="s">
        <v>535</v>
      </c>
      <c r="G439" t="s">
        <v>536</v>
      </c>
      <c r="H439" t="s">
        <v>543</v>
      </c>
      <c r="I439" t="s">
        <v>544</v>
      </c>
      <c r="K439" t="s">
        <v>545</v>
      </c>
      <c r="L439" t="s">
        <v>532</v>
      </c>
      <c r="M439" t="s">
        <v>540</v>
      </c>
      <c r="N439" t="s">
        <v>546</v>
      </c>
      <c r="O439" t="s">
        <v>540</v>
      </c>
      <c r="P439">
        <v>1</v>
      </c>
      <c r="Q439" t="s">
        <v>547</v>
      </c>
      <c r="R439">
        <v>380</v>
      </c>
    </row>
    <row r="440" spans="2:18">
      <c r="B440">
        <v>3</v>
      </c>
      <c r="C440" t="s">
        <v>533</v>
      </c>
      <c r="D440" t="s">
        <v>534</v>
      </c>
      <c r="E440" t="s">
        <v>504</v>
      </c>
      <c r="F440" t="s">
        <v>535</v>
      </c>
      <c r="G440" t="s">
        <v>548</v>
      </c>
      <c r="H440" t="s">
        <v>549</v>
      </c>
      <c r="I440" t="s">
        <v>550</v>
      </c>
      <c r="K440" t="s">
        <v>551</v>
      </c>
      <c r="L440" t="s">
        <v>532</v>
      </c>
      <c r="M440" t="s">
        <v>540</v>
      </c>
      <c r="N440" t="s">
        <v>552</v>
      </c>
      <c r="O440" t="s">
        <v>540</v>
      </c>
      <c r="P440">
        <v>1</v>
      </c>
      <c r="Q440" t="s">
        <v>553</v>
      </c>
      <c r="R440">
        <v>14</v>
      </c>
    </row>
    <row r="441" spans="2:18">
      <c r="B441">
        <v>4</v>
      </c>
      <c r="C441" t="s">
        <v>533</v>
      </c>
      <c r="D441" t="s">
        <v>534</v>
      </c>
      <c r="E441" t="s">
        <v>504</v>
      </c>
      <c r="F441" t="s">
        <v>535</v>
      </c>
      <c r="G441" t="s">
        <v>548</v>
      </c>
      <c r="H441" t="s">
        <v>554</v>
      </c>
      <c r="I441" t="s">
        <v>555</v>
      </c>
      <c r="K441" t="s">
        <v>556</v>
      </c>
      <c r="L441" t="s">
        <v>532</v>
      </c>
      <c r="M441" t="s">
        <v>540</v>
      </c>
      <c r="N441" t="s">
        <v>557</v>
      </c>
      <c r="O441" t="s">
        <v>540</v>
      </c>
      <c r="P441">
        <v>1</v>
      </c>
      <c r="Q441" t="s">
        <v>553</v>
      </c>
      <c r="R441">
        <v>33</v>
      </c>
    </row>
    <row r="442" spans="2:18">
      <c r="B442">
        <v>5</v>
      </c>
      <c r="C442" t="s">
        <v>533</v>
      </c>
      <c r="D442" t="s">
        <v>534</v>
      </c>
      <c r="E442" t="s">
        <v>504</v>
      </c>
      <c r="F442" t="s">
        <v>686</v>
      </c>
      <c r="G442" t="s">
        <v>559</v>
      </c>
      <c r="H442" t="s">
        <v>560</v>
      </c>
      <c r="I442" t="s">
        <v>561</v>
      </c>
      <c r="K442" t="s">
        <v>562</v>
      </c>
      <c r="L442" t="s">
        <v>532</v>
      </c>
      <c r="M442" t="s">
        <v>540</v>
      </c>
      <c r="N442" t="s">
        <v>563</v>
      </c>
      <c r="O442" t="s">
        <v>540</v>
      </c>
      <c r="P442">
        <v>1</v>
      </c>
      <c r="Q442" t="s">
        <v>553</v>
      </c>
      <c r="R442">
        <v>223</v>
      </c>
    </row>
    <row r="443" spans="2:18">
      <c r="B443">
        <v>6</v>
      </c>
      <c r="C443" t="s">
        <v>533</v>
      </c>
      <c r="D443" t="s">
        <v>534</v>
      </c>
      <c r="E443" t="s">
        <v>504</v>
      </c>
      <c r="F443" t="s">
        <v>686</v>
      </c>
      <c r="G443" t="s">
        <v>559</v>
      </c>
      <c r="H443" t="s">
        <v>715</v>
      </c>
      <c r="I443" t="s">
        <v>716</v>
      </c>
      <c r="K443" t="s">
        <v>717</v>
      </c>
      <c r="L443" t="s">
        <v>532</v>
      </c>
      <c r="M443" t="s">
        <v>540</v>
      </c>
      <c r="N443" t="s">
        <v>718</v>
      </c>
      <c r="O443" t="s">
        <v>540</v>
      </c>
      <c r="P443">
        <v>1</v>
      </c>
      <c r="Q443" t="s">
        <v>567</v>
      </c>
      <c r="R443">
        <v>242</v>
      </c>
    </row>
    <row r="444" spans="2:18">
      <c r="B444">
        <v>7</v>
      </c>
      <c r="C444" t="s">
        <v>533</v>
      </c>
      <c r="D444" t="s">
        <v>534</v>
      </c>
      <c r="E444" t="s">
        <v>504</v>
      </c>
      <c r="F444" t="s">
        <v>686</v>
      </c>
      <c r="G444" t="s">
        <v>559</v>
      </c>
      <c r="H444" t="s">
        <v>700</v>
      </c>
      <c r="I444" t="s">
        <v>701</v>
      </c>
      <c r="K444" t="s">
        <v>702</v>
      </c>
      <c r="L444" t="s">
        <v>532</v>
      </c>
      <c r="M444" t="s">
        <v>540</v>
      </c>
      <c r="N444" t="s">
        <v>540</v>
      </c>
      <c r="O444" t="s">
        <v>540</v>
      </c>
      <c r="P444">
        <v>1</v>
      </c>
      <c r="Q444" t="s">
        <v>553</v>
      </c>
      <c r="R444">
        <v>784</v>
      </c>
    </row>
    <row r="445" spans="2:18">
      <c r="B445">
        <v>8</v>
      </c>
      <c r="C445" t="s">
        <v>533</v>
      </c>
      <c r="D445" t="s">
        <v>534</v>
      </c>
      <c r="E445" t="s">
        <v>504</v>
      </c>
      <c r="F445" t="s">
        <v>686</v>
      </c>
      <c r="G445" t="s">
        <v>559</v>
      </c>
      <c r="H445" t="s">
        <v>481</v>
      </c>
      <c r="I445" t="s">
        <v>703</v>
      </c>
      <c r="K445" t="s">
        <v>704</v>
      </c>
      <c r="L445" t="s">
        <v>532</v>
      </c>
      <c r="M445" t="s">
        <v>540</v>
      </c>
      <c r="N445" t="s">
        <v>705</v>
      </c>
      <c r="O445" t="s">
        <v>540</v>
      </c>
      <c r="P445">
        <v>1</v>
      </c>
      <c r="Q445" t="s">
        <v>567</v>
      </c>
      <c r="R445">
        <v>388</v>
      </c>
    </row>
    <row r="446" spans="2:18">
      <c r="B446">
        <v>9</v>
      </c>
      <c r="C446" t="s">
        <v>533</v>
      </c>
      <c r="D446" t="s">
        <v>534</v>
      </c>
      <c r="E446" t="s">
        <v>504</v>
      </c>
      <c r="F446" t="s">
        <v>686</v>
      </c>
      <c r="G446" t="s">
        <v>559</v>
      </c>
      <c r="H446" t="s">
        <v>622</v>
      </c>
      <c r="I446" t="s">
        <v>706</v>
      </c>
      <c r="K446" t="s">
        <v>707</v>
      </c>
      <c r="L446" t="s">
        <v>532</v>
      </c>
      <c r="M446" t="s">
        <v>540</v>
      </c>
      <c r="N446" t="s">
        <v>708</v>
      </c>
      <c r="O446" t="s">
        <v>540</v>
      </c>
      <c r="P446">
        <v>2</v>
      </c>
      <c r="Q446" t="s">
        <v>547</v>
      </c>
      <c r="R446">
        <v>128</v>
      </c>
    </row>
    <row r="447" spans="2:18">
      <c r="B447">
        <v>10</v>
      </c>
      <c r="C447" t="s">
        <v>533</v>
      </c>
      <c r="D447" t="s">
        <v>534</v>
      </c>
      <c r="E447" t="s">
        <v>504</v>
      </c>
      <c r="F447" t="s">
        <v>686</v>
      </c>
      <c r="G447" t="s">
        <v>575</v>
      </c>
      <c r="H447" t="s">
        <v>482</v>
      </c>
      <c r="I447" t="s">
        <v>723</v>
      </c>
      <c r="K447" t="s">
        <v>724</v>
      </c>
      <c r="L447" t="s">
        <v>532</v>
      </c>
      <c r="M447" t="s">
        <v>540</v>
      </c>
      <c r="N447" t="s">
        <v>725</v>
      </c>
      <c r="O447" t="s">
        <v>540</v>
      </c>
      <c r="P447">
        <v>1</v>
      </c>
      <c r="Q447" t="s">
        <v>667</v>
      </c>
      <c r="R447">
        <v>730</v>
      </c>
    </row>
    <row r="448" spans="2:18">
      <c r="B448">
        <v>11</v>
      </c>
      <c r="C448" t="s">
        <v>533</v>
      </c>
      <c r="D448" t="s">
        <v>534</v>
      </c>
      <c r="E448" t="s">
        <v>504</v>
      </c>
      <c r="F448" t="s">
        <v>686</v>
      </c>
      <c r="G448" t="s">
        <v>575</v>
      </c>
      <c r="H448" t="s">
        <v>576</v>
      </c>
      <c r="I448" t="s">
        <v>577</v>
      </c>
      <c r="K448" t="s">
        <v>578</v>
      </c>
      <c r="L448" t="s">
        <v>532</v>
      </c>
      <c r="M448" t="s">
        <v>540</v>
      </c>
      <c r="N448" t="s">
        <v>540</v>
      </c>
      <c r="O448" t="s">
        <v>540</v>
      </c>
      <c r="P448">
        <v>1</v>
      </c>
      <c r="Q448" t="s">
        <v>553</v>
      </c>
      <c r="R448">
        <v>1680</v>
      </c>
    </row>
    <row r="449" spans="2:18">
      <c r="B449">
        <v>12</v>
      </c>
      <c r="C449" t="s">
        <v>533</v>
      </c>
      <c r="D449" t="s">
        <v>534</v>
      </c>
      <c r="E449" t="s">
        <v>504</v>
      </c>
      <c r="F449" t="s">
        <v>686</v>
      </c>
      <c r="G449" t="s">
        <v>579</v>
      </c>
      <c r="H449" t="s">
        <v>580</v>
      </c>
      <c r="I449" t="s">
        <v>581</v>
      </c>
      <c r="K449" t="s">
        <v>582</v>
      </c>
      <c r="L449" t="s">
        <v>532</v>
      </c>
      <c r="M449" t="s">
        <v>540</v>
      </c>
      <c r="N449" t="s">
        <v>583</v>
      </c>
      <c r="O449" t="s">
        <v>540</v>
      </c>
      <c r="P449">
        <v>1</v>
      </c>
      <c r="Q449" t="s">
        <v>553</v>
      </c>
      <c r="R449">
        <v>56</v>
      </c>
    </row>
    <row r="450" spans="2:18">
      <c r="B450">
        <v>13</v>
      </c>
      <c r="C450" t="s">
        <v>533</v>
      </c>
      <c r="D450" t="s">
        <v>534</v>
      </c>
      <c r="E450" t="s">
        <v>504</v>
      </c>
      <c r="F450" t="s">
        <v>686</v>
      </c>
      <c r="G450" t="s">
        <v>579</v>
      </c>
      <c r="H450" t="s">
        <v>584</v>
      </c>
      <c r="I450" t="s">
        <v>585</v>
      </c>
      <c r="K450" t="s">
        <v>586</v>
      </c>
      <c r="L450" t="s">
        <v>532</v>
      </c>
      <c r="M450" t="s">
        <v>540</v>
      </c>
      <c r="N450" t="s">
        <v>587</v>
      </c>
      <c r="O450" t="s">
        <v>540</v>
      </c>
      <c r="P450">
        <v>1</v>
      </c>
      <c r="Q450" t="s">
        <v>553</v>
      </c>
      <c r="R450">
        <v>74</v>
      </c>
    </row>
    <row r="451" spans="2:18">
      <c r="B451">
        <v>14</v>
      </c>
      <c r="C451" t="s">
        <v>533</v>
      </c>
      <c r="D451" t="s">
        <v>534</v>
      </c>
      <c r="E451" t="s">
        <v>504</v>
      </c>
      <c r="F451" t="s">
        <v>686</v>
      </c>
      <c r="G451" t="s">
        <v>588</v>
      </c>
      <c r="H451" t="s">
        <v>589</v>
      </c>
      <c r="I451" t="s">
        <v>590</v>
      </c>
      <c r="K451" t="s">
        <v>591</v>
      </c>
      <c r="L451" t="s">
        <v>532</v>
      </c>
      <c r="M451" t="s">
        <v>540</v>
      </c>
      <c r="N451" t="s">
        <v>592</v>
      </c>
      <c r="O451" t="s">
        <v>540</v>
      </c>
      <c r="P451">
        <v>1</v>
      </c>
      <c r="Q451" t="s">
        <v>553</v>
      </c>
      <c r="R451">
        <v>84</v>
      </c>
    </row>
    <row r="452" spans="2:18">
      <c r="B452">
        <v>15</v>
      </c>
      <c r="C452" t="s">
        <v>533</v>
      </c>
      <c r="D452" t="s">
        <v>534</v>
      </c>
      <c r="E452" t="s">
        <v>504</v>
      </c>
      <c r="F452" t="s">
        <v>686</v>
      </c>
      <c r="G452" t="s">
        <v>593</v>
      </c>
      <c r="H452" t="s">
        <v>594</v>
      </c>
      <c r="I452" t="s">
        <v>595</v>
      </c>
      <c r="K452" t="s">
        <v>596</v>
      </c>
      <c r="L452" t="s">
        <v>532</v>
      </c>
      <c r="M452" t="s">
        <v>540</v>
      </c>
      <c r="N452" t="s">
        <v>597</v>
      </c>
      <c r="O452" t="s">
        <v>540</v>
      </c>
      <c r="P452">
        <v>1</v>
      </c>
      <c r="Q452" t="s">
        <v>553</v>
      </c>
      <c r="R452">
        <v>165</v>
      </c>
    </row>
    <row r="453" spans="2:18">
      <c r="B453">
        <v>16</v>
      </c>
      <c r="C453" t="s">
        <v>533</v>
      </c>
      <c r="D453" t="s">
        <v>534</v>
      </c>
      <c r="E453" t="s">
        <v>504</v>
      </c>
      <c r="F453" t="s">
        <v>686</v>
      </c>
      <c r="G453" t="s">
        <v>559</v>
      </c>
      <c r="H453" t="s">
        <v>598</v>
      </c>
      <c r="I453" t="s">
        <v>599</v>
      </c>
      <c r="K453" t="s">
        <v>600</v>
      </c>
      <c r="L453" t="s">
        <v>532</v>
      </c>
      <c r="M453" t="s">
        <v>540</v>
      </c>
      <c r="N453" t="s">
        <v>540</v>
      </c>
      <c r="O453" t="s">
        <v>540</v>
      </c>
      <c r="P453">
        <v>1</v>
      </c>
      <c r="Q453" t="s">
        <v>553</v>
      </c>
      <c r="R453">
        <v>43</v>
      </c>
    </row>
    <row r="454" spans="2:18">
      <c r="B454">
        <v>17</v>
      </c>
      <c r="C454" t="s">
        <v>533</v>
      </c>
      <c r="D454" t="s">
        <v>534</v>
      </c>
      <c r="E454" t="s">
        <v>504</v>
      </c>
      <c r="F454" t="s">
        <v>686</v>
      </c>
      <c r="G454" t="s">
        <v>559</v>
      </c>
      <c r="H454" t="s">
        <v>601</v>
      </c>
      <c r="I454" t="s">
        <v>602</v>
      </c>
      <c r="K454" t="s">
        <v>603</v>
      </c>
      <c r="L454" t="s">
        <v>532</v>
      </c>
      <c r="M454" t="s">
        <v>540</v>
      </c>
      <c r="N454" t="s">
        <v>604</v>
      </c>
      <c r="O454" t="s">
        <v>540</v>
      </c>
      <c r="P454">
        <v>1</v>
      </c>
      <c r="Q454" t="s">
        <v>553</v>
      </c>
      <c r="R454">
        <v>77</v>
      </c>
    </row>
    <row r="455" spans="2:18">
      <c r="B455">
        <v>18</v>
      </c>
      <c r="C455" t="s">
        <v>533</v>
      </c>
      <c r="D455" t="s">
        <v>534</v>
      </c>
      <c r="E455" t="s">
        <v>504</v>
      </c>
      <c r="F455" t="s">
        <v>686</v>
      </c>
      <c r="G455" t="s">
        <v>536</v>
      </c>
      <c r="H455" t="s">
        <v>605</v>
      </c>
      <c r="I455" t="s">
        <v>697</v>
      </c>
      <c r="K455" t="s">
        <v>698</v>
      </c>
      <c r="L455" t="s">
        <v>532</v>
      </c>
      <c r="M455" t="s">
        <v>540</v>
      </c>
      <c r="N455" t="s">
        <v>699</v>
      </c>
      <c r="O455" t="s">
        <v>540</v>
      </c>
      <c r="P455">
        <v>1</v>
      </c>
      <c r="Q455" t="s">
        <v>609</v>
      </c>
      <c r="R455">
        <v>415</v>
      </c>
    </row>
    <row r="456" spans="2:18">
      <c r="B456">
        <v>19</v>
      </c>
      <c r="C456" t="s">
        <v>533</v>
      </c>
      <c r="D456" t="s">
        <v>534</v>
      </c>
      <c r="E456" t="s">
        <v>504</v>
      </c>
      <c r="F456" t="s">
        <v>686</v>
      </c>
      <c r="G456" t="s">
        <v>610</v>
      </c>
      <c r="H456" t="s">
        <v>611</v>
      </c>
      <c r="I456" t="s">
        <v>612</v>
      </c>
      <c r="K456" t="s">
        <v>613</v>
      </c>
      <c r="L456" t="s">
        <v>532</v>
      </c>
      <c r="M456" t="s">
        <v>540</v>
      </c>
      <c r="N456" t="s">
        <v>614</v>
      </c>
      <c r="O456" t="s">
        <v>540</v>
      </c>
      <c r="P456">
        <v>1</v>
      </c>
      <c r="Q456" t="s">
        <v>615</v>
      </c>
      <c r="R456">
        <v>53</v>
      </c>
    </row>
    <row r="457" spans="2:18">
      <c r="B457">
        <v>20</v>
      </c>
      <c r="C457" t="s">
        <v>533</v>
      </c>
      <c r="D457" t="s">
        <v>534</v>
      </c>
      <c r="E457" t="s">
        <v>504</v>
      </c>
      <c r="F457" t="s">
        <v>686</v>
      </c>
      <c r="G457" t="s">
        <v>559</v>
      </c>
      <c r="H457" t="s">
        <v>477</v>
      </c>
      <c r="I457" t="s">
        <v>616</v>
      </c>
      <c r="K457" t="s">
        <v>617</v>
      </c>
      <c r="L457" t="s">
        <v>532</v>
      </c>
      <c r="M457" t="s">
        <v>540</v>
      </c>
      <c r="N457" t="s">
        <v>540</v>
      </c>
      <c r="O457" t="s">
        <v>540</v>
      </c>
      <c r="P457">
        <v>1</v>
      </c>
      <c r="Q457" t="s">
        <v>618</v>
      </c>
      <c r="R457">
        <v>875</v>
      </c>
    </row>
    <row r="458" spans="2:18">
      <c r="B458">
        <v>21</v>
      </c>
      <c r="C458" t="s">
        <v>533</v>
      </c>
      <c r="D458" t="s">
        <v>534</v>
      </c>
      <c r="E458" t="s">
        <v>504</v>
      </c>
      <c r="F458" t="s">
        <v>686</v>
      </c>
      <c r="G458" t="s">
        <v>559</v>
      </c>
      <c r="H458" t="s">
        <v>626</v>
      </c>
      <c r="I458" t="s">
        <v>627</v>
      </c>
      <c r="K458" t="s">
        <v>628</v>
      </c>
      <c r="L458" t="s">
        <v>532</v>
      </c>
      <c r="M458" t="s">
        <v>540</v>
      </c>
      <c r="N458" t="s">
        <v>540</v>
      </c>
      <c r="O458" t="s">
        <v>540</v>
      </c>
      <c r="P458">
        <v>1</v>
      </c>
      <c r="Q458" t="s">
        <v>629</v>
      </c>
      <c r="R458">
        <v>58</v>
      </c>
    </row>
    <row r="459" spans="2:18">
      <c r="B459">
        <v>22</v>
      </c>
      <c r="C459" t="s">
        <v>533</v>
      </c>
      <c r="D459" t="s">
        <v>534</v>
      </c>
      <c r="E459" t="s">
        <v>504</v>
      </c>
      <c r="F459" t="s">
        <v>558</v>
      </c>
      <c r="G459" t="s">
        <v>536</v>
      </c>
      <c r="H459" t="s">
        <v>690</v>
      </c>
      <c r="I459" t="s">
        <v>691</v>
      </c>
      <c r="K459" t="s">
        <v>692</v>
      </c>
      <c r="L459" t="s">
        <v>532</v>
      </c>
      <c r="M459" t="s">
        <v>540</v>
      </c>
      <c r="N459" t="s">
        <v>693</v>
      </c>
      <c r="O459" t="s">
        <v>540</v>
      </c>
      <c r="P459">
        <v>1</v>
      </c>
      <c r="Q459" t="s">
        <v>609</v>
      </c>
      <c r="R459">
        <v>800</v>
      </c>
    </row>
    <row r="460" spans="2:18">
      <c r="B460">
        <v>23</v>
      </c>
      <c r="C460" t="s">
        <v>533</v>
      </c>
      <c r="D460" t="s">
        <v>534</v>
      </c>
      <c r="E460" t="s">
        <v>504</v>
      </c>
      <c r="F460" t="s">
        <v>558</v>
      </c>
      <c r="G460" t="s">
        <v>536</v>
      </c>
      <c r="H460" t="s">
        <v>605</v>
      </c>
      <c r="I460" t="s">
        <v>697</v>
      </c>
      <c r="K460" t="s">
        <v>698</v>
      </c>
      <c r="L460" t="s">
        <v>532</v>
      </c>
      <c r="M460" t="s">
        <v>540</v>
      </c>
      <c r="N460" t="s">
        <v>699</v>
      </c>
      <c r="O460" t="s">
        <v>540</v>
      </c>
      <c r="P460">
        <v>1</v>
      </c>
      <c r="Q460" t="s">
        <v>609</v>
      </c>
      <c r="R460">
        <v>415</v>
      </c>
    </row>
    <row r="461" spans="2:18">
      <c r="B461">
        <v>24</v>
      </c>
      <c r="C461" t="s">
        <v>533</v>
      </c>
      <c r="D461" t="s">
        <v>534</v>
      </c>
      <c r="E461" t="s">
        <v>504</v>
      </c>
      <c r="F461" t="s">
        <v>558</v>
      </c>
      <c r="G461" t="s">
        <v>610</v>
      </c>
      <c r="H461" t="s">
        <v>611</v>
      </c>
      <c r="I461" t="s">
        <v>687</v>
      </c>
      <c r="K461" t="s">
        <v>688</v>
      </c>
      <c r="L461" t="s">
        <v>532</v>
      </c>
      <c r="M461" t="s">
        <v>540</v>
      </c>
      <c r="N461" t="s">
        <v>614</v>
      </c>
      <c r="O461" t="s">
        <v>540</v>
      </c>
      <c r="P461">
        <v>1</v>
      </c>
      <c r="Q461" t="s">
        <v>689</v>
      </c>
      <c r="R461">
        <v>77</v>
      </c>
    </row>
    <row r="462" spans="2:18">
      <c r="B462">
        <v>25</v>
      </c>
      <c r="C462" t="s">
        <v>533</v>
      </c>
      <c r="D462" t="s">
        <v>534</v>
      </c>
      <c r="E462" t="s">
        <v>504</v>
      </c>
      <c r="F462" t="s">
        <v>558</v>
      </c>
      <c r="G462" t="s">
        <v>559</v>
      </c>
      <c r="H462" t="s">
        <v>564</v>
      </c>
      <c r="I462" t="s">
        <v>565</v>
      </c>
      <c r="K462" t="s">
        <v>566</v>
      </c>
      <c r="L462" t="s">
        <v>532</v>
      </c>
      <c r="M462" t="s">
        <v>540</v>
      </c>
      <c r="N462" t="s">
        <v>540</v>
      </c>
      <c r="O462" t="s">
        <v>540</v>
      </c>
      <c r="P462">
        <v>1</v>
      </c>
      <c r="Q462" t="s">
        <v>567</v>
      </c>
      <c r="R462">
        <v>640</v>
      </c>
    </row>
    <row r="463" spans="2:18">
      <c r="B463">
        <v>26</v>
      </c>
      <c r="C463" t="s">
        <v>533</v>
      </c>
      <c r="D463" t="s">
        <v>534</v>
      </c>
      <c r="E463" t="s">
        <v>504</v>
      </c>
      <c r="F463" t="s">
        <v>558</v>
      </c>
      <c r="G463" t="s">
        <v>559</v>
      </c>
      <c r="H463" t="s">
        <v>568</v>
      </c>
      <c r="I463" t="s">
        <v>569</v>
      </c>
      <c r="K463" t="s">
        <v>570</v>
      </c>
      <c r="L463" t="s">
        <v>532</v>
      </c>
      <c r="M463" t="s">
        <v>540</v>
      </c>
      <c r="N463" t="s">
        <v>540</v>
      </c>
      <c r="O463" t="s">
        <v>540</v>
      </c>
      <c r="P463">
        <v>1</v>
      </c>
      <c r="Q463" t="s">
        <v>567</v>
      </c>
      <c r="R463">
        <v>425</v>
      </c>
    </row>
    <row r="464" spans="2:18">
      <c r="B464">
        <v>27</v>
      </c>
      <c r="C464" t="s">
        <v>533</v>
      </c>
      <c r="D464" t="s">
        <v>534</v>
      </c>
      <c r="E464" t="s">
        <v>504</v>
      </c>
      <c r="F464" t="s">
        <v>558</v>
      </c>
      <c r="G464" t="s">
        <v>559</v>
      </c>
      <c r="H464" t="s">
        <v>571</v>
      </c>
      <c r="I464" t="s">
        <v>572</v>
      </c>
      <c r="K464" t="s">
        <v>573</v>
      </c>
      <c r="L464" t="s">
        <v>532</v>
      </c>
      <c r="M464" t="s">
        <v>540</v>
      </c>
      <c r="N464" t="s">
        <v>574</v>
      </c>
      <c r="O464" t="s">
        <v>540</v>
      </c>
      <c r="P464">
        <v>1</v>
      </c>
      <c r="Q464" t="s">
        <v>553</v>
      </c>
      <c r="R464">
        <v>959</v>
      </c>
    </row>
    <row r="465" spans="2:18">
      <c r="B465">
        <v>28</v>
      </c>
      <c r="C465" t="s">
        <v>533</v>
      </c>
      <c r="D465" t="s">
        <v>534</v>
      </c>
      <c r="E465" t="s">
        <v>504</v>
      </c>
      <c r="F465" t="s">
        <v>558</v>
      </c>
      <c r="G465" t="s">
        <v>575</v>
      </c>
      <c r="H465" t="s">
        <v>576</v>
      </c>
      <c r="I465" t="s">
        <v>577</v>
      </c>
      <c r="K465" t="s">
        <v>578</v>
      </c>
      <c r="L465" t="s">
        <v>532</v>
      </c>
      <c r="M465" t="s">
        <v>540</v>
      </c>
      <c r="N465" t="s">
        <v>540</v>
      </c>
      <c r="O465" t="s">
        <v>540</v>
      </c>
      <c r="P465">
        <v>1</v>
      </c>
      <c r="Q465" t="s">
        <v>553</v>
      </c>
      <c r="R465">
        <v>1680</v>
      </c>
    </row>
    <row r="466" spans="2:18">
      <c r="B466">
        <v>29</v>
      </c>
      <c r="C466" t="s">
        <v>533</v>
      </c>
      <c r="D466" t="s">
        <v>534</v>
      </c>
      <c r="E466" t="s">
        <v>504</v>
      </c>
      <c r="F466" t="s">
        <v>558</v>
      </c>
      <c r="G466" t="s">
        <v>579</v>
      </c>
      <c r="H466" t="s">
        <v>584</v>
      </c>
      <c r="I466" t="s">
        <v>585</v>
      </c>
      <c r="K466" t="s">
        <v>586</v>
      </c>
      <c r="L466" t="s">
        <v>532</v>
      </c>
      <c r="M466" t="s">
        <v>540</v>
      </c>
      <c r="N466" t="s">
        <v>587</v>
      </c>
      <c r="O466" t="s">
        <v>540</v>
      </c>
      <c r="P466">
        <v>1</v>
      </c>
      <c r="Q466" t="s">
        <v>553</v>
      </c>
      <c r="R466">
        <v>74</v>
      </c>
    </row>
    <row r="467" spans="2:18">
      <c r="B467">
        <v>30</v>
      </c>
      <c r="C467" t="s">
        <v>533</v>
      </c>
      <c r="D467" t="s">
        <v>534</v>
      </c>
      <c r="E467" t="s">
        <v>504</v>
      </c>
      <c r="F467" t="s">
        <v>558</v>
      </c>
      <c r="G467" t="s">
        <v>588</v>
      </c>
      <c r="H467" t="s">
        <v>589</v>
      </c>
      <c r="I467" t="s">
        <v>590</v>
      </c>
      <c r="K467" t="s">
        <v>591</v>
      </c>
      <c r="L467" t="s">
        <v>532</v>
      </c>
      <c r="M467" t="s">
        <v>540</v>
      </c>
      <c r="N467" t="s">
        <v>592</v>
      </c>
      <c r="O467" t="s">
        <v>540</v>
      </c>
      <c r="P467">
        <v>1</v>
      </c>
      <c r="Q467" t="s">
        <v>553</v>
      </c>
      <c r="R467">
        <v>84</v>
      </c>
    </row>
    <row r="468" spans="2:18">
      <c r="B468">
        <v>31</v>
      </c>
      <c r="C468" t="s">
        <v>533</v>
      </c>
      <c r="D468" t="s">
        <v>534</v>
      </c>
      <c r="E468" t="s">
        <v>504</v>
      </c>
      <c r="F468" t="s">
        <v>630</v>
      </c>
      <c r="G468" t="s">
        <v>593</v>
      </c>
      <c r="H468" t="s">
        <v>631</v>
      </c>
      <c r="I468" t="s">
        <v>632</v>
      </c>
      <c r="K468" t="s">
        <v>633</v>
      </c>
      <c r="L468" t="s">
        <v>532</v>
      </c>
      <c r="M468" t="s">
        <v>540</v>
      </c>
      <c r="N468" t="s">
        <v>540</v>
      </c>
      <c r="O468" t="s">
        <v>540</v>
      </c>
      <c r="P468">
        <v>1</v>
      </c>
      <c r="Q468" t="s">
        <v>553</v>
      </c>
      <c r="R468">
        <v>41</v>
      </c>
    </row>
    <row r="469" spans="2:18">
      <c r="B469">
        <v>32</v>
      </c>
      <c r="C469" t="s">
        <v>533</v>
      </c>
      <c r="D469" t="s">
        <v>534</v>
      </c>
      <c r="E469" t="s">
        <v>504</v>
      </c>
      <c r="F469" t="s">
        <v>630</v>
      </c>
      <c r="G469" t="s">
        <v>536</v>
      </c>
      <c r="H469" t="s">
        <v>634</v>
      </c>
      <c r="I469" t="s">
        <v>635</v>
      </c>
      <c r="K469" t="s">
        <v>636</v>
      </c>
      <c r="L469" t="s">
        <v>532</v>
      </c>
      <c r="M469" t="s">
        <v>540</v>
      </c>
      <c r="N469" t="s">
        <v>637</v>
      </c>
      <c r="O469" t="s">
        <v>540</v>
      </c>
      <c r="P469">
        <v>1</v>
      </c>
      <c r="Q469" t="s">
        <v>609</v>
      </c>
      <c r="R469">
        <v>290</v>
      </c>
    </row>
    <row r="470" spans="2:18">
      <c r="B470">
        <v>33</v>
      </c>
      <c r="C470" t="s">
        <v>533</v>
      </c>
      <c r="D470" t="s">
        <v>534</v>
      </c>
      <c r="E470" t="s">
        <v>504</v>
      </c>
      <c r="F470" t="s">
        <v>630</v>
      </c>
      <c r="G470" t="s">
        <v>575</v>
      </c>
      <c r="H470" t="s">
        <v>638</v>
      </c>
      <c r="I470" t="s">
        <v>709</v>
      </c>
      <c r="K470" t="s">
        <v>710</v>
      </c>
      <c r="L470" t="s">
        <v>532</v>
      </c>
      <c r="M470" t="s">
        <v>540</v>
      </c>
      <c r="N470" t="s">
        <v>711</v>
      </c>
      <c r="O470" t="s">
        <v>540</v>
      </c>
      <c r="P470">
        <v>1</v>
      </c>
      <c r="Q470" t="s">
        <v>553</v>
      </c>
      <c r="R470">
        <v>153</v>
      </c>
    </row>
    <row r="471" spans="2:18">
      <c r="B471">
        <v>34</v>
      </c>
      <c r="C471" t="s">
        <v>533</v>
      </c>
      <c r="D471" t="s">
        <v>534</v>
      </c>
      <c r="E471" t="s">
        <v>504</v>
      </c>
      <c r="F471" t="s">
        <v>630</v>
      </c>
      <c r="G471" t="s">
        <v>559</v>
      </c>
      <c r="H471" t="s">
        <v>642</v>
      </c>
      <c r="I471" t="s">
        <v>643</v>
      </c>
      <c r="K471" t="s">
        <v>644</v>
      </c>
      <c r="L471" t="s">
        <v>532</v>
      </c>
      <c r="M471" t="s">
        <v>540</v>
      </c>
      <c r="N471" t="s">
        <v>645</v>
      </c>
      <c r="O471" t="s">
        <v>540</v>
      </c>
      <c r="P471">
        <v>1</v>
      </c>
      <c r="Q471" t="s">
        <v>646</v>
      </c>
      <c r="R471">
        <v>55</v>
      </c>
    </row>
    <row r="472" spans="2:18">
      <c r="B472">
        <v>35</v>
      </c>
      <c r="C472" t="s">
        <v>533</v>
      </c>
      <c r="D472" t="s">
        <v>534</v>
      </c>
      <c r="E472" t="s">
        <v>504</v>
      </c>
      <c r="F472" t="s">
        <v>630</v>
      </c>
      <c r="G472" t="s">
        <v>579</v>
      </c>
      <c r="H472" t="s">
        <v>647</v>
      </c>
      <c r="I472" t="s">
        <v>648</v>
      </c>
      <c r="K472" t="s">
        <v>649</v>
      </c>
      <c r="L472" t="s">
        <v>532</v>
      </c>
      <c r="M472" t="s">
        <v>540</v>
      </c>
      <c r="N472" t="s">
        <v>592</v>
      </c>
      <c r="O472" t="s">
        <v>540</v>
      </c>
      <c r="P472">
        <v>1</v>
      </c>
      <c r="Q472" t="s">
        <v>553</v>
      </c>
      <c r="R472">
        <v>66.26</v>
      </c>
    </row>
    <row r="473" spans="2:18">
      <c r="B473">
        <v>36</v>
      </c>
      <c r="C473" t="s">
        <v>533</v>
      </c>
      <c r="D473" t="s">
        <v>534</v>
      </c>
      <c r="E473" t="s">
        <v>504</v>
      </c>
      <c r="F473" t="s">
        <v>630</v>
      </c>
      <c r="G473" t="s">
        <v>650</v>
      </c>
      <c r="H473" t="s">
        <v>651</v>
      </c>
      <c r="I473" t="s">
        <v>652</v>
      </c>
      <c r="K473" t="s">
        <v>653</v>
      </c>
      <c r="L473" t="s">
        <v>532</v>
      </c>
      <c r="M473" t="s">
        <v>540</v>
      </c>
      <c r="N473" t="s">
        <v>654</v>
      </c>
      <c r="O473" t="s">
        <v>540</v>
      </c>
      <c r="P473">
        <v>1</v>
      </c>
      <c r="Q473" t="s">
        <v>553</v>
      </c>
      <c r="R473">
        <v>101</v>
      </c>
    </row>
    <row r="474" spans="2:18">
      <c r="B474">
        <v>37</v>
      </c>
      <c r="C474" t="s">
        <v>533</v>
      </c>
      <c r="D474" t="s">
        <v>534</v>
      </c>
      <c r="E474" t="s">
        <v>504</v>
      </c>
      <c r="F474" t="s">
        <v>630</v>
      </c>
      <c r="G474" t="s">
        <v>650</v>
      </c>
      <c r="H474" t="s">
        <v>655</v>
      </c>
      <c r="I474" t="s">
        <v>656</v>
      </c>
      <c r="K474" t="s">
        <v>657</v>
      </c>
      <c r="L474" t="s">
        <v>532</v>
      </c>
      <c r="M474" t="s">
        <v>540</v>
      </c>
      <c r="N474" t="s">
        <v>658</v>
      </c>
      <c r="O474" t="s">
        <v>540</v>
      </c>
      <c r="P474">
        <v>1</v>
      </c>
      <c r="Q474" t="s">
        <v>553</v>
      </c>
      <c r="R474">
        <v>418</v>
      </c>
    </row>
    <row r="475" spans="2:18">
      <c r="B475">
        <v>38</v>
      </c>
      <c r="C475" t="s">
        <v>533</v>
      </c>
      <c r="D475" t="s">
        <v>534</v>
      </c>
      <c r="E475" t="s">
        <v>504</v>
      </c>
      <c r="F475" t="s">
        <v>630</v>
      </c>
      <c r="G475" t="s">
        <v>650</v>
      </c>
      <c r="H475" t="s">
        <v>659</v>
      </c>
      <c r="I475" t="s">
        <v>660</v>
      </c>
      <c r="K475" t="s">
        <v>661</v>
      </c>
      <c r="L475" t="s">
        <v>532</v>
      </c>
      <c r="M475" t="s">
        <v>540</v>
      </c>
      <c r="N475" t="s">
        <v>662</v>
      </c>
      <c r="O475" t="s">
        <v>540</v>
      </c>
      <c r="P475">
        <v>1</v>
      </c>
      <c r="Q475" t="s">
        <v>553</v>
      </c>
      <c r="R475">
        <v>37</v>
      </c>
    </row>
    <row r="476" spans="2:18">
      <c r="B476">
        <v>39</v>
      </c>
      <c r="C476" t="s">
        <v>533</v>
      </c>
      <c r="D476" t="s">
        <v>534</v>
      </c>
      <c r="E476" t="s">
        <v>504</v>
      </c>
      <c r="F476" t="s">
        <v>630</v>
      </c>
      <c r="G476" t="s">
        <v>575</v>
      </c>
      <c r="H476" t="s">
        <v>663</v>
      </c>
      <c r="I476" t="s">
        <v>712</v>
      </c>
      <c r="K476" t="s">
        <v>713</v>
      </c>
      <c r="L476" t="s">
        <v>532</v>
      </c>
      <c r="M476" t="s">
        <v>540</v>
      </c>
      <c r="N476" t="s">
        <v>714</v>
      </c>
      <c r="O476" t="s">
        <v>540</v>
      </c>
      <c r="P476">
        <v>1</v>
      </c>
      <c r="Q476" t="s">
        <v>667</v>
      </c>
      <c r="R476">
        <v>430</v>
      </c>
    </row>
    <row r="477" spans="2:18">
      <c r="B477">
        <v>40</v>
      </c>
      <c r="C477" t="s">
        <v>533</v>
      </c>
      <c r="D477" t="s">
        <v>534</v>
      </c>
      <c r="E477" t="s">
        <v>504</v>
      </c>
      <c r="F477" t="s">
        <v>630</v>
      </c>
      <c r="G477" t="s">
        <v>548</v>
      </c>
      <c r="H477" t="s">
        <v>668</v>
      </c>
      <c r="I477" t="s">
        <v>669</v>
      </c>
      <c r="K477" t="s">
        <v>670</v>
      </c>
      <c r="L477" t="s">
        <v>532</v>
      </c>
      <c r="M477" t="s">
        <v>540</v>
      </c>
      <c r="N477" t="s">
        <v>671</v>
      </c>
      <c r="O477" t="s">
        <v>540</v>
      </c>
      <c r="P477">
        <v>1</v>
      </c>
      <c r="Q477" t="s">
        <v>567</v>
      </c>
      <c r="R477">
        <v>4.7</v>
      </c>
    </row>
    <row r="478" spans="2:18">
      <c r="B478">
        <v>41</v>
      </c>
      <c r="C478" t="s">
        <v>533</v>
      </c>
      <c r="D478" t="s">
        <v>534</v>
      </c>
      <c r="E478" t="s">
        <v>504</v>
      </c>
      <c r="F478" t="s">
        <v>630</v>
      </c>
      <c r="G478" t="s">
        <v>650</v>
      </c>
      <c r="H478" t="s">
        <v>672</v>
      </c>
      <c r="I478" t="s">
        <v>673</v>
      </c>
      <c r="K478" t="s">
        <v>674</v>
      </c>
      <c r="L478" t="s">
        <v>532</v>
      </c>
      <c r="M478" t="s">
        <v>540</v>
      </c>
      <c r="N478" t="s">
        <v>675</v>
      </c>
      <c r="O478" t="s">
        <v>540</v>
      </c>
      <c r="P478">
        <v>1</v>
      </c>
      <c r="Q478" t="s">
        <v>618</v>
      </c>
      <c r="R478">
        <v>370</v>
      </c>
    </row>
    <row r="479" spans="2:18">
      <c r="B479">
        <v>42</v>
      </c>
      <c r="C479" t="s">
        <v>533</v>
      </c>
      <c r="D479" t="s">
        <v>534</v>
      </c>
      <c r="E479" t="s">
        <v>504</v>
      </c>
      <c r="F479" t="s">
        <v>630</v>
      </c>
      <c r="G479" t="s">
        <v>650</v>
      </c>
      <c r="H479" t="s">
        <v>676</v>
      </c>
      <c r="I479" t="s">
        <v>677</v>
      </c>
      <c r="K479" t="s">
        <v>678</v>
      </c>
      <c r="L479" t="s">
        <v>532</v>
      </c>
      <c r="M479" t="s">
        <v>540</v>
      </c>
      <c r="N479" t="s">
        <v>679</v>
      </c>
      <c r="O479" t="s">
        <v>540</v>
      </c>
      <c r="P479">
        <v>1</v>
      </c>
      <c r="Q479" t="s">
        <v>553</v>
      </c>
      <c r="R479">
        <v>39.5</v>
      </c>
    </row>
    <row r="480" spans="2:18">
      <c r="B480">
        <v>43</v>
      </c>
      <c r="C480" t="s">
        <v>533</v>
      </c>
      <c r="D480" t="s">
        <v>534</v>
      </c>
      <c r="E480" t="s">
        <v>504</v>
      </c>
      <c r="F480" t="s">
        <v>630</v>
      </c>
      <c r="G480" t="s">
        <v>650</v>
      </c>
      <c r="H480" t="s">
        <v>680</v>
      </c>
      <c r="I480" t="s">
        <v>681</v>
      </c>
      <c r="K480" t="s">
        <v>682</v>
      </c>
      <c r="L480" t="s">
        <v>532</v>
      </c>
      <c r="M480" t="s">
        <v>540</v>
      </c>
      <c r="N480" t="s">
        <v>679</v>
      </c>
      <c r="O480" t="s">
        <v>540</v>
      </c>
      <c r="P480">
        <v>1</v>
      </c>
      <c r="Q480" t="s">
        <v>553</v>
      </c>
      <c r="R480">
        <v>17.2</v>
      </c>
    </row>
    <row r="481" spans="2:18">
      <c r="B481">
        <v>1</v>
      </c>
      <c r="C481" t="s">
        <v>533</v>
      </c>
      <c r="D481" t="s">
        <v>534</v>
      </c>
      <c r="E481" t="s">
        <v>505</v>
      </c>
      <c r="F481" t="s">
        <v>535</v>
      </c>
      <c r="G481" t="s">
        <v>536</v>
      </c>
      <c r="H481" t="s">
        <v>537</v>
      </c>
      <c r="I481" t="s">
        <v>538</v>
      </c>
      <c r="K481" t="s">
        <v>539</v>
      </c>
      <c r="L481" t="s">
        <v>532</v>
      </c>
      <c r="M481" t="s">
        <v>540</v>
      </c>
      <c r="N481" t="s">
        <v>541</v>
      </c>
      <c r="O481" t="s">
        <v>540</v>
      </c>
      <c r="P481">
        <v>1</v>
      </c>
      <c r="Q481" t="s">
        <v>542</v>
      </c>
      <c r="R481">
        <v>920</v>
      </c>
    </row>
    <row r="482" spans="2:18">
      <c r="B482">
        <v>2</v>
      </c>
      <c r="C482" t="s">
        <v>533</v>
      </c>
      <c r="D482" t="s">
        <v>534</v>
      </c>
      <c r="E482" t="s">
        <v>505</v>
      </c>
      <c r="F482" t="s">
        <v>535</v>
      </c>
      <c r="G482" t="s">
        <v>536</v>
      </c>
      <c r="H482" t="s">
        <v>543</v>
      </c>
      <c r="I482" t="s">
        <v>544</v>
      </c>
      <c r="K482" t="s">
        <v>545</v>
      </c>
      <c r="L482" t="s">
        <v>532</v>
      </c>
      <c r="M482" t="s">
        <v>540</v>
      </c>
      <c r="N482" t="s">
        <v>546</v>
      </c>
      <c r="O482" t="s">
        <v>540</v>
      </c>
      <c r="P482">
        <v>1</v>
      </c>
      <c r="Q482" t="s">
        <v>547</v>
      </c>
      <c r="R482">
        <v>380</v>
      </c>
    </row>
    <row r="483" spans="2:18">
      <c r="B483">
        <v>3</v>
      </c>
      <c r="C483" t="s">
        <v>533</v>
      </c>
      <c r="D483" t="s">
        <v>534</v>
      </c>
      <c r="E483" t="s">
        <v>505</v>
      </c>
      <c r="F483" t="s">
        <v>535</v>
      </c>
      <c r="G483" t="s">
        <v>548</v>
      </c>
      <c r="H483" t="s">
        <v>549</v>
      </c>
      <c r="I483" t="s">
        <v>550</v>
      </c>
      <c r="K483" t="s">
        <v>551</v>
      </c>
      <c r="L483" t="s">
        <v>532</v>
      </c>
      <c r="M483" t="s">
        <v>540</v>
      </c>
      <c r="N483" t="s">
        <v>552</v>
      </c>
      <c r="O483" t="s">
        <v>540</v>
      </c>
      <c r="P483">
        <v>1</v>
      </c>
      <c r="Q483" t="s">
        <v>553</v>
      </c>
      <c r="R483">
        <v>14</v>
      </c>
    </row>
    <row r="484" spans="2:18">
      <c r="B484">
        <v>4</v>
      </c>
      <c r="C484" t="s">
        <v>533</v>
      </c>
      <c r="D484" t="s">
        <v>534</v>
      </c>
      <c r="E484" t="s">
        <v>505</v>
      </c>
      <c r="F484" t="s">
        <v>535</v>
      </c>
      <c r="G484" t="s">
        <v>548</v>
      </c>
      <c r="H484" t="s">
        <v>554</v>
      </c>
      <c r="I484" t="s">
        <v>555</v>
      </c>
      <c r="K484" t="s">
        <v>556</v>
      </c>
      <c r="L484" t="s">
        <v>532</v>
      </c>
      <c r="M484" t="s">
        <v>540</v>
      </c>
      <c r="N484" t="s">
        <v>557</v>
      </c>
      <c r="O484" t="s">
        <v>540</v>
      </c>
      <c r="P484">
        <v>1</v>
      </c>
      <c r="Q484" t="s">
        <v>553</v>
      </c>
      <c r="R484">
        <v>33</v>
      </c>
    </row>
    <row r="485" spans="2:18">
      <c r="B485">
        <v>5</v>
      </c>
      <c r="C485" t="s">
        <v>533</v>
      </c>
      <c r="D485" t="s">
        <v>534</v>
      </c>
      <c r="E485" t="s">
        <v>505</v>
      </c>
      <c r="F485" t="s">
        <v>558</v>
      </c>
      <c r="G485" t="s">
        <v>559</v>
      </c>
      <c r="H485" t="s">
        <v>560</v>
      </c>
      <c r="I485" t="s">
        <v>561</v>
      </c>
      <c r="K485" t="s">
        <v>562</v>
      </c>
      <c r="L485" t="s">
        <v>532</v>
      </c>
      <c r="M485" t="s">
        <v>540</v>
      </c>
      <c r="N485" t="s">
        <v>563</v>
      </c>
      <c r="O485" t="s">
        <v>540</v>
      </c>
      <c r="P485">
        <v>1</v>
      </c>
      <c r="Q485" t="s">
        <v>553</v>
      </c>
      <c r="R485">
        <v>223</v>
      </c>
    </row>
    <row r="486" spans="2:18">
      <c r="B486">
        <v>6</v>
      </c>
      <c r="C486" t="s">
        <v>533</v>
      </c>
      <c r="D486" t="s">
        <v>534</v>
      </c>
      <c r="E486" t="s">
        <v>505</v>
      </c>
      <c r="F486" t="s">
        <v>558</v>
      </c>
      <c r="G486" t="s">
        <v>559</v>
      </c>
      <c r="H486" t="s">
        <v>564</v>
      </c>
      <c r="I486" t="s">
        <v>565</v>
      </c>
      <c r="K486" t="s">
        <v>566</v>
      </c>
      <c r="L486" t="s">
        <v>532</v>
      </c>
      <c r="M486" t="s">
        <v>540</v>
      </c>
      <c r="N486" t="s">
        <v>540</v>
      </c>
      <c r="O486" t="s">
        <v>540</v>
      </c>
      <c r="P486">
        <v>1</v>
      </c>
      <c r="Q486" t="s">
        <v>567</v>
      </c>
      <c r="R486">
        <v>640</v>
      </c>
    </row>
    <row r="487" spans="2:18">
      <c r="B487">
        <v>7</v>
      </c>
      <c r="C487" t="s">
        <v>533</v>
      </c>
      <c r="D487" t="s">
        <v>534</v>
      </c>
      <c r="E487" t="s">
        <v>505</v>
      </c>
      <c r="F487" t="s">
        <v>558</v>
      </c>
      <c r="G487" t="s">
        <v>559</v>
      </c>
      <c r="H487" t="s">
        <v>568</v>
      </c>
      <c r="I487" t="s">
        <v>569</v>
      </c>
      <c r="K487" t="s">
        <v>570</v>
      </c>
      <c r="L487" t="s">
        <v>532</v>
      </c>
      <c r="M487" t="s">
        <v>540</v>
      </c>
      <c r="N487" t="s">
        <v>540</v>
      </c>
      <c r="O487" t="s">
        <v>540</v>
      </c>
      <c r="P487">
        <v>1</v>
      </c>
      <c r="Q487" t="s">
        <v>567</v>
      </c>
      <c r="R487">
        <v>425</v>
      </c>
    </row>
    <row r="488" spans="2:18">
      <c r="B488">
        <v>8</v>
      </c>
      <c r="C488" t="s">
        <v>533</v>
      </c>
      <c r="D488" t="s">
        <v>534</v>
      </c>
      <c r="E488" t="s">
        <v>505</v>
      </c>
      <c r="F488" t="s">
        <v>558</v>
      </c>
      <c r="G488" t="s">
        <v>559</v>
      </c>
      <c r="H488" t="s">
        <v>571</v>
      </c>
      <c r="I488" t="s">
        <v>572</v>
      </c>
      <c r="K488" t="s">
        <v>573</v>
      </c>
      <c r="L488" t="s">
        <v>532</v>
      </c>
      <c r="M488" t="s">
        <v>540</v>
      </c>
      <c r="N488" t="s">
        <v>574</v>
      </c>
      <c r="O488" t="s">
        <v>540</v>
      </c>
      <c r="P488">
        <v>1</v>
      </c>
      <c r="Q488" t="s">
        <v>553</v>
      </c>
      <c r="R488">
        <v>959</v>
      </c>
    </row>
    <row r="489" spans="2:18">
      <c r="B489">
        <v>9</v>
      </c>
      <c r="C489" t="s">
        <v>533</v>
      </c>
      <c r="D489" t="s">
        <v>534</v>
      </c>
      <c r="E489" t="s">
        <v>505</v>
      </c>
      <c r="F489" t="s">
        <v>558</v>
      </c>
      <c r="G489" t="s">
        <v>575</v>
      </c>
      <c r="H489" t="s">
        <v>576</v>
      </c>
      <c r="I489" t="s">
        <v>577</v>
      </c>
      <c r="K489" t="s">
        <v>578</v>
      </c>
      <c r="L489" t="s">
        <v>532</v>
      </c>
      <c r="M489" t="s">
        <v>540</v>
      </c>
      <c r="N489" t="s">
        <v>540</v>
      </c>
      <c r="O489" t="s">
        <v>540</v>
      </c>
      <c r="P489">
        <v>1</v>
      </c>
      <c r="Q489" t="s">
        <v>553</v>
      </c>
      <c r="R489">
        <v>1680</v>
      </c>
    </row>
    <row r="490" spans="2:18">
      <c r="B490">
        <v>10</v>
      </c>
      <c r="C490" t="s">
        <v>533</v>
      </c>
      <c r="D490" t="s">
        <v>534</v>
      </c>
      <c r="E490" t="s">
        <v>505</v>
      </c>
      <c r="F490" t="s">
        <v>558</v>
      </c>
      <c r="G490" t="s">
        <v>579</v>
      </c>
      <c r="H490" t="s">
        <v>580</v>
      </c>
      <c r="I490" t="s">
        <v>581</v>
      </c>
      <c r="K490" t="s">
        <v>582</v>
      </c>
      <c r="L490" t="s">
        <v>532</v>
      </c>
      <c r="M490" t="s">
        <v>540</v>
      </c>
      <c r="N490" t="s">
        <v>583</v>
      </c>
      <c r="O490" t="s">
        <v>540</v>
      </c>
      <c r="P490">
        <v>1</v>
      </c>
      <c r="Q490" t="s">
        <v>553</v>
      </c>
      <c r="R490">
        <v>56</v>
      </c>
    </row>
    <row r="491" spans="2:18">
      <c r="B491">
        <v>11</v>
      </c>
      <c r="C491" t="s">
        <v>533</v>
      </c>
      <c r="D491" t="s">
        <v>534</v>
      </c>
      <c r="E491" t="s">
        <v>505</v>
      </c>
      <c r="F491" t="s">
        <v>558</v>
      </c>
      <c r="G491" t="s">
        <v>579</v>
      </c>
      <c r="H491" t="s">
        <v>584</v>
      </c>
      <c r="I491" t="s">
        <v>585</v>
      </c>
      <c r="K491" t="s">
        <v>586</v>
      </c>
      <c r="L491" t="s">
        <v>532</v>
      </c>
      <c r="M491" t="s">
        <v>540</v>
      </c>
      <c r="N491" t="s">
        <v>587</v>
      </c>
      <c r="O491" t="s">
        <v>540</v>
      </c>
      <c r="P491">
        <v>1</v>
      </c>
      <c r="Q491" t="s">
        <v>553</v>
      </c>
      <c r="R491">
        <v>74</v>
      </c>
    </row>
    <row r="492" spans="2:18">
      <c r="B492">
        <v>12</v>
      </c>
      <c r="C492" t="s">
        <v>533</v>
      </c>
      <c r="D492" t="s">
        <v>534</v>
      </c>
      <c r="E492" t="s">
        <v>505</v>
      </c>
      <c r="F492" t="s">
        <v>558</v>
      </c>
      <c r="G492" t="s">
        <v>588</v>
      </c>
      <c r="H492" t="s">
        <v>589</v>
      </c>
      <c r="I492" t="s">
        <v>590</v>
      </c>
      <c r="K492" t="s">
        <v>591</v>
      </c>
      <c r="L492" t="s">
        <v>532</v>
      </c>
      <c r="M492" t="s">
        <v>540</v>
      </c>
      <c r="N492" t="s">
        <v>592</v>
      </c>
      <c r="O492" t="s">
        <v>540</v>
      </c>
      <c r="P492">
        <v>1</v>
      </c>
      <c r="Q492" t="s">
        <v>553</v>
      </c>
      <c r="R492">
        <v>84</v>
      </c>
    </row>
    <row r="493" spans="2:18">
      <c r="B493">
        <v>13</v>
      </c>
      <c r="C493" t="s">
        <v>533</v>
      </c>
      <c r="D493" t="s">
        <v>534</v>
      </c>
      <c r="E493" t="s">
        <v>505</v>
      </c>
      <c r="F493" t="s">
        <v>558</v>
      </c>
      <c r="G493" t="s">
        <v>593</v>
      </c>
      <c r="H493" t="s">
        <v>594</v>
      </c>
      <c r="I493" t="s">
        <v>595</v>
      </c>
      <c r="K493" t="s">
        <v>596</v>
      </c>
      <c r="L493" t="s">
        <v>532</v>
      </c>
      <c r="M493" t="s">
        <v>540</v>
      </c>
      <c r="N493" t="s">
        <v>597</v>
      </c>
      <c r="O493" t="s">
        <v>540</v>
      </c>
      <c r="P493">
        <v>1</v>
      </c>
      <c r="Q493" t="s">
        <v>553</v>
      </c>
      <c r="R493">
        <v>165</v>
      </c>
    </row>
    <row r="494" spans="2:18">
      <c r="B494">
        <v>14</v>
      </c>
      <c r="C494" t="s">
        <v>533</v>
      </c>
      <c r="D494" t="s">
        <v>534</v>
      </c>
      <c r="E494" t="s">
        <v>505</v>
      </c>
      <c r="F494" t="s">
        <v>558</v>
      </c>
      <c r="G494" t="s">
        <v>559</v>
      </c>
      <c r="H494" t="s">
        <v>598</v>
      </c>
      <c r="I494" t="s">
        <v>599</v>
      </c>
      <c r="K494" t="s">
        <v>600</v>
      </c>
      <c r="L494" t="s">
        <v>532</v>
      </c>
      <c r="M494" t="s">
        <v>540</v>
      </c>
      <c r="N494" t="s">
        <v>540</v>
      </c>
      <c r="O494" t="s">
        <v>540</v>
      </c>
      <c r="P494">
        <v>1</v>
      </c>
      <c r="Q494" t="s">
        <v>553</v>
      </c>
      <c r="R494">
        <v>43</v>
      </c>
    </row>
    <row r="495" spans="2:18">
      <c r="B495">
        <v>15</v>
      </c>
      <c r="C495" t="s">
        <v>533</v>
      </c>
      <c r="D495" t="s">
        <v>534</v>
      </c>
      <c r="E495" t="s">
        <v>505</v>
      </c>
      <c r="F495" t="s">
        <v>558</v>
      </c>
      <c r="G495" t="s">
        <v>559</v>
      </c>
      <c r="H495" t="s">
        <v>601</v>
      </c>
      <c r="I495" t="s">
        <v>602</v>
      </c>
      <c r="K495" t="s">
        <v>603</v>
      </c>
      <c r="L495" t="s">
        <v>532</v>
      </c>
      <c r="M495" t="s">
        <v>540</v>
      </c>
      <c r="N495" t="s">
        <v>604</v>
      </c>
      <c r="O495" t="s">
        <v>540</v>
      </c>
      <c r="P495">
        <v>1</v>
      </c>
      <c r="Q495" t="s">
        <v>553</v>
      </c>
      <c r="R495">
        <v>77</v>
      </c>
    </row>
    <row r="496" spans="2:18">
      <c r="B496">
        <v>16</v>
      </c>
      <c r="C496" t="s">
        <v>533</v>
      </c>
      <c r="D496" t="s">
        <v>534</v>
      </c>
      <c r="E496" t="s">
        <v>505</v>
      </c>
      <c r="F496" t="s">
        <v>558</v>
      </c>
      <c r="G496" t="s">
        <v>536</v>
      </c>
      <c r="H496" t="s">
        <v>605</v>
      </c>
      <c r="I496" t="s">
        <v>697</v>
      </c>
      <c r="K496" t="s">
        <v>698</v>
      </c>
      <c r="L496" t="s">
        <v>532</v>
      </c>
      <c r="M496" t="s">
        <v>540</v>
      </c>
      <c r="N496" t="s">
        <v>699</v>
      </c>
      <c r="O496" t="s">
        <v>540</v>
      </c>
      <c r="P496">
        <v>3</v>
      </c>
      <c r="Q496" t="s">
        <v>609</v>
      </c>
      <c r="R496">
        <v>415</v>
      </c>
    </row>
    <row r="497" spans="2:18">
      <c r="B497">
        <v>17</v>
      </c>
      <c r="C497" t="s">
        <v>533</v>
      </c>
      <c r="D497" t="s">
        <v>534</v>
      </c>
      <c r="E497" t="s">
        <v>505</v>
      </c>
      <c r="F497" t="s">
        <v>558</v>
      </c>
      <c r="G497" t="s">
        <v>610</v>
      </c>
      <c r="H497" t="s">
        <v>611</v>
      </c>
      <c r="I497" t="s">
        <v>687</v>
      </c>
      <c r="K497" t="s">
        <v>688</v>
      </c>
      <c r="L497" t="s">
        <v>532</v>
      </c>
      <c r="M497" t="s">
        <v>540</v>
      </c>
      <c r="N497" t="s">
        <v>614</v>
      </c>
      <c r="O497" t="s">
        <v>540</v>
      </c>
      <c r="P497">
        <v>2</v>
      </c>
      <c r="Q497" t="s">
        <v>689</v>
      </c>
      <c r="R497">
        <v>77</v>
      </c>
    </row>
    <row r="498" spans="2:18">
      <c r="B498">
        <v>18</v>
      </c>
      <c r="C498" t="s">
        <v>533</v>
      </c>
      <c r="D498" t="s">
        <v>534</v>
      </c>
      <c r="E498" t="s">
        <v>505</v>
      </c>
      <c r="F498" t="s">
        <v>558</v>
      </c>
      <c r="G498" t="s">
        <v>610</v>
      </c>
      <c r="H498" t="s">
        <v>611</v>
      </c>
      <c r="I498" t="s">
        <v>612</v>
      </c>
      <c r="K498" t="s">
        <v>613</v>
      </c>
      <c r="L498" t="s">
        <v>532</v>
      </c>
      <c r="M498" t="s">
        <v>540</v>
      </c>
      <c r="N498" t="s">
        <v>614</v>
      </c>
      <c r="O498" t="s">
        <v>540</v>
      </c>
      <c r="P498">
        <v>1</v>
      </c>
      <c r="Q498" t="s">
        <v>615</v>
      </c>
      <c r="R498">
        <v>53</v>
      </c>
    </row>
    <row r="499" spans="2:18">
      <c r="B499">
        <v>19</v>
      </c>
      <c r="C499" t="s">
        <v>533</v>
      </c>
      <c r="D499" t="s">
        <v>534</v>
      </c>
      <c r="E499" t="s">
        <v>505</v>
      </c>
      <c r="F499" t="s">
        <v>558</v>
      </c>
      <c r="G499" t="s">
        <v>559</v>
      </c>
      <c r="H499" t="s">
        <v>477</v>
      </c>
      <c r="I499" t="s">
        <v>616</v>
      </c>
      <c r="K499" t="s">
        <v>617</v>
      </c>
      <c r="L499" t="s">
        <v>532</v>
      </c>
      <c r="M499" t="s">
        <v>540</v>
      </c>
      <c r="N499" t="s">
        <v>540</v>
      </c>
      <c r="O499" t="s">
        <v>540</v>
      </c>
      <c r="P499">
        <v>1</v>
      </c>
      <c r="Q499" t="s">
        <v>618</v>
      </c>
      <c r="R499">
        <v>875</v>
      </c>
    </row>
    <row r="500" spans="2:18">
      <c r="B500">
        <v>21</v>
      </c>
      <c r="C500" t="s">
        <v>533</v>
      </c>
      <c r="D500" t="s">
        <v>534</v>
      </c>
      <c r="E500" t="s">
        <v>505</v>
      </c>
      <c r="F500" t="s">
        <v>558</v>
      </c>
      <c r="G500" t="s">
        <v>559</v>
      </c>
      <c r="H500" t="s">
        <v>478</v>
      </c>
      <c r="I500" t="s">
        <v>683</v>
      </c>
      <c r="K500" t="s">
        <v>684</v>
      </c>
      <c r="L500" t="s">
        <v>532</v>
      </c>
      <c r="M500" t="s">
        <v>540</v>
      </c>
      <c r="N500" t="s">
        <v>685</v>
      </c>
      <c r="O500" t="s">
        <v>540</v>
      </c>
      <c r="P500">
        <v>1</v>
      </c>
      <c r="Q500" t="s">
        <v>567</v>
      </c>
      <c r="R500">
        <v>331</v>
      </c>
    </row>
    <row r="501" spans="2:18">
      <c r="B501">
        <v>22</v>
      </c>
      <c r="C501" t="s">
        <v>533</v>
      </c>
      <c r="D501" t="s">
        <v>534</v>
      </c>
      <c r="E501" t="s">
        <v>505</v>
      </c>
      <c r="F501" t="s">
        <v>558</v>
      </c>
      <c r="G501" t="s">
        <v>559</v>
      </c>
      <c r="H501" t="s">
        <v>622</v>
      </c>
      <c r="I501" t="s">
        <v>623</v>
      </c>
      <c r="K501" t="s">
        <v>624</v>
      </c>
      <c r="L501" t="s">
        <v>532</v>
      </c>
      <c r="M501" t="s">
        <v>540</v>
      </c>
      <c r="N501" t="s">
        <v>625</v>
      </c>
      <c r="O501" t="s">
        <v>540</v>
      </c>
      <c r="P501">
        <v>1</v>
      </c>
      <c r="Q501" t="s">
        <v>547</v>
      </c>
      <c r="R501">
        <v>92</v>
      </c>
    </row>
    <row r="502" spans="2:18">
      <c r="B502">
        <v>23</v>
      </c>
      <c r="C502" t="s">
        <v>533</v>
      </c>
      <c r="D502" t="s">
        <v>534</v>
      </c>
      <c r="E502" t="s">
        <v>505</v>
      </c>
      <c r="F502" t="s">
        <v>558</v>
      </c>
      <c r="G502" t="s">
        <v>559</v>
      </c>
      <c r="H502" t="s">
        <v>626</v>
      </c>
      <c r="I502" t="s">
        <v>627</v>
      </c>
      <c r="K502" t="s">
        <v>628</v>
      </c>
      <c r="L502" t="s">
        <v>532</v>
      </c>
      <c r="M502" t="s">
        <v>540</v>
      </c>
      <c r="N502" t="s">
        <v>540</v>
      </c>
      <c r="O502" t="s">
        <v>540</v>
      </c>
      <c r="P502">
        <v>1</v>
      </c>
      <c r="Q502" t="s">
        <v>629</v>
      </c>
      <c r="R502">
        <v>58</v>
      </c>
    </row>
    <row r="503" spans="2:18">
      <c r="B503">
        <v>24</v>
      </c>
      <c r="C503" t="s">
        <v>533</v>
      </c>
      <c r="D503" t="s">
        <v>534</v>
      </c>
      <c r="E503" t="s">
        <v>505</v>
      </c>
      <c r="F503" t="s">
        <v>726</v>
      </c>
      <c r="G503" t="s">
        <v>593</v>
      </c>
      <c r="H503" t="s">
        <v>631</v>
      </c>
      <c r="I503" t="s">
        <v>632</v>
      </c>
      <c r="K503" t="s">
        <v>633</v>
      </c>
      <c r="L503" t="s">
        <v>532</v>
      </c>
      <c r="M503" t="s">
        <v>540</v>
      </c>
      <c r="N503" t="s">
        <v>540</v>
      </c>
      <c r="O503" t="s">
        <v>540</v>
      </c>
      <c r="P503">
        <v>1</v>
      </c>
      <c r="Q503" t="s">
        <v>553</v>
      </c>
      <c r="R503">
        <v>41</v>
      </c>
    </row>
    <row r="504" spans="2:18">
      <c r="B504">
        <v>25</v>
      </c>
      <c r="C504" t="s">
        <v>533</v>
      </c>
      <c r="D504" t="s">
        <v>534</v>
      </c>
      <c r="E504" t="s">
        <v>505</v>
      </c>
      <c r="F504" t="s">
        <v>726</v>
      </c>
      <c r="G504" t="s">
        <v>536</v>
      </c>
      <c r="H504" t="s">
        <v>634</v>
      </c>
      <c r="I504" t="s">
        <v>727</v>
      </c>
      <c r="K504" t="s">
        <v>728</v>
      </c>
      <c r="L504" t="s">
        <v>532</v>
      </c>
      <c r="M504" t="s">
        <v>540</v>
      </c>
      <c r="N504" t="s">
        <v>729</v>
      </c>
      <c r="O504" t="s">
        <v>540</v>
      </c>
      <c r="P504">
        <v>1</v>
      </c>
      <c r="Q504" t="s">
        <v>609</v>
      </c>
      <c r="R504">
        <v>667</v>
      </c>
    </row>
    <row r="505" spans="2:18">
      <c r="B505">
        <v>26</v>
      </c>
      <c r="C505" t="s">
        <v>533</v>
      </c>
      <c r="D505" t="s">
        <v>534</v>
      </c>
      <c r="E505" t="s">
        <v>505</v>
      </c>
      <c r="F505" t="s">
        <v>726</v>
      </c>
      <c r="G505" t="s">
        <v>536</v>
      </c>
      <c r="H505" t="s">
        <v>605</v>
      </c>
      <c r="I505" t="s">
        <v>697</v>
      </c>
      <c r="K505" t="s">
        <v>698</v>
      </c>
      <c r="L505" t="s">
        <v>532</v>
      </c>
      <c r="M505" t="s">
        <v>540</v>
      </c>
      <c r="N505" t="s">
        <v>699</v>
      </c>
      <c r="O505" t="s">
        <v>540</v>
      </c>
      <c r="P505">
        <v>1</v>
      </c>
      <c r="Q505" t="s">
        <v>609</v>
      </c>
      <c r="R505">
        <v>415</v>
      </c>
    </row>
    <row r="506" spans="2:18">
      <c r="B506">
        <v>27</v>
      </c>
      <c r="C506" t="s">
        <v>533</v>
      </c>
      <c r="D506" t="s">
        <v>534</v>
      </c>
      <c r="E506" t="s">
        <v>505</v>
      </c>
      <c r="F506" t="s">
        <v>726</v>
      </c>
      <c r="G506" t="s">
        <v>579</v>
      </c>
      <c r="H506" t="s">
        <v>647</v>
      </c>
      <c r="I506" t="s">
        <v>730</v>
      </c>
      <c r="K506" t="s">
        <v>731</v>
      </c>
      <c r="L506" t="s">
        <v>532</v>
      </c>
      <c r="M506" t="s">
        <v>540</v>
      </c>
      <c r="N506" t="s">
        <v>732</v>
      </c>
      <c r="O506" t="s">
        <v>540</v>
      </c>
      <c r="P506">
        <v>1</v>
      </c>
      <c r="Q506" t="s">
        <v>553</v>
      </c>
      <c r="R506">
        <v>60</v>
      </c>
    </row>
    <row r="507" spans="2:18">
      <c r="B507">
        <v>28</v>
      </c>
      <c r="C507" t="s">
        <v>533</v>
      </c>
      <c r="D507" t="s">
        <v>534</v>
      </c>
      <c r="E507" t="s">
        <v>505</v>
      </c>
      <c r="F507" t="s">
        <v>726</v>
      </c>
      <c r="G507" t="s">
        <v>650</v>
      </c>
      <c r="H507" t="s">
        <v>651</v>
      </c>
      <c r="I507" t="s">
        <v>733</v>
      </c>
      <c r="K507" t="s">
        <v>734</v>
      </c>
      <c r="L507" t="s">
        <v>532</v>
      </c>
      <c r="M507" t="s">
        <v>540</v>
      </c>
      <c r="N507" t="s">
        <v>735</v>
      </c>
      <c r="O507" t="s">
        <v>540</v>
      </c>
      <c r="P507">
        <v>1</v>
      </c>
      <c r="Q507" t="s">
        <v>618</v>
      </c>
      <c r="R507">
        <v>185.4</v>
      </c>
    </row>
    <row r="508" spans="2:18">
      <c r="B508">
        <v>29</v>
      </c>
      <c r="C508" t="s">
        <v>533</v>
      </c>
      <c r="D508" t="s">
        <v>534</v>
      </c>
      <c r="E508" t="s">
        <v>505</v>
      </c>
      <c r="F508" t="s">
        <v>726</v>
      </c>
      <c r="G508" t="s">
        <v>650</v>
      </c>
      <c r="H508" t="s">
        <v>655</v>
      </c>
      <c r="I508" t="s">
        <v>736</v>
      </c>
      <c r="K508" t="s">
        <v>737</v>
      </c>
      <c r="L508" t="s">
        <v>532</v>
      </c>
      <c r="M508" t="s">
        <v>540</v>
      </c>
      <c r="N508" t="s">
        <v>738</v>
      </c>
      <c r="O508" t="s">
        <v>540</v>
      </c>
      <c r="P508">
        <v>1</v>
      </c>
      <c r="Q508" t="s">
        <v>618</v>
      </c>
      <c r="R508">
        <v>474</v>
      </c>
    </row>
    <row r="509" spans="2:18">
      <c r="B509">
        <v>30</v>
      </c>
      <c r="C509" t="s">
        <v>533</v>
      </c>
      <c r="D509" t="s">
        <v>534</v>
      </c>
      <c r="E509" t="s">
        <v>505</v>
      </c>
      <c r="F509" t="s">
        <v>726</v>
      </c>
      <c r="G509" t="s">
        <v>650</v>
      </c>
      <c r="H509" t="s">
        <v>659</v>
      </c>
      <c r="I509" t="s">
        <v>739</v>
      </c>
      <c r="K509" t="s">
        <v>740</v>
      </c>
      <c r="L509" t="s">
        <v>532</v>
      </c>
      <c r="M509" t="s">
        <v>540</v>
      </c>
      <c r="N509" t="s">
        <v>741</v>
      </c>
      <c r="O509" t="s">
        <v>540</v>
      </c>
      <c r="P509">
        <v>1</v>
      </c>
      <c r="Q509" t="s">
        <v>553</v>
      </c>
      <c r="R509">
        <v>30</v>
      </c>
    </row>
    <row r="510" spans="2:18">
      <c r="B510">
        <v>31</v>
      </c>
      <c r="C510" t="s">
        <v>533</v>
      </c>
      <c r="D510" t="s">
        <v>534</v>
      </c>
      <c r="E510" t="s">
        <v>505</v>
      </c>
      <c r="F510" t="s">
        <v>726</v>
      </c>
      <c r="G510" t="s">
        <v>575</v>
      </c>
      <c r="H510" t="s">
        <v>663</v>
      </c>
      <c r="I510" t="s">
        <v>664</v>
      </c>
      <c r="K510" t="s">
        <v>665</v>
      </c>
      <c r="L510" t="s">
        <v>532</v>
      </c>
      <c r="M510" t="s">
        <v>540</v>
      </c>
      <c r="N510" t="s">
        <v>666</v>
      </c>
      <c r="O510" t="s">
        <v>540</v>
      </c>
      <c r="P510">
        <v>1</v>
      </c>
      <c r="Q510" t="s">
        <v>667</v>
      </c>
      <c r="R510">
        <v>370</v>
      </c>
    </row>
    <row r="511" spans="2:18">
      <c r="B511">
        <v>32</v>
      </c>
      <c r="C511" t="s">
        <v>533</v>
      </c>
      <c r="D511" t="s">
        <v>534</v>
      </c>
      <c r="E511" t="s">
        <v>505</v>
      </c>
      <c r="F511" t="s">
        <v>726</v>
      </c>
      <c r="G511" t="s">
        <v>548</v>
      </c>
      <c r="H511" t="s">
        <v>668</v>
      </c>
      <c r="I511" t="s">
        <v>669</v>
      </c>
      <c r="K511" t="s">
        <v>670</v>
      </c>
      <c r="L511" t="s">
        <v>532</v>
      </c>
      <c r="M511" t="s">
        <v>540</v>
      </c>
      <c r="N511" t="s">
        <v>671</v>
      </c>
      <c r="O511" t="s">
        <v>540</v>
      </c>
      <c r="P511">
        <v>1</v>
      </c>
      <c r="Q511" t="s">
        <v>567</v>
      </c>
      <c r="R511">
        <v>4.7</v>
      </c>
    </row>
    <row r="512" spans="2:18">
      <c r="B512">
        <v>33</v>
      </c>
      <c r="C512" t="s">
        <v>533</v>
      </c>
      <c r="D512" t="s">
        <v>534</v>
      </c>
      <c r="E512" t="s">
        <v>505</v>
      </c>
      <c r="F512" t="s">
        <v>726</v>
      </c>
      <c r="G512" t="s">
        <v>650</v>
      </c>
      <c r="H512" t="s">
        <v>676</v>
      </c>
      <c r="I512" t="s">
        <v>742</v>
      </c>
      <c r="K512" t="s">
        <v>743</v>
      </c>
      <c r="L512" t="s">
        <v>532</v>
      </c>
      <c r="M512" t="s">
        <v>540</v>
      </c>
      <c r="N512" t="s">
        <v>744</v>
      </c>
      <c r="O512" t="s">
        <v>540</v>
      </c>
      <c r="P512">
        <v>1</v>
      </c>
      <c r="Q512" t="s">
        <v>553</v>
      </c>
      <c r="R512">
        <v>55</v>
      </c>
    </row>
    <row r="513" spans="2:18">
      <c r="B513">
        <v>34</v>
      </c>
      <c r="C513" t="s">
        <v>533</v>
      </c>
      <c r="D513" t="s">
        <v>534</v>
      </c>
      <c r="E513" t="s">
        <v>505</v>
      </c>
      <c r="F513" t="s">
        <v>726</v>
      </c>
      <c r="G513" t="s">
        <v>650</v>
      </c>
      <c r="H513" t="s">
        <v>680</v>
      </c>
      <c r="I513" t="s">
        <v>745</v>
      </c>
      <c r="K513" t="s">
        <v>746</v>
      </c>
      <c r="L513" t="s">
        <v>532</v>
      </c>
      <c r="M513" t="s">
        <v>540</v>
      </c>
      <c r="N513" t="s">
        <v>747</v>
      </c>
      <c r="O513" t="s">
        <v>540</v>
      </c>
      <c r="P513">
        <v>1</v>
      </c>
      <c r="Q513" t="s">
        <v>553</v>
      </c>
      <c r="R513">
        <v>47</v>
      </c>
    </row>
    <row r="514" spans="2:18">
      <c r="B514">
        <v>1</v>
      </c>
      <c r="C514" t="s">
        <v>533</v>
      </c>
      <c r="D514" t="s">
        <v>534</v>
      </c>
      <c r="E514" t="s">
        <v>506</v>
      </c>
      <c r="F514" t="s">
        <v>535</v>
      </c>
      <c r="G514" t="s">
        <v>536</v>
      </c>
      <c r="H514" t="s">
        <v>537</v>
      </c>
      <c r="I514" t="s">
        <v>538</v>
      </c>
      <c r="K514" t="s">
        <v>539</v>
      </c>
      <c r="L514" t="s">
        <v>532</v>
      </c>
      <c r="M514" t="s">
        <v>540</v>
      </c>
      <c r="N514" t="s">
        <v>541</v>
      </c>
      <c r="O514" t="s">
        <v>540</v>
      </c>
      <c r="P514">
        <v>1</v>
      </c>
      <c r="Q514" t="s">
        <v>542</v>
      </c>
      <c r="R514">
        <v>920</v>
      </c>
    </row>
    <row r="515" spans="2:18">
      <c r="B515">
        <v>2</v>
      </c>
      <c r="C515" t="s">
        <v>533</v>
      </c>
      <c r="D515" t="s">
        <v>534</v>
      </c>
      <c r="E515" t="s">
        <v>506</v>
      </c>
      <c r="F515" t="s">
        <v>535</v>
      </c>
      <c r="G515" t="s">
        <v>536</v>
      </c>
      <c r="H515" t="s">
        <v>543</v>
      </c>
      <c r="I515" t="s">
        <v>544</v>
      </c>
      <c r="K515" t="s">
        <v>545</v>
      </c>
      <c r="L515" t="s">
        <v>532</v>
      </c>
      <c r="M515" t="s">
        <v>540</v>
      </c>
      <c r="N515" t="s">
        <v>546</v>
      </c>
      <c r="O515" t="s">
        <v>540</v>
      </c>
      <c r="P515">
        <v>1</v>
      </c>
      <c r="Q515" t="s">
        <v>547</v>
      </c>
      <c r="R515">
        <v>380</v>
      </c>
    </row>
    <row r="516" spans="2:18">
      <c r="B516">
        <v>3</v>
      </c>
      <c r="C516" t="s">
        <v>533</v>
      </c>
      <c r="D516" t="s">
        <v>534</v>
      </c>
      <c r="E516" t="s">
        <v>506</v>
      </c>
      <c r="F516" t="s">
        <v>535</v>
      </c>
      <c r="G516" t="s">
        <v>548</v>
      </c>
      <c r="H516" t="s">
        <v>549</v>
      </c>
      <c r="I516" t="s">
        <v>550</v>
      </c>
      <c r="K516" t="s">
        <v>551</v>
      </c>
      <c r="L516" t="s">
        <v>532</v>
      </c>
      <c r="M516" t="s">
        <v>540</v>
      </c>
      <c r="N516" t="s">
        <v>552</v>
      </c>
      <c r="O516" t="s">
        <v>540</v>
      </c>
      <c r="P516">
        <v>1</v>
      </c>
      <c r="Q516" t="s">
        <v>553</v>
      </c>
      <c r="R516">
        <v>14</v>
      </c>
    </row>
    <row r="517" spans="2:18">
      <c r="B517">
        <v>4</v>
      </c>
      <c r="C517" t="s">
        <v>533</v>
      </c>
      <c r="D517" t="s">
        <v>534</v>
      </c>
      <c r="E517" t="s">
        <v>506</v>
      </c>
      <c r="F517" t="s">
        <v>535</v>
      </c>
      <c r="G517" t="s">
        <v>548</v>
      </c>
      <c r="H517" t="s">
        <v>554</v>
      </c>
      <c r="I517" t="s">
        <v>555</v>
      </c>
      <c r="K517" t="s">
        <v>556</v>
      </c>
      <c r="L517" t="s">
        <v>532</v>
      </c>
      <c r="M517" t="s">
        <v>540</v>
      </c>
      <c r="N517" t="s">
        <v>557</v>
      </c>
      <c r="O517" t="s">
        <v>540</v>
      </c>
      <c r="P517">
        <v>1</v>
      </c>
      <c r="Q517" t="s">
        <v>553</v>
      </c>
      <c r="R517">
        <v>33</v>
      </c>
    </row>
    <row r="518" spans="2:18">
      <c r="B518">
        <v>6</v>
      </c>
      <c r="C518" t="s">
        <v>533</v>
      </c>
      <c r="D518" t="s">
        <v>534</v>
      </c>
      <c r="E518" t="s">
        <v>506</v>
      </c>
      <c r="F518" t="s">
        <v>558</v>
      </c>
      <c r="G518" t="s">
        <v>559</v>
      </c>
      <c r="H518" t="s">
        <v>560</v>
      </c>
      <c r="I518" t="s">
        <v>561</v>
      </c>
      <c r="K518" t="s">
        <v>562</v>
      </c>
      <c r="L518" t="s">
        <v>532</v>
      </c>
      <c r="M518" t="s">
        <v>540</v>
      </c>
      <c r="N518" t="s">
        <v>563</v>
      </c>
      <c r="O518" t="s">
        <v>540</v>
      </c>
      <c r="P518">
        <v>1</v>
      </c>
      <c r="Q518" t="s">
        <v>553</v>
      </c>
      <c r="R518">
        <v>223</v>
      </c>
    </row>
    <row r="519" spans="2:18">
      <c r="B519">
        <v>7</v>
      </c>
      <c r="C519" t="s">
        <v>533</v>
      </c>
      <c r="D519" t="s">
        <v>534</v>
      </c>
      <c r="E519" t="s">
        <v>506</v>
      </c>
      <c r="F519" t="s">
        <v>558</v>
      </c>
      <c r="G519" t="s">
        <v>559</v>
      </c>
      <c r="H519" t="s">
        <v>564</v>
      </c>
      <c r="I519" t="s">
        <v>565</v>
      </c>
      <c r="K519" t="s">
        <v>566</v>
      </c>
      <c r="L519" t="s">
        <v>532</v>
      </c>
      <c r="M519" t="s">
        <v>540</v>
      </c>
      <c r="N519" t="s">
        <v>540</v>
      </c>
      <c r="O519" t="s">
        <v>540</v>
      </c>
      <c r="P519">
        <v>1</v>
      </c>
      <c r="Q519" t="s">
        <v>567</v>
      </c>
      <c r="R519">
        <v>640</v>
      </c>
    </row>
    <row r="520" spans="2:18">
      <c r="B520">
        <v>8</v>
      </c>
      <c r="C520" t="s">
        <v>533</v>
      </c>
      <c r="D520" t="s">
        <v>534</v>
      </c>
      <c r="E520" t="s">
        <v>506</v>
      </c>
      <c r="F520" t="s">
        <v>558</v>
      </c>
      <c r="G520" t="s">
        <v>559</v>
      </c>
      <c r="H520" t="s">
        <v>568</v>
      </c>
      <c r="I520" t="s">
        <v>569</v>
      </c>
      <c r="K520" t="s">
        <v>570</v>
      </c>
      <c r="L520" t="s">
        <v>532</v>
      </c>
      <c r="M520" t="s">
        <v>540</v>
      </c>
      <c r="N520" t="s">
        <v>540</v>
      </c>
      <c r="O520" t="s">
        <v>540</v>
      </c>
      <c r="P520">
        <v>1</v>
      </c>
      <c r="Q520" t="s">
        <v>567</v>
      </c>
      <c r="R520">
        <v>425</v>
      </c>
    </row>
    <row r="521" spans="2:18">
      <c r="B521">
        <v>9</v>
      </c>
      <c r="C521" t="s">
        <v>533</v>
      </c>
      <c r="D521" t="s">
        <v>534</v>
      </c>
      <c r="E521" t="s">
        <v>506</v>
      </c>
      <c r="F521" t="s">
        <v>558</v>
      </c>
      <c r="G521" t="s">
        <v>559</v>
      </c>
      <c r="H521" t="s">
        <v>571</v>
      </c>
      <c r="I521" t="s">
        <v>572</v>
      </c>
      <c r="K521" t="s">
        <v>573</v>
      </c>
      <c r="L521" t="s">
        <v>532</v>
      </c>
      <c r="M521" t="s">
        <v>540</v>
      </c>
      <c r="N521" t="s">
        <v>574</v>
      </c>
      <c r="O521" t="s">
        <v>540</v>
      </c>
      <c r="P521">
        <v>1</v>
      </c>
      <c r="Q521" t="s">
        <v>553</v>
      </c>
      <c r="R521">
        <v>959</v>
      </c>
    </row>
    <row r="522" spans="2:18">
      <c r="B522">
        <v>10</v>
      </c>
      <c r="C522" t="s">
        <v>533</v>
      </c>
      <c r="D522" t="s">
        <v>534</v>
      </c>
      <c r="E522" t="s">
        <v>506</v>
      </c>
      <c r="F522" t="s">
        <v>558</v>
      </c>
      <c r="G522" t="s">
        <v>575</v>
      </c>
      <c r="H522" t="s">
        <v>576</v>
      </c>
      <c r="I522" t="s">
        <v>577</v>
      </c>
      <c r="K522" t="s">
        <v>578</v>
      </c>
      <c r="L522" t="s">
        <v>532</v>
      </c>
      <c r="M522" t="s">
        <v>540</v>
      </c>
      <c r="N522" t="s">
        <v>540</v>
      </c>
      <c r="O522" t="s">
        <v>540</v>
      </c>
      <c r="P522">
        <v>1</v>
      </c>
      <c r="Q522" t="s">
        <v>553</v>
      </c>
      <c r="R522">
        <v>1680</v>
      </c>
    </row>
    <row r="523" spans="2:18">
      <c r="B523">
        <v>12</v>
      </c>
      <c r="C523" t="s">
        <v>533</v>
      </c>
      <c r="D523" t="s">
        <v>534</v>
      </c>
      <c r="E523" t="s">
        <v>506</v>
      </c>
      <c r="F523" t="s">
        <v>558</v>
      </c>
      <c r="G523" t="s">
        <v>579</v>
      </c>
      <c r="H523" t="s">
        <v>580</v>
      </c>
      <c r="I523" t="s">
        <v>581</v>
      </c>
      <c r="K523" t="s">
        <v>582</v>
      </c>
      <c r="L523" t="s">
        <v>532</v>
      </c>
      <c r="M523" t="s">
        <v>540</v>
      </c>
      <c r="N523" t="s">
        <v>583</v>
      </c>
      <c r="O523" t="s">
        <v>540</v>
      </c>
      <c r="P523">
        <v>1</v>
      </c>
      <c r="Q523" t="s">
        <v>553</v>
      </c>
      <c r="R523">
        <v>56</v>
      </c>
    </row>
    <row r="524" spans="2:18">
      <c r="B524">
        <v>12</v>
      </c>
      <c r="C524" t="s">
        <v>533</v>
      </c>
      <c r="D524" t="s">
        <v>534</v>
      </c>
      <c r="E524" t="s">
        <v>506</v>
      </c>
      <c r="F524" t="s">
        <v>558</v>
      </c>
      <c r="G524" t="s">
        <v>579</v>
      </c>
      <c r="H524" t="s">
        <v>584</v>
      </c>
      <c r="I524" t="s">
        <v>585</v>
      </c>
      <c r="K524" t="s">
        <v>586</v>
      </c>
      <c r="L524" t="s">
        <v>532</v>
      </c>
      <c r="M524" t="s">
        <v>540</v>
      </c>
      <c r="N524" t="s">
        <v>587</v>
      </c>
      <c r="O524" t="s">
        <v>540</v>
      </c>
      <c r="P524">
        <v>1</v>
      </c>
      <c r="Q524" t="s">
        <v>553</v>
      </c>
      <c r="R524">
        <v>74</v>
      </c>
    </row>
    <row r="525" spans="2:18">
      <c r="B525">
        <v>13</v>
      </c>
      <c r="C525" t="s">
        <v>533</v>
      </c>
      <c r="D525" t="s">
        <v>534</v>
      </c>
      <c r="E525" t="s">
        <v>506</v>
      </c>
      <c r="F525" t="s">
        <v>558</v>
      </c>
      <c r="G525" t="s">
        <v>588</v>
      </c>
      <c r="H525" t="s">
        <v>589</v>
      </c>
      <c r="I525" t="s">
        <v>590</v>
      </c>
      <c r="K525" t="s">
        <v>591</v>
      </c>
      <c r="L525" t="s">
        <v>532</v>
      </c>
      <c r="M525" t="s">
        <v>540</v>
      </c>
      <c r="N525" t="s">
        <v>592</v>
      </c>
      <c r="O525" t="s">
        <v>540</v>
      </c>
      <c r="P525">
        <v>1</v>
      </c>
      <c r="Q525" t="s">
        <v>553</v>
      </c>
      <c r="R525">
        <v>84</v>
      </c>
    </row>
    <row r="526" spans="2:18">
      <c r="B526">
        <v>14</v>
      </c>
      <c r="C526" t="s">
        <v>533</v>
      </c>
      <c r="D526" t="s">
        <v>534</v>
      </c>
      <c r="E526" t="s">
        <v>506</v>
      </c>
      <c r="F526" t="s">
        <v>558</v>
      </c>
      <c r="G526" t="s">
        <v>593</v>
      </c>
      <c r="H526" t="s">
        <v>594</v>
      </c>
      <c r="I526" t="s">
        <v>595</v>
      </c>
      <c r="K526" t="s">
        <v>596</v>
      </c>
      <c r="L526" t="s">
        <v>532</v>
      </c>
      <c r="M526" t="s">
        <v>540</v>
      </c>
      <c r="N526" t="s">
        <v>597</v>
      </c>
      <c r="O526" t="s">
        <v>540</v>
      </c>
      <c r="P526">
        <v>1</v>
      </c>
      <c r="Q526" t="s">
        <v>553</v>
      </c>
      <c r="R526">
        <v>165</v>
      </c>
    </row>
    <row r="527" spans="2:18">
      <c r="B527">
        <v>15</v>
      </c>
      <c r="C527" t="s">
        <v>533</v>
      </c>
      <c r="D527" t="s">
        <v>534</v>
      </c>
      <c r="E527" t="s">
        <v>506</v>
      </c>
      <c r="F527" t="s">
        <v>558</v>
      </c>
      <c r="G527" t="s">
        <v>559</v>
      </c>
      <c r="H527" t="s">
        <v>598</v>
      </c>
      <c r="I527" t="s">
        <v>599</v>
      </c>
      <c r="K527" t="s">
        <v>600</v>
      </c>
      <c r="L527" t="s">
        <v>532</v>
      </c>
      <c r="M527" t="s">
        <v>540</v>
      </c>
      <c r="N527" t="s">
        <v>540</v>
      </c>
      <c r="O527" t="s">
        <v>540</v>
      </c>
      <c r="P527">
        <v>1</v>
      </c>
      <c r="Q527" t="s">
        <v>553</v>
      </c>
      <c r="R527">
        <v>43</v>
      </c>
    </row>
    <row r="528" spans="2:18">
      <c r="B528">
        <v>17</v>
      </c>
      <c r="C528" t="s">
        <v>533</v>
      </c>
      <c r="D528" t="s">
        <v>534</v>
      </c>
      <c r="E528" t="s">
        <v>506</v>
      </c>
      <c r="F528" t="s">
        <v>558</v>
      </c>
      <c r="G528" t="s">
        <v>559</v>
      </c>
      <c r="H528" t="s">
        <v>601</v>
      </c>
      <c r="I528" t="s">
        <v>602</v>
      </c>
      <c r="K528" t="s">
        <v>603</v>
      </c>
      <c r="L528" t="s">
        <v>532</v>
      </c>
      <c r="M528" t="s">
        <v>540</v>
      </c>
      <c r="N528" t="s">
        <v>604</v>
      </c>
      <c r="O528" t="s">
        <v>540</v>
      </c>
      <c r="P528">
        <v>1</v>
      </c>
      <c r="Q528" t="s">
        <v>553</v>
      </c>
      <c r="R528">
        <v>77</v>
      </c>
    </row>
    <row r="529" spans="2:18">
      <c r="B529">
        <v>18</v>
      </c>
      <c r="C529" t="s">
        <v>533</v>
      </c>
      <c r="D529" t="s">
        <v>534</v>
      </c>
      <c r="E529" t="s">
        <v>506</v>
      </c>
      <c r="F529" t="s">
        <v>558</v>
      </c>
      <c r="G529" t="s">
        <v>536</v>
      </c>
      <c r="H529" t="s">
        <v>605</v>
      </c>
      <c r="I529" t="s">
        <v>697</v>
      </c>
      <c r="K529" t="s">
        <v>698</v>
      </c>
      <c r="L529" t="s">
        <v>532</v>
      </c>
      <c r="M529" t="s">
        <v>540</v>
      </c>
      <c r="N529" t="s">
        <v>699</v>
      </c>
      <c r="O529" t="s">
        <v>540</v>
      </c>
      <c r="P529">
        <v>2</v>
      </c>
      <c r="Q529" t="s">
        <v>609</v>
      </c>
      <c r="R529">
        <v>415</v>
      </c>
    </row>
    <row r="530" spans="2:18">
      <c r="B530">
        <v>19</v>
      </c>
      <c r="C530" t="s">
        <v>533</v>
      </c>
      <c r="D530" t="s">
        <v>534</v>
      </c>
      <c r="E530" t="s">
        <v>506</v>
      </c>
      <c r="F530" t="s">
        <v>558</v>
      </c>
      <c r="G530" t="s">
        <v>610</v>
      </c>
      <c r="H530" t="s">
        <v>611</v>
      </c>
      <c r="I530" t="s">
        <v>687</v>
      </c>
      <c r="K530" t="s">
        <v>688</v>
      </c>
      <c r="L530" t="s">
        <v>532</v>
      </c>
      <c r="M530" t="s">
        <v>540</v>
      </c>
      <c r="N530" t="s">
        <v>614</v>
      </c>
      <c r="O530" t="s">
        <v>540</v>
      </c>
      <c r="P530">
        <v>2</v>
      </c>
      <c r="Q530" t="s">
        <v>689</v>
      </c>
      <c r="R530">
        <v>77</v>
      </c>
    </row>
    <row r="531" spans="2:18">
      <c r="B531">
        <v>24</v>
      </c>
      <c r="C531" t="s">
        <v>533</v>
      </c>
      <c r="D531" t="s">
        <v>534</v>
      </c>
      <c r="E531" t="s">
        <v>506</v>
      </c>
      <c r="F531" t="s">
        <v>558</v>
      </c>
      <c r="G531" t="s">
        <v>559</v>
      </c>
      <c r="H531" t="s">
        <v>478</v>
      </c>
      <c r="I531" t="s">
        <v>683</v>
      </c>
      <c r="K531" t="s">
        <v>684</v>
      </c>
      <c r="L531" t="s">
        <v>532</v>
      </c>
      <c r="M531" t="s">
        <v>540</v>
      </c>
      <c r="N531" t="s">
        <v>685</v>
      </c>
      <c r="O531" t="s">
        <v>540</v>
      </c>
      <c r="P531">
        <v>1</v>
      </c>
      <c r="Q531" t="s">
        <v>567</v>
      </c>
      <c r="R531">
        <v>331</v>
      </c>
    </row>
    <row r="532" spans="2:18">
      <c r="B532">
        <v>25</v>
      </c>
      <c r="C532" t="s">
        <v>533</v>
      </c>
      <c r="D532" t="s">
        <v>534</v>
      </c>
      <c r="E532" t="s">
        <v>506</v>
      </c>
      <c r="F532" t="s">
        <v>558</v>
      </c>
      <c r="G532" t="s">
        <v>559</v>
      </c>
      <c r="H532" t="s">
        <v>622</v>
      </c>
      <c r="I532" t="s">
        <v>623</v>
      </c>
      <c r="K532" t="s">
        <v>624</v>
      </c>
      <c r="L532" t="s">
        <v>532</v>
      </c>
      <c r="M532" t="s">
        <v>540</v>
      </c>
      <c r="N532" t="s">
        <v>625</v>
      </c>
      <c r="O532" t="s">
        <v>540</v>
      </c>
      <c r="P532">
        <v>1</v>
      </c>
      <c r="Q532" t="s">
        <v>547</v>
      </c>
      <c r="R532">
        <v>92</v>
      </c>
    </row>
    <row r="533" spans="2:18">
      <c r="B533">
        <v>26</v>
      </c>
      <c r="C533" t="s">
        <v>533</v>
      </c>
      <c r="D533" t="s">
        <v>534</v>
      </c>
      <c r="E533" t="s">
        <v>506</v>
      </c>
      <c r="F533" t="s">
        <v>67</v>
      </c>
      <c r="G533" t="s">
        <v>610</v>
      </c>
      <c r="H533" t="s">
        <v>748</v>
      </c>
      <c r="I533" t="s">
        <v>749</v>
      </c>
      <c r="K533" t="s">
        <v>750</v>
      </c>
      <c r="L533" t="s">
        <v>532</v>
      </c>
      <c r="M533" t="s">
        <v>540</v>
      </c>
      <c r="N533" t="s">
        <v>751</v>
      </c>
      <c r="O533" t="s">
        <v>540</v>
      </c>
      <c r="P533">
        <v>1</v>
      </c>
      <c r="Q533" t="s">
        <v>689</v>
      </c>
      <c r="R533">
        <v>77</v>
      </c>
    </row>
    <row r="534" spans="2:18">
      <c r="B534">
        <v>27</v>
      </c>
      <c r="C534" t="s">
        <v>533</v>
      </c>
      <c r="D534" t="s">
        <v>534</v>
      </c>
      <c r="E534" t="s">
        <v>506</v>
      </c>
      <c r="F534" t="s">
        <v>67</v>
      </c>
      <c r="G534" t="s">
        <v>536</v>
      </c>
      <c r="H534" t="s">
        <v>752</v>
      </c>
      <c r="I534" t="s">
        <v>753</v>
      </c>
      <c r="K534" t="s">
        <v>754</v>
      </c>
      <c r="L534" t="s">
        <v>532</v>
      </c>
      <c r="M534" t="s">
        <v>540</v>
      </c>
      <c r="N534" t="s">
        <v>755</v>
      </c>
      <c r="O534" t="s">
        <v>540</v>
      </c>
      <c r="P534">
        <v>1</v>
      </c>
      <c r="Q534" t="s">
        <v>609</v>
      </c>
      <c r="R534">
        <v>439</v>
      </c>
    </row>
    <row r="535" spans="2:18">
      <c r="B535">
        <v>20</v>
      </c>
      <c r="C535" t="s">
        <v>533</v>
      </c>
      <c r="D535" t="s">
        <v>534</v>
      </c>
      <c r="E535" t="s">
        <v>506</v>
      </c>
      <c r="F535" t="s">
        <v>67</v>
      </c>
      <c r="G535" t="s">
        <v>559</v>
      </c>
      <c r="H535" t="s">
        <v>477</v>
      </c>
      <c r="I535" t="s">
        <v>616</v>
      </c>
      <c r="K535" t="s">
        <v>617</v>
      </c>
      <c r="L535" t="s">
        <v>532</v>
      </c>
      <c r="M535" t="s">
        <v>540</v>
      </c>
      <c r="N535" t="s">
        <v>540</v>
      </c>
      <c r="O535" t="s">
        <v>540</v>
      </c>
      <c r="P535">
        <v>1</v>
      </c>
      <c r="Q535" t="s">
        <v>618</v>
      </c>
      <c r="R535">
        <v>875</v>
      </c>
    </row>
    <row r="536" spans="2:18">
      <c r="B536">
        <v>28</v>
      </c>
      <c r="C536" t="s">
        <v>533</v>
      </c>
      <c r="D536" t="s">
        <v>534</v>
      </c>
      <c r="E536" t="s">
        <v>506</v>
      </c>
      <c r="F536" t="s">
        <v>67</v>
      </c>
      <c r="G536" t="s">
        <v>579</v>
      </c>
      <c r="H536" t="s">
        <v>756</v>
      </c>
      <c r="I536" t="s">
        <v>757</v>
      </c>
      <c r="K536" t="s">
        <v>758</v>
      </c>
      <c r="L536" t="s">
        <v>532</v>
      </c>
      <c r="M536" t="s">
        <v>540</v>
      </c>
      <c r="N536" t="s">
        <v>759</v>
      </c>
      <c r="O536" t="s">
        <v>540</v>
      </c>
      <c r="P536">
        <v>1</v>
      </c>
      <c r="Q536" t="s">
        <v>553</v>
      </c>
      <c r="R536">
        <v>48</v>
      </c>
    </row>
    <row r="537" spans="2:18">
      <c r="B537">
        <v>29</v>
      </c>
      <c r="C537" t="s">
        <v>533</v>
      </c>
      <c r="D537" t="s">
        <v>534</v>
      </c>
      <c r="E537" t="s">
        <v>506</v>
      </c>
      <c r="F537" t="s">
        <v>67</v>
      </c>
      <c r="G537" t="s">
        <v>559</v>
      </c>
      <c r="H537" t="s">
        <v>626</v>
      </c>
      <c r="I537" t="s">
        <v>627</v>
      </c>
      <c r="K537" t="s">
        <v>628</v>
      </c>
      <c r="L537" t="s">
        <v>532</v>
      </c>
      <c r="M537" t="s">
        <v>540</v>
      </c>
      <c r="N537" t="s">
        <v>540</v>
      </c>
      <c r="O537" t="s">
        <v>540</v>
      </c>
      <c r="P537">
        <v>1</v>
      </c>
      <c r="Q537" t="s">
        <v>629</v>
      </c>
      <c r="R537">
        <v>58</v>
      </c>
    </row>
    <row r="538" spans="2:18">
      <c r="B538">
        <v>38</v>
      </c>
      <c r="C538" t="s">
        <v>533</v>
      </c>
      <c r="D538" t="s">
        <v>534</v>
      </c>
      <c r="E538" t="s">
        <v>506</v>
      </c>
      <c r="F538" t="s">
        <v>67</v>
      </c>
      <c r="G538" t="s">
        <v>760</v>
      </c>
      <c r="H538" t="s">
        <v>761</v>
      </c>
      <c r="I538" t="s">
        <v>762</v>
      </c>
      <c r="K538" t="s">
        <v>763</v>
      </c>
      <c r="L538" t="s">
        <v>532</v>
      </c>
      <c r="M538" t="s">
        <v>540</v>
      </c>
      <c r="N538" t="s">
        <v>540</v>
      </c>
      <c r="O538" t="s">
        <v>540</v>
      </c>
      <c r="P538">
        <v>2</v>
      </c>
      <c r="Q538" t="s">
        <v>553</v>
      </c>
      <c r="R538">
        <v>6</v>
      </c>
    </row>
    <row r="539" spans="2:18">
      <c r="B539">
        <v>38</v>
      </c>
      <c r="C539" t="s">
        <v>533</v>
      </c>
      <c r="D539" t="s">
        <v>534</v>
      </c>
      <c r="E539" t="s">
        <v>506</v>
      </c>
      <c r="F539" t="s">
        <v>67</v>
      </c>
      <c r="G539" t="s">
        <v>575</v>
      </c>
      <c r="H539" t="s">
        <v>663</v>
      </c>
      <c r="I539" t="s">
        <v>664</v>
      </c>
      <c r="K539" t="s">
        <v>665</v>
      </c>
      <c r="L539" t="s">
        <v>532</v>
      </c>
      <c r="M539" t="s">
        <v>540</v>
      </c>
      <c r="N539" t="s">
        <v>666</v>
      </c>
      <c r="O539" t="s">
        <v>540</v>
      </c>
      <c r="P539">
        <v>1</v>
      </c>
      <c r="Q539" t="s">
        <v>667</v>
      </c>
      <c r="R539">
        <v>370</v>
      </c>
    </row>
    <row r="540" spans="2:18">
      <c r="B540">
        <v>30</v>
      </c>
      <c r="C540" t="s">
        <v>533</v>
      </c>
      <c r="D540" t="s">
        <v>534</v>
      </c>
      <c r="E540" t="s">
        <v>506</v>
      </c>
      <c r="F540" t="s">
        <v>67</v>
      </c>
      <c r="G540" t="s">
        <v>764</v>
      </c>
      <c r="H540" t="s">
        <v>765</v>
      </c>
      <c r="I540" t="s">
        <v>766</v>
      </c>
      <c r="K540" t="s">
        <v>767</v>
      </c>
      <c r="L540" t="s">
        <v>532</v>
      </c>
      <c r="M540" t="s">
        <v>540</v>
      </c>
      <c r="N540" t="s">
        <v>768</v>
      </c>
      <c r="O540" t="s">
        <v>540</v>
      </c>
      <c r="P540">
        <v>1</v>
      </c>
      <c r="Q540" t="s">
        <v>689</v>
      </c>
      <c r="R540">
        <v>288</v>
      </c>
    </row>
    <row r="541" spans="2:18">
      <c r="B541">
        <v>23</v>
      </c>
      <c r="C541" t="s">
        <v>533</v>
      </c>
      <c r="D541" t="s">
        <v>534</v>
      </c>
      <c r="E541" t="s">
        <v>506</v>
      </c>
      <c r="F541" t="s">
        <v>630</v>
      </c>
      <c r="G541" t="s">
        <v>593</v>
      </c>
      <c r="H541" t="s">
        <v>631</v>
      </c>
      <c r="I541" t="s">
        <v>632</v>
      </c>
      <c r="K541" t="s">
        <v>633</v>
      </c>
      <c r="L541" t="s">
        <v>532</v>
      </c>
      <c r="M541" t="s">
        <v>540</v>
      </c>
      <c r="N541" t="s">
        <v>540</v>
      </c>
      <c r="O541" t="s">
        <v>540</v>
      </c>
      <c r="P541">
        <v>1</v>
      </c>
      <c r="Q541" t="s">
        <v>553</v>
      </c>
      <c r="R541">
        <v>41</v>
      </c>
    </row>
    <row r="542" spans="2:18">
      <c r="B542">
        <v>31</v>
      </c>
      <c r="C542" t="s">
        <v>533</v>
      </c>
      <c r="D542" t="s">
        <v>534</v>
      </c>
      <c r="E542" t="s">
        <v>506</v>
      </c>
      <c r="F542" t="s">
        <v>630</v>
      </c>
      <c r="G542" t="s">
        <v>536</v>
      </c>
      <c r="H542" t="s">
        <v>634</v>
      </c>
      <c r="I542" t="s">
        <v>635</v>
      </c>
      <c r="K542" t="s">
        <v>636</v>
      </c>
      <c r="L542" t="s">
        <v>532</v>
      </c>
      <c r="M542" t="s">
        <v>540</v>
      </c>
      <c r="N542" t="s">
        <v>637</v>
      </c>
      <c r="O542" t="s">
        <v>540</v>
      </c>
      <c r="P542">
        <v>1</v>
      </c>
      <c r="Q542" t="s">
        <v>609</v>
      </c>
      <c r="R542">
        <v>290</v>
      </c>
    </row>
    <row r="543" spans="2:18">
      <c r="B543">
        <v>32</v>
      </c>
      <c r="C543" t="s">
        <v>533</v>
      </c>
      <c r="D543" t="s">
        <v>534</v>
      </c>
      <c r="E543" t="s">
        <v>506</v>
      </c>
      <c r="F543" t="s">
        <v>630</v>
      </c>
      <c r="G543" t="s">
        <v>575</v>
      </c>
      <c r="H543" t="s">
        <v>638</v>
      </c>
      <c r="I543" t="s">
        <v>639</v>
      </c>
      <c r="K543" t="s">
        <v>640</v>
      </c>
      <c r="L543" t="s">
        <v>532</v>
      </c>
      <c r="M543" t="s">
        <v>540</v>
      </c>
      <c r="N543" t="s">
        <v>641</v>
      </c>
      <c r="O543" t="s">
        <v>540</v>
      </c>
      <c r="P543">
        <v>1</v>
      </c>
      <c r="Q543" t="s">
        <v>553</v>
      </c>
      <c r="R543">
        <v>100</v>
      </c>
    </row>
    <row r="544" spans="2:18">
      <c r="B544">
        <v>33</v>
      </c>
      <c r="C544" t="s">
        <v>533</v>
      </c>
      <c r="D544" t="s">
        <v>534</v>
      </c>
      <c r="E544" t="s">
        <v>506</v>
      </c>
      <c r="F544" t="s">
        <v>630</v>
      </c>
      <c r="G544" t="s">
        <v>559</v>
      </c>
      <c r="H544" t="s">
        <v>642</v>
      </c>
      <c r="I544" t="s">
        <v>643</v>
      </c>
      <c r="K544" t="s">
        <v>644</v>
      </c>
      <c r="L544" t="s">
        <v>532</v>
      </c>
      <c r="M544" t="s">
        <v>540</v>
      </c>
      <c r="N544" t="s">
        <v>645</v>
      </c>
      <c r="O544" t="s">
        <v>540</v>
      </c>
      <c r="P544">
        <v>1</v>
      </c>
      <c r="Q544" t="s">
        <v>646</v>
      </c>
      <c r="R544">
        <v>55</v>
      </c>
    </row>
    <row r="545" spans="2:18">
      <c r="B545">
        <v>34</v>
      </c>
      <c r="C545" t="s">
        <v>533</v>
      </c>
      <c r="D545" t="s">
        <v>534</v>
      </c>
      <c r="E545" t="s">
        <v>506</v>
      </c>
      <c r="F545" t="s">
        <v>630</v>
      </c>
      <c r="G545" t="s">
        <v>579</v>
      </c>
      <c r="H545" t="s">
        <v>647</v>
      </c>
      <c r="I545" t="s">
        <v>648</v>
      </c>
      <c r="K545" t="s">
        <v>649</v>
      </c>
      <c r="L545" t="s">
        <v>532</v>
      </c>
      <c r="M545" t="s">
        <v>540</v>
      </c>
      <c r="N545" t="s">
        <v>592</v>
      </c>
      <c r="O545" t="s">
        <v>540</v>
      </c>
      <c r="P545">
        <v>1</v>
      </c>
      <c r="Q545" t="s">
        <v>553</v>
      </c>
      <c r="R545">
        <v>66.26</v>
      </c>
    </row>
    <row r="546" spans="2:18">
      <c r="B546">
        <v>35</v>
      </c>
      <c r="C546" t="s">
        <v>533</v>
      </c>
      <c r="D546" t="s">
        <v>534</v>
      </c>
      <c r="E546" t="s">
        <v>506</v>
      </c>
      <c r="F546" t="s">
        <v>630</v>
      </c>
      <c r="G546" t="s">
        <v>650</v>
      </c>
      <c r="H546" t="s">
        <v>651</v>
      </c>
      <c r="I546" t="s">
        <v>652</v>
      </c>
      <c r="K546" t="s">
        <v>653</v>
      </c>
      <c r="L546" t="s">
        <v>532</v>
      </c>
      <c r="M546" t="s">
        <v>540</v>
      </c>
      <c r="N546" t="s">
        <v>654</v>
      </c>
      <c r="O546" t="s">
        <v>540</v>
      </c>
      <c r="P546">
        <v>1</v>
      </c>
      <c r="Q546" t="s">
        <v>553</v>
      </c>
      <c r="R546">
        <v>101</v>
      </c>
    </row>
    <row r="547" spans="2:18">
      <c r="B547">
        <v>36</v>
      </c>
      <c r="C547" t="s">
        <v>533</v>
      </c>
      <c r="D547" t="s">
        <v>534</v>
      </c>
      <c r="E547" t="s">
        <v>506</v>
      </c>
      <c r="F547" t="s">
        <v>630</v>
      </c>
      <c r="G547" t="s">
        <v>650</v>
      </c>
      <c r="H547" t="s">
        <v>655</v>
      </c>
      <c r="I547" t="s">
        <v>656</v>
      </c>
      <c r="K547" t="s">
        <v>657</v>
      </c>
      <c r="L547" t="s">
        <v>532</v>
      </c>
      <c r="M547" t="s">
        <v>540</v>
      </c>
      <c r="N547" t="s">
        <v>658</v>
      </c>
      <c r="O547" t="s">
        <v>540</v>
      </c>
      <c r="P547">
        <v>1</v>
      </c>
      <c r="Q547" t="s">
        <v>553</v>
      </c>
      <c r="R547">
        <v>418</v>
      </c>
    </row>
    <row r="548" spans="2:18">
      <c r="B548">
        <v>37</v>
      </c>
      <c r="C548" t="s">
        <v>533</v>
      </c>
      <c r="D548" t="s">
        <v>534</v>
      </c>
      <c r="E548" t="s">
        <v>506</v>
      </c>
      <c r="F548" t="s">
        <v>630</v>
      </c>
      <c r="G548" t="s">
        <v>650</v>
      </c>
      <c r="H548" t="s">
        <v>659</v>
      </c>
      <c r="I548" t="s">
        <v>660</v>
      </c>
      <c r="K548" t="s">
        <v>661</v>
      </c>
      <c r="L548" t="s">
        <v>532</v>
      </c>
      <c r="M548" t="s">
        <v>540</v>
      </c>
      <c r="N548" t="s">
        <v>662</v>
      </c>
      <c r="O548" t="s">
        <v>540</v>
      </c>
      <c r="P548">
        <v>1</v>
      </c>
      <c r="Q548" t="s">
        <v>553</v>
      </c>
      <c r="R548">
        <v>37</v>
      </c>
    </row>
    <row r="549" spans="2:18">
      <c r="B549">
        <v>39</v>
      </c>
      <c r="C549" t="s">
        <v>533</v>
      </c>
      <c r="D549" t="s">
        <v>534</v>
      </c>
      <c r="E549" t="s">
        <v>506</v>
      </c>
      <c r="F549" t="s">
        <v>630</v>
      </c>
      <c r="G549" t="s">
        <v>548</v>
      </c>
      <c r="H549" t="s">
        <v>668</v>
      </c>
      <c r="I549" t="s">
        <v>669</v>
      </c>
      <c r="K549" t="s">
        <v>670</v>
      </c>
      <c r="L549" t="s">
        <v>532</v>
      </c>
      <c r="M549" t="s">
        <v>540</v>
      </c>
      <c r="N549" t="s">
        <v>671</v>
      </c>
      <c r="O549" t="s">
        <v>540</v>
      </c>
      <c r="P549">
        <v>1</v>
      </c>
      <c r="Q549" t="s">
        <v>567</v>
      </c>
      <c r="R549">
        <v>4.7</v>
      </c>
    </row>
    <row r="550" spans="2:18">
      <c r="B550">
        <v>40</v>
      </c>
      <c r="C550" t="s">
        <v>533</v>
      </c>
      <c r="D550" t="s">
        <v>534</v>
      </c>
      <c r="E550" t="s">
        <v>506</v>
      </c>
      <c r="F550" t="s">
        <v>630</v>
      </c>
      <c r="G550" t="s">
        <v>650</v>
      </c>
      <c r="H550" t="s">
        <v>672</v>
      </c>
      <c r="I550" t="s">
        <v>673</v>
      </c>
      <c r="K550" t="s">
        <v>674</v>
      </c>
      <c r="L550" t="s">
        <v>532</v>
      </c>
      <c r="M550" t="s">
        <v>540</v>
      </c>
      <c r="N550" t="s">
        <v>675</v>
      </c>
      <c r="O550" t="s">
        <v>540</v>
      </c>
      <c r="P550">
        <v>1</v>
      </c>
      <c r="Q550" t="s">
        <v>618</v>
      </c>
      <c r="R550">
        <v>370</v>
      </c>
    </row>
    <row r="551" spans="2:18">
      <c r="B551">
        <v>41</v>
      </c>
      <c r="C551" t="s">
        <v>533</v>
      </c>
      <c r="D551" t="s">
        <v>534</v>
      </c>
      <c r="E551" t="s">
        <v>506</v>
      </c>
      <c r="F551" t="s">
        <v>630</v>
      </c>
      <c r="G551" t="s">
        <v>650</v>
      </c>
      <c r="H551" t="s">
        <v>676</v>
      </c>
      <c r="I551" t="s">
        <v>677</v>
      </c>
      <c r="K551" t="s">
        <v>678</v>
      </c>
      <c r="L551" t="s">
        <v>532</v>
      </c>
      <c r="M551" t="s">
        <v>540</v>
      </c>
      <c r="N551" t="s">
        <v>679</v>
      </c>
      <c r="O551" t="s">
        <v>540</v>
      </c>
      <c r="P551">
        <v>1</v>
      </c>
      <c r="Q551" t="s">
        <v>553</v>
      </c>
      <c r="R551">
        <v>39.5</v>
      </c>
    </row>
    <row r="552" spans="2:18">
      <c r="B552">
        <v>42</v>
      </c>
      <c r="C552" t="s">
        <v>533</v>
      </c>
      <c r="D552" t="s">
        <v>534</v>
      </c>
      <c r="E552" t="s">
        <v>506</v>
      </c>
      <c r="F552" t="s">
        <v>630</v>
      </c>
      <c r="G552" t="s">
        <v>650</v>
      </c>
      <c r="H552" t="s">
        <v>680</v>
      </c>
      <c r="I552" t="s">
        <v>681</v>
      </c>
      <c r="K552" t="s">
        <v>682</v>
      </c>
      <c r="L552" t="s">
        <v>532</v>
      </c>
      <c r="M552" t="s">
        <v>540</v>
      </c>
      <c r="N552" t="s">
        <v>679</v>
      </c>
      <c r="O552" t="s">
        <v>540</v>
      </c>
      <c r="P552">
        <v>1</v>
      </c>
      <c r="Q552" t="s">
        <v>553</v>
      </c>
      <c r="R552">
        <v>17.2</v>
      </c>
    </row>
    <row r="553" spans="2:18">
      <c r="B553">
        <v>1</v>
      </c>
      <c r="C553" t="s">
        <v>533</v>
      </c>
      <c r="D553" t="s">
        <v>534</v>
      </c>
      <c r="E553" t="s">
        <v>507</v>
      </c>
      <c r="F553" t="s">
        <v>535</v>
      </c>
      <c r="G553" t="s">
        <v>536</v>
      </c>
      <c r="H553" t="s">
        <v>537</v>
      </c>
      <c r="I553" t="s">
        <v>538</v>
      </c>
      <c r="K553" t="s">
        <v>539</v>
      </c>
      <c r="L553" t="s">
        <v>532</v>
      </c>
      <c r="M553" t="s">
        <v>540</v>
      </c>
      <c r="N553" t="s">
        <v>541</v>
      </c>
      <c r="O553" t="s">
        <v>540</v>
      </c>
      <c r="P553">
        <v>1</v>
      </c>
      <c r="Q553" t="s">
        <v>542</v>
      </c>
      <c r="R553">
        <v>920</v>
      </c>
    </row>
    <row r="554" spans="2:18">
      <c r="B554">
        <v>2</v>
      </c>
      <c r="C554" t="s">
        <v>533</v>
      </c>
      <c r="D554" t="s">
        <v>534</v>
      </c>
      <c r="E554" t="s">
        <v>507</v>
      </c>
      <c r="F554" t="s">
        <v>535</v>
      </c>
      <c r="G554" t="s">
        <v>536</v>
      </c>
      <c r="H554" t="s">
        <v>543</v>
      </c>
      <c r="I554" t="s">
        <v>544</v>
      </c>
      <c r="K554" t="s">
        <v>545</v>
      </c>
      <c r="L554" t="s">
        <v>532</v>
      </c>
      <c r="M554" t="s">
        <v>540</v>
      </c>
      <c r="N554" t="s">
        <v>546</v>
      </c>
      <c r="O554" t="s">
        <v>540</v>
      </c>
      <c r="P554">
        <v>1</v>
      </c>
      <c r="Q554" t="s">
        <v>547</v>
      </c>
      <c r="R554">
        <v>380</v>
      </c>
    </row>
    <row r="555" spans="2:18">
      <c r="B555">
        <v>3</v>
      </c>
      <c r="C555" t="s">
        <v>533</v>
      </c>
      <c r="D555" t="s">
        <v>534</v>
      </c>
      <c r="E555" t="s">
        <v>507</v>
      </c>
      <c r="F555" t="s">
        <v>535</v>
      </c>
      <c r="G555" t="s">
        <v>548</v>
      </c>
      <c r="H555" t="s">
        <v>549</v>
      </c>
      <c r="I555" t="s">
        <v>550</v>
      </c>
      <c r="K555" t="s">
        <v>551</v>
      </c>
      <c r="L555" t="s">
        <v>532</v>
      </c>
      <c r="M555" t="s">
        <v>540</v>
      </c>
      <c r="N555" t="s">
        <v>552</v>
      </c>
      <c r="O555" t="s">
        <v>540</v>
      </c>
      <c r="P555">
        <v>1</v>
      </c>
      <c r="Q555" t="s">
        <v>553</v>
      </c>
      <c r="R555">
        <v>14</v>
      </c>
    </row>
    <row r="556" spans="2:18">
      <c r="B556">
        <v>4</v>
      </c>
      <c r="C556" t="s">
        <v>533</v>
      </c>
      <c r="D556" t="s">
        <v>534</v>
      </c>
      <c r="E556" t="s">
        <v>507</v>
      </c>
      <c r="F556" t="s">
        <v>535</v>
      </c>
      <c r="G556" t="s">
        <v>548</v>
      </c>
      <c r="H556" t="s">
        <v>554</v>
      </c>
      <c r="I556" t="s">
        <v>555</v>
      </c>
      <c r="K556" t="s">
        <v>556</v>
      </c>
      <c r="L556" t="s">
        <v>532</v>
      </c>
      <c r="M556" t="s">
        <v>540</v>
      </c>
      <c r="N556" t="s">
        <v>557</v>
      </c>
      <c r="O556" t="s">
        <v>540</v>
      </c>
      <c r="P556">
        <v>1</v>
      </c>
      <c r="Q556" t="s">
        <v>553</v>
      </c>
      <c r="R556">
        <v>33</v>
      </c>
    </row>
    <row r="557" spans="2:18">
      <c r="B557">
        <v>6</v>
      </c>
      <c r="C557" t="s">
        <v>533</v>
      </c>
      <c r="D557" t="s">
        <v>534</v>
      </c>
      <c r="E557" t="s">
        <v>507</v>
      </c>
      <c r="F557" t="s">
        <v>558</v>
      </c>
      <c r="G557" t="s">
        <v>559</v>
      </c>
      <c r="H557" t="s">
        <v>560</v>
      </c>
      <c r="I557" t="s">
        <v>561</v>
      </c>
      <c r="K557" t="s">
        <v>562</v>
      </c>
      <c r="L557" t="s">
        <v>532</v>
      </c>
      <c r="M557" t="s">
        <v>540</v>
      </c>
      <c r="N557" t="s">
        <v>563</v>
      </c>
      <c r="O557" t="s">
        <v>540</v>
      </c>
      <c r="P557">
        <v>1</v>
      </c>
      <c r="Q557" t="s">
        <v>553</v>
      </c>
      <c r="R557">
        <v>223</v>
      </c>
    </row>
    <row r="558" spans="2:18">
      <c r="B558">
        <v>7</v>
      </c>
      <c r="C558" t="s">
        <v>533</v>
      </c>
      <c r="D558" t="s">
        <v>534</v>
      </c>
      <c r="E558" t="s">
        <v>507</v>
      </c>
      <c r="F558" t="s">
        <v>558</v>
      </c>
      <c r="G558" t="s">
        <v>559</v>
      </c>
      <c r="H558" t="s">
        <v>564</v>
      </c>
      <c r="I558" t="s">
        <v>565</v>
      </c>
      <c r="K558" t="s">
        <v>566</v>
      </c>
      <c r="L558" t="s">
        <v>532</v>
      </c>
      <c r="M558" t="s">
        <v>540</v>
      </c>
      <c r="N558" t="s">
        <v>540</v>
      </c>
      <c r="O558" t="s">
        <v>540</v>
      </c>
      <c r="P558">
        <v>1</v>
      </c>
      <c r="Q558" t="s">
        <v>567</v>
      </c>
      <c r="R558">
        <v>640</v>
      </c>
    </row>
    <row r="559" spans="2:18">
      <c r="B559">
        <v>8</v>
      </c>
      <c r="C559" t="s">
        <v>533</v>
      </c>
      <c r="D559" t="s">
        <v>534</v>
      </c>
      <c r="E559" t="s">
        <v>507</v>
      </c>
      <c r="F559" t="s">
        <v>558</v>
      </c>
      <c r="G559" t="s">
        <v>559</v>
      </c>
      <c r="H559" t="s">
        <v>568</v>
      </c>
      <c r="I559" t="s">
        <v>569</v>
      </c>
      <c r="K559" t="s">
        <v>570</v>
      </c>
      <c r="L559" t="s">
        <v>532</v>
      </c>
      <c r="M559" t="s">
        <v>540</v>
      </c>
      <c r="N559" t="s">
        <v>540</v>
      </c>
      <c r="O559" t="s">
        <v>540</v>
      </c>
      <c r="P559">
        <v>1</v>
      </c>
      <c r="Q559" t="s">
        <v>567</v>
      </c>
      <c r="R559">
        <v>425</v>
      </c>
    </row>
    <row r="560" spans="2:18">
      <c r="B560">
        <v>9</v>
      </c>
      <c r="C560" t="s">
        <v>533</v>
      </c>
      <c r="D560" t="s">
        <v>534</v>
      </c>
      <c r="E560" t="s">
        <v>507</v>
      </c>
      <c r="F560" t="s">
        <v>558</v>
      </c>
      <c r="G560" t="s">
        <v>559</v>
      </c>
      <c r="H560" t="s">
        <v>571</v>
      </c>
      <c r="I560" t="s">
        <v>572</v>
      </c>
      <c r="K560" t="s">
        <v>573</v>
      </c>
      <c r="L560" t="s">
        <v>532</v>
      </c>
      <c r="M560" t="s">
        <v>540</v>
      </c>
      <c r="N560" t="s">
        <v>574</v>
      </c>
      <c r="O560" t="s">
        <v>540</v>
      </c>
      <c r="P560">
        <v>1</v>
      </c>
      <c r="Q560" t="s">
        <v>553</v>
      </c>
      <c r="R560">
        <v>959</v>
      </c>
    </row>
    <row r="561" spans="2:18">
      <c r="B561">
        <v>10</v>
      </c>
      <c r="C561" t="s">
        <v>533</v>
      </c>
      <c r="D561" t="s">
        <v>534</v>
      </c>
      <c r="E561" t="s">
        <v>507</v>
      </c>
      <c r="F561" t="s">
        <v>558</v>
      </c>
      <c r="G561" t="s">
        <v>575</v>
      </c>
      <c r="H561" t="s">
        <v>576</v>
      </c>
      <c r="I561" t="s">
        <v>577</v>
      </c>
      <c r="K561" t="s">
        <v>578</v>
      </c>
      <c r="L561" t="s">
        <v>532</v>
      </c>
      <c r="M561" t="s">
        <v>540</v>
      </c>
      <c r="N561" t="s">
        <v>540</v>
      </c>
      <c r="O561" t="s">
        <v>540</v>
      </c>
      <c r="P561">
        <v>1</v>
      </c>
      <c r="Q561" t="s">
        <v>553</v>
      </c>
      <c r="R561">
        <v>1680</v>
      </c>
    </row>
    <row r="562" spans="2:18">
      <c r="B562">
        <v>12</v>
      </c>
      <c r="C562" t="s">
        <v>533</v>
      </c>
      <c r="D562" t="s">
        <v>534</v>
      </c>
      <c r="E562" t="s">
        <v>507</v>
      </c>
      <c r="F562" t="s">
        <v>558</v>
      </c>
      <c r="G562" t="s">
        <v>579</v>
      </c>
      <c r="H562" t="s">
        <v>580</v>
      </c>
      <c r="I562" t="s">
        <v>581</v>
      </c>
      <c r="K562" t="s">
        <v>582</v>
      </c>
      <c r="L562" t="s">
        <v>532</v>
      </c>
      <c r="M562" t="s">
        <v>540</v>
      </c>
      <c r="N562" t="s">
        <v>583</v>
      </c>
      <c r="O562" t="s">
        <v>540</v>
      </c>
      <c r="P562">
        <v>1</v>
      </c>
      <c r="Q562" t="s">
        <v>553</v>
      </c>
      <c r="R562">
        <v>56</v>
      </c>
    </row>
    <row r="563" spans="2:18">
      <c r="B563">
        <v>12</v>
      </c>
      <c r="C563" t="s">
        <v>533</v>
      </c>
      <c r="D563" t="s">
        <v>534</v>
      </c>
      <c r="E563" t="s">
        <v>507</v>
      </c>
      <c r="F563" t="s">
        <v>558</v>
      </c>
      <c r="G563" t="s">
        <v>579</v>
      </c>
      <c r="H563" t="s">
        <v>584</v>
      </c>
      <c r="I563" t="s">
        <v>585</v>
      </c>
      <c r="K563" t="s">
        <v>586</v>
      </c>
      <c r="L563" t="s">
        <v>532</v>
      </c>
      <c r="M563" t="s">
        <v>540</v>
      </c>
      <c r="N563" t="s">
        <v>587</v>
      </c>
      <c r="O563" t="s">
        <v>540</v>
      </c>
      <c r="P563">
        <v>1</v>
      </c>
      <c r="Q563" t="s">
        <v>553</v>
      </c>
      <c r="R563">
        <v>74</v>
      </c>
    </row>
    <row r="564" spans="2:18">
      <c r="B564">
        <v>13</v>
      </c>
      <c r="C564" t="s">
        <v>533</v>
      </c>
      <c r="D564" t="s">
        <v>534</v>
      </c>
      <c r="E564" t="s">
        <v>507</v>
      </c>
      <c r="F564" t="s">
        <v>558</v>
      </c>
      <c r="G564" t="s">
        <v>588</v>
      </c>
      <c r="H564" t="s">
        <v>589</v>
      </c>
      <c r="I564" t="s">
        <v>590</v>
      </c>
      <c r="K564" t="s">
        <v>591</v>
      </c>
      <c r="L564" t="s">
        <v>532</v>
      </c>
      <c r="M564" t="s">
        <v>540</v>
      </c>
      <c r="N564" t="s">
        <v>592</v>
      </c>
      <c r="O564" t="s">
        <v>540</v>
      </c>
      <c r="P564">
        <v>1</v>
      </c>
      <c r="Q564" t="s">
        <v>553</v>
      </c>
      <c r="R564">
        <v>84</v>
      </c>
    </row>
    <row r="565" spans="2:18">
      <c r="B565">
        <v>14</v>
      </c>
      <c r="C565" t="s">
        <v>533</v>
      </c>
      <c r="D565" t="s">
        <v>534</v>
      </c>
      <c r="E565" t="s">
        <v>507</v>
      </c>
      <c r="F565" t="s">
        <v>558</v>
      </c>
      <c r="G565" t="s">
        <v>593</v>
      </c>
      <c r="H565" t="s">
        <v>594</v>
      </c>
      <c r="I565" t="s">
        <v>595</v>
      </c>
      <c r="K565" t="s">
        <v>596</v>
      </c>
      <c r="L565" t="s">
        <v>532</v>
      </c>
      <c r="M565" t="s">
        <v>540</v>
      </c>
      <c r="N565" t="s">
        <v>597</v>
      </c>
      <c r="O565" t="s">
        <v>540</v>
      </c>
      <c r="P565">
        <v>1</v>
      </c>
      <c r="Q565" t="s">
        <v>553</v>
      </c>
      <c r="R565">
        <v>165</v>
      </c>
    </row>
    <row r="566" spans="2:18">
      <c r="B566">
        <v>15</v>
      </c>
      <c r="C566" t="s">
        <v>533</v>
      </c>
      <c r="D566" t="s">
        <v>534</v>
      </c>
      <c r="E566" t="s">
        <v>507</v>
      </c>
      <c r="F566" t="s">
        <v>558</v>
      </c>
      <c r="G566" t="s">
        <v>559</v>
      </c>
      <c r="H566" t="s">
        <v>598</v>
      </c>
      <c r="I566" t="s">
        <v>599</v>
      </c>
      <c r="K566" t="s">
        <v>600</v>
      </c>
      <c r="L566" t="s">
        <v>532</v>
      </c>
      <c r="M566" t="s">
        <v>540</v>
      </c>
      <c r="N566" t="s">
        <v>540</v>
      </c>
      <c r="O566" t="s">
        <v>540</v>
      </c>
      <c r="P566">
        <v>1</v>
      </c>
      <c r="Q566" t="s">
        <v>553</v>
      </c>
      <c r="R566">
        <v>43</v>
      </c>
    </row>
    <row r="567" spans="2:18">
      <c r="B567">
        <v>17</v>
      </c>
      <c r="C567" t="s">
        <v>533</v>
      </c>
      <c r="D567" t="s">
        <v>534</v>
      </c>
      <c r="E567" t="s">
        <v>507</v>
      </c>
      <c r="F567" t="s">
        <v>558</v>
      </c>
      <c r="G567" t="s">
        <v>559</v>
      </c>
      <c r="H567" t="s">
        <v>601</v>
      </c>
      <c r="I567" t="s">
        <v>602</v>
      </c>
      <c r="K567" t="s">
        <v>603</v>
      </c>
      <c r="L567" t="s">
        <v>532</v>
      </c>
      <c r="M567" t="s">
        <v>540</v>
      </c>
      <c r="N567" t="s">
        <v>604</v>
      </c>
      <c r="O567" t="s">
        <v>540</v>
      </c>
      <c r="P567">
        <v>1</v>
      </c>
      <c r="Q567" t="s">
        <v>553</v>
      </c>
      <c r="R567">
        <v>77</v>
      </c>
    </row>
    <row r="568" spans="2:18">
      <c r="B568">
        <v>18</v>
      </c>
      <c r="C568" t="s">
        <v>533</v>
      </c>
      <c r="D568" t="s">
        <v>534</v>
      </c>
      <c r="E568" t="s">
        <v>507</v>
      </c>
      <c r="F568" t="s">
        <v>558</v>
      </c>
      <c r="G568" t="s">
        <v>536</v>
      </c>
      <c r="H568" t="s">
        <v>605</v>
      </c>
      <c r="I568" t="s">
        <v>697</v>
      </c>
      <c r="K568" t="s">
        <v>698</v>
      </c>
      <c r="L568" t="s">
        <v>532</v>
      </c>
      <c r="M568" t="s">
        <v>540</v>
      </c>
      <c r="N568" t="s">
        <v>699</v>
      </c>
      <c r="O568" t="s">
        <v>540</v>
      </c>
      <c r="P568">
        <v>1</v>
      </c>
      <c r="Q568" t="s">
        <v>609</v>
      </c>
      <c r="R568">
        <v>415</v>
      </c>
    </row>
    <row r="569" spans="2:18">
      <c r="B569">
        <v>19</v>
      </c>
      <c r="C569" t="s">
        <v>533</v>
      </c>
      <c r="D569" t="s">
        <v>534</v>
      </c>
      <c r="E569" t="s">
        <v>507</v>
      </c>
      <c r="F569" t="s">
        <v>558</v>
      </c>
      <c r="G569" t="s">
        <v>610</v>
      </c>
      <c r="H569" t="s">
        <v>611</v>
      </c>
      <c r="I569" t="s">
        <v>612</v>
      </c>
      <c r="K569" t="s">
        <v>613</v>
      </c>
      <c r="L569" t="s">
        <v>532</v>
      </c>
      <c r="M569" t="s">
        <v>540</v>
      </c>
      <c r="N569" t="s">
        <v>614</v>
      </c>
      <c r="O569" t="s">
        <v>540</v>
      </c>
      <c r="P569">
        <v>1</v>
      </c>
      <c r="Q569" t="s">
        <v>615</v>
      </c>
      <c r="R569">
        <v>53</v>
      </c>
    </row>
    <row r="570" spans="2:18">
      <c r="B570">
        <v>20</v>
      </c>
      <c r="C570" t="s">
        <v>533</v>
      </c>
      <c r="D570" t="s">
        <v>534</v>
      </c>
      <c r="E570" t="s">
        <v>507</v>
      </c>
      <c r="F570" t="s">
        <v>558</v>
      </c>
      <c r="G570" t="s">
        <v>559</v>
      </c>
      <c r="H570" t="s">
        <v>477</v>
      </c>
      <c r="I570" t="s">
        <v>616</v>
      </c>
      <c r="K570" t="s">
        <v>617</v>
      </c>
      <c r="L570" t="s">
        <v>532</v>
      </c>
      <c r="M570" t="s">
        <v>540</v>
      </c>
      <c r="N570" t="s">
        <v>540</v>
      </c>
      <c r="O570" t="s">
        <v>540</v>
      </c>
      <c r="P570">
        <v>1</v>
      </c>
      <c r="Q570" t="s">
        <v>618</v>
      </c>
      <c r="R570">
        <v>875</v>
      </c>
    </row>
    <row r="571" spans="2:18">
      <c r="B571">
        <v>22</v>
      </c>
      <c r="C571" t="s">
        <v>533</v>
      </c>
      <c r="D571" t="s">
        <v>534</v>
      </c>
      <c r="E571" t="s">
        <v>507</v>
      </c>
      <c r="F571" t="s">
        <v>558</v>
      </c>
      <c r="G571" t="s">
        <v>559</v>
      </c>
      <c r="H571" t="s">
        <v>719</v>
      </c>
      <c r="I571" t="s">
        <v>720</v>
      </c>
      <c r="K571" t="s">
        <v>721</v>
      </c>
      <c r="L571" t="s">
        <v>532</v>
      </c>
      <c r="M571" t="s">
        <v>540</v>
      </c>
      <c r="N571" t="s">
        <v>722</v>
      </c>
      <c r="O571" t="s">
        <v>540</v>
      </c>
      <c r="P571">
        <v>1</v>
      </c>
      <c r="Q571" t="s">
        <v>553</v>
      </c>
      <c r="R571">
        <v>130</v>
      </c>
    </row>
    <row r="572" spans="2:18">
      <c r="B572">
        <v>22</v>
      </c>
      <c r="C572" t="s">
        <v>533</v>
      </c>
      <c r="D572" t="s">
        <v>534</v>
      </c>
      <c r="E572" t="s">
        <v>507</v>
      </c>
      <c r="F572" t="s">
        <v>558</v>
      </c>
      <c r="G572" t="s">
        <v>559</v>
      </c>
      <c r="H572" t="s">
        <v>478</v>
      </c>
      <c r="I572" t="s">
        <v>683</v>
      </c>
      <c r="K572" t="s">
        <v>684</v>
      </c>
      <c r="L572" t="s">
        <v>532</v>
      </c>
      <c r="M572" t="s">
        <v>540</v>
      </c>
      <c r="N572" t="s">
        <v>685</v>
      </c>
      <c r="O572" t="s">
        <v>540</v>
      </c>
      <c r="P572">
        <v>1</v>
      </c>
      <c r="Q572" t="s">
        <v>567</v>
      </c>
      <c r="R572">
        <v>331</v>
      </c>
    </row>
    <row r="573" spans="2:18">
      <c r="B573">
        <v>23</v>
      </c>
      <c r="C573" t="s">
        <v>533</v>
      </c>
      <c r="D573" t="s">
        <v>534</v>
      </c>
      <c r="E573" t="s">
        <v>507</v>
      </c>
      <c r="F573" t="s">
        <v>558</v>
      </c>
      <c r="G573" t="s">
        <v>559</v>
      </c>
      <c r="H573" t="s">
        <v>622</v>
      </c>
      <c r="I573" t="s">
        <v>623</v>
      </c>
      <c r="K573" t="s">
        <v>624</v>
      </c>
      <c r="L573" t="s">
        <v>532</v>
      </c>
      <c r="M573" t="s">
        <v>540</v>
      </c>
      <c r="N573" t="s">
        <v>625</v>
      </c>
      <c r="O573" t="s">
        <v>540</v>
      </c>
      <c r="P573">
        <v>1</v>
      </c>
      <c r="Q573" t="s">
        <v>547</v>
      </c>
      <c r="R573">
        <v>92</v>
      </c>
    </row>
    <row r="574" spans="2:18">
      <c r="B574">
        <v>24</v>
      </c>
      <c r="C574" t="s">
        <v>533</v>
      </c>
      <c r="D574" t="s">
        <v>534</v>
      </c>
      <c r="E574" t="s">
        <v>507</v>
      </c>
      <c r="F574" t="s">
        <v>558</v>
      </c>
      <c r="G574" t="s">
        <v>559</v>
      </c>
      <c r="H574" t="s">
        <v>626</v>
      </c>
      <c r="I574" t="s">
        <v>627</v>
      </c>
      <c r="K574" t="s">
        <v>628</v>
      </c>
      <c r="L574" t="s">
        <v>532</v>
      </c>
      <c r="M574" t="s">
        <v>540</v>
      </c>
      <c r="N574" t="s">
        <v>540</v>
      </c>
      <c r="O574" t="s">
        <v>540</v>
      </c>
      <c r="P574">
        <v>1</v>
      </c>
      <c r="Q574" t="s">
        <v>629</v>
      </c>
      <c r="R574">
        <v>58</v>
      </c>
    </row>
    <row r="575" spans="2:18">
      <c r="B575">
        <v>21</v>
      </c>
      <c r="C575" t="s">
        <v>533</v>
      </c>
      <c r="D575" t="s">
        <v>534</v>
      </c>
      <c r="E575" t="s">
        <v>507</v>
      </c>
      <c r="F575" t="s">
        <v>630</v>
      </c>
      <c r="G575" t="s">
        <v>593</v>
      </c>
      <c r="H575" t="s">
        <v>631</v>
      </c>
      <c r="I575" t="s">
        <v>632</v>
      </c>
      <c r="K575" t="s">
        <v>633</v>
      </c>
      <c r="L575" t="s">
        <v>532</v>
      </c>
      <c r="M575" t="s">
        <v>540</v>
      </c>
      <c r="N575" t="s">
        <v>540</v>
      </c>
      <c r="O575" t="s">
        <v>540</v>
      </c>
      <c r="P575">
        <v>1</v>
      </c>
      <c r="Q575" t="s">
        <v>553</v>
      </c>
      <c r="R575">
        <v>41</v>
      </c>
    </row>
    <row r="576" spans="2:18">
      <c r="B576">
        <v>25</v>
      </c>
      <c r="C576" t="s">
        <v>533</v>
      </c>
      <c r="D576" t="s">
        <v>534</v>
      </c>
      <c r="E576" t="s">
        <v>507</v>
      </c>
      <c r="F576" t="s">
        <v>630</v>
      </c>
      <c r="G576" t="s">
        <v>536</v>
      </c>
      <c r="H576" t="s">
        <v>634</v>
      </c>
      <c r="I576" t="s">
        <v>635</v>
      </c>
      <c r="K576" t="s">
        <v>636</v>
      </c>
      <c r="L576" t="s">
        <v>532</v>
      </c>
      <c r="M576" t="s">
        <v>540</v>
      </c>
      <c r="N576" t="s">
        <v>637</v>
      </c>
      <c r="O576" t="s">
        <v>540</v>
      </c>
      <c r="P576">
        <v>1</v>
      </c>
      <c r="Q576" t="s">
        <v>609</v>
      </c>
      <c r="R576">
        <v>290</v>
      </c>
    </row>
    <row r="577" spans="2:18">
      <c r="B577">
        <v>26</v>
      </c>
      <c r="C577" t="s">
        <v>533</v>
      </c>
      <c r="D577" t="s">
        <v>534</v>
      </c>
      <c r="E577" t="s">
        <v>507</v>
      </c>
      <c r="F577" t="s">
        <v>630</v>
      </c>
      <c r="G577" t="s">
        <v>575</v>
      </c>
      <c r="H577" t="s">
        <v>638</v>
      </c>
      <c r="I577" t="s">
        <v>639</v>
      </c>
      <c r="K577" t="s">
        <v>640</v>
      </c>
      <c r="L577" t="s">
        <v>532</v>
      </c>
      <c r="M577" t="s">
        <v>540</v>
      </c>
      <c r="N577" t="s">
        <v>641</v>
      </c>
      <c r="O577" t="s">
        <v>540</v>
      </c>
      <c r="P577">
        <v>1</v>
      </c>
      <c r="Q577" t="s">
        <v>553</v>
      </c>
      <c r="R577">
        <v>100</v>
      </c>
    </row>
    <row r="578" spans="2:18">
      <c r="B578">
        <v>27</v>
      </c>
      <c r="C578" t="s">
        <v>533</v>
      </c>
      <c r="D578" t="s">
        <v>534</v>
      </c>
      <c r="E578" t="s">
        <v>507</v>
      </c>
      <c r="F578" t="s">
        <v>630</v>
      </c>
      <c r="G578" t="s">
        <v>559</v>
      </c>
      <c r="H578" t="s">
        <v>642</v>
      </c>
      <c r="I578" t="s">
        <v>643</v>
      </c>
      <c r="K578" t="s">
        <v>644</v>
      </c>
      <c r="L578" t="s">
        <v>532</v>
      </c>
      <c r="M578" t="s">
        <v>540</v>
      </c>
      <c r="N578" t="s">
        <v>645</v>
      </c>
      <c r="O578" t="s">
        <v>540</v>
      </c>
      <c r="P578">
        <v>1</v>
      </c>
      <c r="Q578" t="s">
        <v>646</v>
      </c>
      <c r="R578">
        <v>55</v>
      </c>
    </row>
    <row r="579" spans="2:18">
      <c r="B579">
        <v>28</v>
      </c>
      <c r="C579" t="s">
        <v>533</v>
      </c>
      <c r="D579" t="s">
        <v>534</v>
      </c>
      <c r="E579" t="s">
        <v>507</v>
      </c>
      <c r="F579" t="s">
        <v>630</v>
      </c>
      <c r="G579" t="s">
        <v>579</v>
      </c>
      <c r="H579" t="s">
        <v>647</v>
      </c>
      <c r="I579" t="s">
        <v>648</v>
      </c>
      <c r="K579" t="s">
        <v>649</v>
      </c>
      <c r="L579" t="s">
        <v>532</v>
      </c>
      <c r="M579" t="s">
        <v>540</v>
      </c>
      <c r="N579" t="s">
        <v>592</v>
      </c>
      <c r="O579" t="s">
        <v>540</v>
      </c>
      <c r="P579">
        <v>1</v>
      </c>
      <c r="Q579" t="s">
        <v>553</v>
      </c>
      <c r="R579">
        <v>66.26</v>
      </c>
    </row>
    <row r="580" spans="2:18">
      <c r="B580">
        <v>29</v>
      </c>
      <c r="C580" t="s">
        <v>533</v>
      </c>
      <c r="D580" t="s">
        <v>534</v>
      </c>
      <c r="E580" t="s">
        <v>507</v>
      </c>
      <c r="F580" t="s">
        <v>630</v>
      </c>
      <c r="G580" t="s">
        <v>650</v>
      </c>
      <c r="H580" t="s">
        <v>651</v>
      </c>
      <c r="I580" t="s">
        <v>652</v>
      </c>
      <c r="K580" t="s">
        <v>653</v>
      </c>
      <c r="L580" t="s">
        <v>532</v>
      </c>
      <c r="M580" t="s">
        <v>540</v>
      </c>
      <c r="N580" t="s">
        <v>654</v>
      </c>
      <c r="O580" t="s">
        <v>540</v>
      </c>
      <c r="P580">
        <v>1</v>
      </c>
      <c r="Q580" t="s">
        <v>553</v>
      </c>
      <c r="R580">
        <v>101</v>
      </c>
    </row>
    <row r="581" spans="2:18">
      <c r="B581">
        <v>30</v>
      </c>
      <c r="C581" t="s">
        <v>533</v>
      </c>
      <c r="D581" t="s">
        <v>534</v>
      </c>
      <c r="E581" t="s">
        <v>507</v>
      </c>
      <c r="F581" t="s">
        <v>630</v>
      </c>
      <c r="G581" t="s">
        <v>650</v>
      </c>
      <c r="H581" t="s">
        <v>655</v>
      </c>
      <c r="I581" t="s">
        <v>656</v>
      </c>
      <c r="K581" t="s">
        <v>657</v>
      </c>
      <c r="L581" t="s">
        <v>532</v>
      </c>
      <c r="M581" t="s">
        <v>540</v>
      </c>
      <c r="N581" t="s">
        <v>658</v>
      </c>
      <c r="O581" t="s">
        <v>540</v>
      </c>
      <c r="P581">
        <v>1</v>
      </c>
      <c r="Q581" t="s">
        <v>553</v>
      </c>
      <c r="R581">
        <v>418</v>
      </c>
    </row>
    <row r="582" spans="2:18">
      <c r="B582">
        <v>31</v>
      </c>
      <c r="C582" t="s">
        <v>533</v>
      </c>
      <c r="D582" t="s">
        <v>534</v>
      </c>
      <c r="E582" t="s">
        <v>507</v>
      </c>
      <c r="F582" t="s">
        <v>630</v>
      </c>
      <c r="G582" t="s">
        <v>650</v>
      </c>
      <c r="H582" t="s">
        <v>659</v>
      </c>
      <c r="I582" t="s">
        <v>660</v>
      </c>
      <c r="K582" t="s">
        <v>661</v>
      </c>
      <c r="L582" t="s">
        <v>532</v>
      </c>
      <c r="M582" t="s">
        <v>540</v>
      </c>
      <c r="N582" t="s">
        <v>662</v>
      </c>
      <c r="O582" t="s">
        <v>540</v>
      </c>
      <c r="P582">
        <v>1</v>
      </c>
      <c r="Q582" t="s">
        <v>553</v>
      </c>
      <c r="R582">
        <v>37</v>
      </c>
    </row>
    <row r="583" spans="2:18">
      <c r="B583">
        <v>32</v>
      </c>
      <c r="C583" t="s">
        <v>533</v>
      </c>
      <c r="D583" t="s">
        <v>534</v>
      </c>
      <c r="E583" t="s">
        <v>507</v>
      </c>
      <c r="F583" t="s">
        <v>630</v>
      </c>
      <c r="G583" t="s">
        <v>575</v>
      </c>
      <c r="H583" t="s">
        <v>663</v>
      </c>
      <c r="I583" t="s">
        <v>664</v>
      </c>
      <c r="K583" t="s">
        <v>665</v>
      </c>
      <c r="L583" t="s">
        <v>532</v>
      </c>
      <c r="M583" t="s">
        <v>540</v>
      </c>
      <c r="N583" t="s">
        <v>666</v>
      </c>
      <c r="O583" t="s">
        <v>540</v>
      </c>
      <c r="P583">
        <v>1</v>
      </c>
      <c r="Q583" t="s">
        <v>667</v>
      </c>
      <c r="R583">
        <v>370</v>
      </c>
    </row>
    <row r="584" spans="2:18">
      <c r="B584">
        <v>33</v>
      </c>
      <c r="C584" t="s">
        <v>533</v>
      </c>
      <c r="D584" t="s">
        <v>534</v>
      </c>
      <c r="E584" t="s">
        <v>507</v>
      </c>
      <c r="F584" t="s">
        <v>630</v>
      </c>
      <c r="G584" t="s">
        <v>548</v>
      </c>
      <c r="H584" t="s">
        <v>668</v>
      </c>
      <c r="I584" t="s">
        <v>669</v>
      </c>
      <c r="K584" t="s">
        <v>670</v>
      </c>
      <c r="L584" t="s">
        <v>532</v>
      </c>
      <c r="M584" t="s">
        <v>540</v>
      </c>
      <c r="N584" t="s">
        <v>671</v>
      </c>
      <c r="O584" t="s">
        <v>540</v>
      </c>
      <c r="P584">
        <v>1</v>
      </c>
      <c r="Q584" t="s">
        <v>567</v>
      </c>
      <c r="R584">
        <v>4.7</v>
      </c>
    </row>
    <row r="585" spans="2:18">
      <c r="B585">
        <v>34</v>
      </c>
      <c r="C585" t="s">
        <v>533</v>
      </c>
      <c r="D585" t="s">
        <v>534</v>
      </c>
      <c r="E585" t="s">
        <v>507</v>
      </c>
      <c r="F585" t="s">
        <v>630</v>
      </c>
      <c r="G585" t="s">
        <v>650</v>
      </c>
      <c r="H585" t="s">
        <v>672</v>
      </c>
      <c r="I585" t="s">
        <v>673</v>
      </c>
      <c r="K585" t="s">
        <v>674</v>
      </c>
      <c r="L585" t="s">
        <v>532</v>
      </c>
      <c r="M585" t="s">
        <v>540</v>
      </c>
      <c r="N585" t="s">
        <v>675</v>
      </c>
      <c r="O585" t="s">
        <v>540</v>
      </c>
      <c r="P585">
        <v>1</v>
      </c>
      <c r="Q585" t="s">
        <v>618</v>
      </c>
      <c r="R585">
        <v>370</v>
      </c>
    </row>
    <row r="586" spans="2:18">
      <c r="B586">
        <v>35</v>
      </c>
      <c r="C586" t="s">
        <v>533</v>
      </c>
      <c r="D586" t="s">
        <v>534</v>
      </c>
      <c r="E586" t="s">
        <v>507</v>
      </c>
      <c r="F586" t="s">
        <v>630</v>
      </c>
      <c r="G586" t="s">
        <v>650</v>
      </c>
      <c r="H586" t="s">
        <v>676</v>
      </c>
      <c r="I586" t="s">
        <v>677</v>
      </c>
      <c r="K586" t="s">
        <v>678</v>
      </c>
      <c r="L586" t="s">
        <v>532</v>
      </c>
      <c r="M586" t="s">
        <v>540</v>
      </c>
      <c r="N586" t="s">
        <v>679</v>
      </c>
      <c r="O586" t="s">
        <v>540</v>
      </c>
      <c r="P586">
        <v>1</v>
      </c>
      <c r="Q586" t="s">
        <v>553</v>
      </c>
      <c r="R586">
        <v>39.5</v>
      </c>
    </row>
    <row r="587" spans="2:18">
      <c r="B587">
        <v>36</v>
      </c>
      <c r="C587" t="s">
        <v>533</v>
      </c>
      <c r="D587" t="s">
        <v>534</v>
      </c>
      <c r="E587" t="s">
        <v>507</v>
      </c>
      <c r="F587" t="s">
        <v>630</v>
      </c>
      <c r="G587" t="s">
        <v>650</v>
      </c>
      <c r="H587" t="s">
        <v>680</v>
      </c>
      <c r="I587" t="s">
        <v>681</v>
      </c>
      <c r="K587" t="s">
        <v>682</v>
      </c>
      <c r="L587" t="s">
        <v>532</v>
      </c>
      <c r="M587" t="s">
        <v>540</v>
      </c>
      <c r="N587" t="s">
        <v>679</v>
      </c>
      <c r="O587" t="s">
        <v>540</v>
      </c>
      <c r="P587">
        <v>1</v>
      </c>
      <c r="Q587" t="s">
        <v>553</v>
      </c>
      <c r="R587">
        <v>17.2</v>
      </c>
    </row>
    <row r="588" spans="2:18">
      <c r="B588">
        <v>1</v>
      </c>
      <c r="C588" t="s">
        <v>533</v>
      </c>
      <c r="D588" t="s">
        <v>534</v>
      </c>
      <c r="E588" t="s">
        <v>508</v>
      </c>
      <c r="F588" t="s">
        <v>535</v>
      </c>
      <c r="G588" t="s">
        <v>536</v>
      </c>
      <c r="H588" t="s">
        <v>537</v>
      </c>
      <c r="I588" t="s">
        <v>538</v>
      </c>
      <c r="K588" t="s">
        <v>539</v>
      </c>
      <c r="L588" t="s">
        <v>532</v>
      </c>
      <c r="M588" t="s">
        <v>540</v>
      </c>
      <c r="N588" t="s">
        <v>541</v>
      </c>
      <c r="O588" t="s">
        <v>540</v>
      </c>
      <c r="P588">
        <v>1</v>
      </c>
      <c r="Q588" t="s">
        <v>542</v>
      </c>
      <c r="R588">
        <v>920</v>
      </c>
    </row>
    <row r="589" spans="2:18">
      <c r="B589">
        <v>2</v>
      </c>
      <c r="C589" t="s">
        <v>533</v>
      </c>
      <c r="D589" t="s">
        <v>534</v>
      </c>
      <c r="E589" t="s">
        <v>508</v>
      </c>
      <c r="F589" t="s">
        <v>535</v>
      </c>
      <c r="G589" t="s">
        <v>536</v>
      </c>
      <c r="H589" t="s">
        <v>543</v>
      </c>
      <c r="I589" t="s">
        <v>544</v>
      </c>
      <c r="K589" t="s">
        <v>545</v>
      </c>
      <c r="L589" t="s">
        <v>532</v>
      </c>
      <c r="M589" t="s">
        <v>540</v>
      </c>
      <c r="N589" t="s">
        <v>546</v>
      </c>
      <c r="O589" t="s">
        <v>540</v>
      </c>
      <c r="P589">
        <v>1</v>
      </c>
      <c r="Q589" t="s">
        <v>547</v>
      </c>
      <c r="R589">
        <v>380</v>
      </c>
    </row>
    <row r="590" spans="2:18">
      <c r="B590">
        <v>3</v>
      </c>
      <c r="C590" t="s">
        <v>533</v>
      </c>
      <c r="D590" t="s">
        <v>534</v>
      </c>
      <c r="E590" t="s">
        <v>508</v>
      </c>
      <c r="F590" t="s">
        <v>535</v>
      </c>
      <c r="G590" t="s">
        <v>548</v>
      </c>
      <c r="H590" t="s">
        <v>549</v>
      </c>
      <c r="I590" t="s">
        <v>550</v>
      </c>
      <c r="K590" t="s">
        <v>551</v>
      </c>
      <c r="L590" t="s">
        <v>532</v>
      </c>
      <c r="M590" t="s">
        <v>540</v>
      </c>
      <c r="N590" t="s">
        <v>552</v>
      </c>
      <c r="O590" t="s">
        <v>540</v>
      </c>
      <c r="P590">
        <v>1</v>
      </c>
      <c r="Q590" t="s">
        <v>553</v>
      </c>
      <c r="R590">
        <v>14</v>
      </c>
    </row>
    <row r="591" spans="2:18">
      <c r="B591">
        <v>4</v>
      </c>
      <c r="C591" t="s">
        <v>533</v>
      </c>
      <c r="D591" t="s">
        <v>534</v>
      </c>
      <c r="E591" t="s">
        <v>508</v>
      </c>
      <c r="F591" t="s">
        <v>535</v>
      </c>
      <c r="G591" t="s">
        <v>548</v>
      </c>
      <c r="H591" t="s">
        <v>554</v>
      </c>
      <c r="I591" t="s">
        <v>555</v>
      </c>
      <c r="K591" t="s">
        <v>556</v>
      </c>
      <c r="L591" t="s">
        <v>532</v>
      </c>
      <c r="M591" t="s">
        <v>540</v>
      </c>
      <c r="N591" t="s">
        <v>557</v>
      </c>
      <c r="O591" t="s">
        <v>540</v>
      </c>
      <c r="P591">
        <v>1</v>
      </c>
      <c r="Q591" t="s">
        <v>553</v>
      </c>
      <c r="R591">
        <v>33</v>
      </c>
    </row>
    <row r="592" spans="2:18">
      <c r="B592">
        <v>5</v>
      </c>
      <c r="C592" t="s">
        <v>533</v>
      </c>
      <c r="D592" t="s">
        <v>534</v>
      </c>
      <c r="E592" t="s">
        <v>508</v>
      </c>
      <c r="F592" t="s">
        <v>686</v>
      </c>
      <c r="G592" t="s">
        <v>559</v>
      </c>
      <c r="H592" t="s">
        <v>560</v>
      </c>
      <c r="I592" t="s">
        <v>561</v>
      </c>
      <c r="K592" t="s">
        <v>562</v>
      </c>
      <c r="L592" t="s">
        <v>532</v>
      </c>
      <c r="M592" t="s">
        <v>540</v>
      </c>
      <c r="N592" t="s">
        <v>563</v>
      </c>
      <c r="O592" t="s">
        <v>540</v>
      </c>
      <c r="P592">
        <v>1</v>
      </c>
      <c r="Q592" t="s">
        <v>553</v>
      </c>
      <c r="R592">
        <v>223</v>
      </c>
    </row>
    <row r="593" spans="2:18">
      <c r="B593">
        <v>6</v>
      </c>
      <c r="C593" t="s">
        <v>533</v>
      </c>
      <c r="D593" t="s">
        <v>534</v>
      </c>
      <c r="E593" t="s">
        <v>508</v>
      </c>
      <c r="F593" t="s">
        <v>686</v>
      </c>
      <c r="G593" t="s">
        <v>559</v>
      </c>
      <c r="H593" t="s">
        <v>715</v>
      </c>
      <c r="I593" t="s">
        <v>716</v>
      </c>
      <c r="K593" t="s">
        <v>717</v>
      </c>
      <c r="L593" t="s">
        <v>532</v>
      </c>
      <c r="M593" t="s">
        <v>540</v>
      </c>
      <c r="N593" t="s">
        <v>718</v>
      </c>
      <c r="O593" t="s">
        <v>540</v>
      </c>
      <c r="P593">
        <v>1</v>
      </c>
      <c r="Q593" t="s">
        <v>567</v>
      </c>
      <c r="R593">
        <v>242</v>
      </c>
    </row>
    <row r="594" spans="2:18">
      <c r="B594">
        <v>7</v>
      </c>
      <c r="C594" t="s">
        <v>533</v>
      </c>
      <c r="D594" t="s">
        <v>534</v>
      </c>
      <c r="E594" t="s">
        <v>508</v>
      </c>
      <c r="F594" t="s">
        <v>686</v>
      </c>
      <c r="G594" t="s">
        <v>559</v>
      </c>
      <c r="H594" t="s">
        <v>700</v>
      </c>
      <c r="I594" t="s">
        <v>701</v>
      </c>
      <c r="K594" t="s">
        <v>702</v>
      </c>
      <c r="L594" t="s">
        <v>532</v>
      </c>
      <c r="M594" t="s">
        <v>540</v>
      </c>
      <c r="N594" t="s">
        <v>540</v>
      </c>
      <c r="O594" t="s">
        <v>540</v>
      </c>
      <c r="P594">
        <v>1</v>
      </c>
      <c r="Q594" t="s">
        <v>553</v>
      </c>
      <c r="R594">
        <v>784</v>
      </c>
    </row>
    <row r="595" spans="2:18">
      <c r="B595">
        <v>8</v>
      </c>
      <c r="C595" t="s">
        <v>533</v>
      </c>
      <c r="D595" t="s">
        <v>534</v>
      </c>
      <c r="E595" t="s">
        <v>508</v>
      </c>
      <c r="F595" t="s">
        <v>686</v>
      </c>
      <c r="G595" t="s">
        <v>559</v>
      </c>
      <c r="H595" t="s">
        <v>481</v>
      </c>
      <c r="I595" t="s">
        <v>703</v>
      </c>
      <c r="K595" t="s">
        <v>704</v>
      </c>
      <c r="L595" t="s">
        <v>532</v>
      </c>
      <c r="M595" t="s">
        <v>540</v>
      </c>
      <c r="N595" t="s">
        <v>705</v>
      </c>
      <c r="O595" t="s">
        <v>540</v>
      </c>
      <c r="P595">
        <v>1</v>
      </c>
      <c r="Q595" t="s">
        <v>567</v>
      </c>
      <c r="R595">
        <v>388</v>
      </c>
    </row>
    <row r="596" spans="2:18">
      <c r="B596">
        <v>9</v>
      </c>
      <c r="C596" t="s">
        <v>533</v>
      </c>
      <c r="D596" t="s">
        <v>534</v>
      </c>
      <c r="E596" t="s">
        <v>508</v>
      </c>
      <c r="F596" t="s">
        <v>686</v>
      </c>
      <c r="G596" t="s">
        <v>559</v>
      </c>
      <c r="H596" t="s">
        <v>622</v>
      </c>
      <c r="I596" t="s">
        <v>706</v>
      </c>
      <c r="K596" t="s">
        <v>707</v>
      </c>
      <c r="L596" t="s">
        <v>532</v>
      </c>
      <c r="M596" t="s">
        <v>540</v>
      </c>
      <c r="N596" t="s">
        <v>708</v>
      </c>
      <c r="O596" t="s">
        <v>540</v>
      </c>
      <c r="P596">
        <v>2</v>
      </c>
      <c r="Q596" t="s">
        <v>547</v>
      </c>
      <c r="R596">
        <v>128</v>
      </c>
    </row>
    <row r="597" spans="2:18">
      <c r="B597">
        <v>10</v>
      </c>
      <c r="C597" t="s">
        <v>533</v>
      </c>
      <c r="D597" t="s">
        <v>534</v>
      </c>
      <c r="E597" t="s">
        <v>508</v>
      </c>
      <c r="F597" t="s">
        <v>686</v>
      </c>
      <c r="G597" t="s">
        <v>575</v>
      </c>
      <c r="H597" t="s">
        <v>482</v>
      </c>
      <c r="I597" t="s">
        <v>723</v>
      </c>
      <c r="K597" t="s">
        <v>724</v>
      </c>
      <c r="L597" t="s">
        <v>532</v>
      </c>
      <c r="M597" t="s">
        <v>540</v>
      </c>
      <c r="N597" t="s">
        <v>725</v>
      </c>
      <c r="O597" t="s">
        <v>540</v>
      </c>
      <c r="P597">
        <v>1</v>
      </c>
      <c r="Q597" t="s">
        <v>667</v>
      </c>
      <c r="R597">
        <v>730</v>
      </c>
    </row>
    <row r="598" spans="2:18">
      <c r="B598">
        <v>11</v>
      </c>
      <c r="C598" t="s">
        <v>533</v>
      </c>
      <c r="D598" t="s">
        <v>534</v>
      </c>
      <c r="E598" t="s">
        <v>508</v>
      </c>
      <c r="F598" t="s">
        <v>686</v>
      </c>
      <c r="G598" t="s">
        <v>575</v>
      </c>
      <c r="H598" t="s">
        <v>576</v>
      </c>
      <c r="I598" t="s">
        <v>577</v>
      </c>
      <c r="K598" t="s">
        <v>578</v>
      </c>
      <c r="L598" t="s">
        <v>532</v>
      </c>
      <c r="M598" t="s">
        <v>540</v>
      </c>
      <c r="N598" t="s">
        <v>540</v>
      </c>
      <c r="O598" t="s">
        <v>540</v>
      </c>
      <c r="P598">
        <v>1</v>
      </c>
      <c r="Q598" t="s">
        <v>553</v>
      </c>
      <c r="R598">
        <v>1680</v>
      </c>
    </row>
    <row r="599" spans="2:18">
      <c r="B599">
        <v>12</v>
      </c>
      <c r="C599" t="s">
        <v>533</v>
      </c>
      <c r="D599" t="s">
        <v>534</v>
      </c>
      <c r="E599" t="s">
        <v>508</v>
      </c>
      <c r="F599" t="s">
        <v>686</v>
      </c>
      <c r="G599" t="s">
        <v>579</v>
      </c>
      <c r="H599" t="s">
        <v>580</v>
      </c>
      <c r="I599" t="s">
        <v>581</v>
      </c>
      <c r="K599" t="s">
        <v>582</v>
      </c>
      <c r="L599" t="s">
        <v>532</v>
      </c>
      <c r="M599" t="s">
        <v>540</v>
      </c>
      <c r="N599" t="s">
        <v>583</v>
      </c>
      <c r="O599" t="s">
        <v>540</v>
      </c>
      <c r="P599">
        <v>1</v>
      </c>
      <c r="Q599" t="s">
        <v>553</v>
      </c>
      <c r="R599">
        <v>56</v>
      </c>
    </row>
    <row r="600" spans="2:18">
      <c r="B600">
        <v>13</v>
      </c>
      <c r="C600" t="s">
        <v>533</v>
      </c>
      <c r="D600" t="s">
        <v>534</v>
      </c>
      <c r="E600" t="s">
        <v>508</v>
      </c>
      <c r="F600" t="s">
        <v>686</v>
      </c>
      <c r="G600" t="s">
        <v>579</v>
      </c>
      <c r="H600" t="s">
        <v>584</v>
      </c>
      <c r="I600" t="s">
        <v>585</v>
      </c>
      <c r="K600" t="s">
        <v>586</v>
      </c>
      <c r="L600" t="s">
        <v>532</v>
      </c>
      <c r="M600" t="s">
        <v>540</v>
      </c>
      <c r="N600" t="s">
        <v>587</v>
      </c>
      <c r="O600" t="s">
        <v>540</v>
      </c>
      <c r="P600">
        <v>1</v>
      </c>
      <c r="Q600" t="s">
        <v>553</v>
      </c>
      <c r="R600">
        <v>74</v>
      </c>
    </row>
    <row r="601" spans="2:18">
      <c r="B601">
        <v>14</v>
      </c>
      <c r="C601" t="s">
        <v>533</v>
      </c>
      <c r="D601" t="s">
        <v>534</v>
      </c>
      <c r="E601" t="s">
        <v>508</v>
      </c>
      <c r="F601" t="s">
        <v>686</v>
      </c>
      <c r="G601" t="s">
        <v>588</v>
      </c>
      <c r="H601" t="s">
        <v>589</v>
      </c>
      <c r="I601" t="s">
        <v>590</v>
      </c>
      <c r="K601" t="s">
        <v>591</v>
      </c>
      <c r="L601" t="s">
        <v>532</v>
      </c>
      <c r="M601" t="s">
        <v>540</v>
      </c>
      <c r="N601" t="s">
        <v>592</v>
      </c>
      <c r="O601" t="s">
        <v>540</v>
      </c>
      <c r="P601">
        <v>1</v>
      </c>
      <c r="Q601" t="s">
        <v>553</v>
      </c>
      <c r="R601">
        <v>84</v>
      </c>
    </row>
    <row r="602" spans="2:18">
      <c r="B602">
        <v>15</v>
      </c>
      <c r="C602" t="s">
        <v>533</v>
      </c>
      <c r="D602" t="s">
        <v>534</v>
      </c>
      <c r="E602" t="s">
        <v>508</v>
      </c>
      <c r="F602" t="s">
        <v>686</v>
      </c>
      <c r="G602" t="s">
        <v>593</v>
      </c>
      <c r="H602" t="s">
        <v>594</v>
      </c>
      <c r="I602" t="s">
        <v>595</v>
      </c>
      <c r="K602" t="s">
        <v>596</v>
      </c>
      <c r="L602" t="s">
        <v>532</v>
      </c>
      <c r="M602" t="s">
        <v>540</v>
      </c>
      <c r="N602" t="s">
        <v>597</v>
      </c>
      <c r="O602" t="s">
        <v>540</v>
      </c>
      <c r="P602">
        <v>1</v>
      </c>
      <c r="Q602" t="s">
        <v>553</v>
      </c>
      <c r="R602">
        <v>165</v>
      </c>
    </row>
    <row r="603" spans="2:18">
      <c r="B603">
        <v>39</v>
      </c>
      <c r="C603" t="s">
        <v>533</v>
      </c>
      <c r="D603" t="s">
        <v>534</v>
      </c>
      <c r="E603" t="s">
        <v>508</v>
      </c>
      <c r="F603" t="s">
        <v>686</v>
      </c>
      <c r="G603" t="s">
        <v>760</v>
      </c>
      <c r="H603" t="s">
        <v>761</v>
      </c>
      <c r="I603" t="s">
        <v>762</v>
      </c>
      <c r="K603" t="s">
        <v>763</v>
      </c>
      <c r="L603" t="s">
        <v>532</v>
      </c>
      <c r="M603" t="s">
        <v>540</v>
      </c>
      <c r="N603" t="s">
        <v>540</v>
      </c>
      <c r="O603" t="s">
        <v>540</v>
      </c>
      <c r="P603">
        <v>1</v>
      </c>
      <c r="Q603" t="s">
        <v>553</v>
      </c>
      <c r="R603">
        <v>6</v>
      </c>
    </row>
    <row r="604" spans="2:18">
      <c r="B604">
        <v>39</v>
      </c>
      <c r="C604" t="s">
        <v>533</v>
      </c>
      <c r="D604" t="s">
        <v>534</v>
      </c>
      <c r="E604" t="s">
        <v>508</v>
      </c>
      <c r="F604" t="s">
        <v>686</v>
      </c>
      <c r="G604" t="s">
        <v>575</v>
      </c>
      <c r="H604" t="s">
        <v>663</v>
      </c>
      <c r="I604" t="s">
        <v>712</v>
      </c>
      <c r="K604" t="s">
        <v>713</v>
      </c>
      <c r="L604" t="s">
        <v>532</v>
      </c>
      <c r="M604" t="s">
        <v>540</v>
      </c>
      <c r="N604" t="s">
        <v>714</v>
      </c>
      <c r="O604" t="s">
        <v>540</v>
      </c>
      <c r="P604">
        <v>1</v>
      </c>
      <c r="Q604" t="s">
        <v>667</v>
      </c>
      <c r="R604">
        <v>430</v>
      </c>
    </row>
    <row r="605" spans="2:18">
      <c r="B605">
        <v>16</v>
      </c>
      <c r="C605" t="s">
        <v>533</v>
      </c>
      <c r="D605" t="s">
        <v>534</v>
      </c>
      <c r="E605" t="s">
        <v>508</v>
      </c>
      <c r="F605" t="s">
        <v>686</v>
      </c>
      <c r="G605" t="s">
        <v>559</v>
      </c>
      <c r="H605" t="s">
        <v>598</v>
      </c>
      <c r="I605" t="s">
        <v>599</v>
      </c>
      <c r="K605" t="s">
        <v>600</v>
      </c>
      <c r="L605" t="s">
        <v>532</v>
      </c>
      <c r="M605" t="s">
        <v>540</v>
      </c>
      <c r="N605" t="s">
        <v>540</v>
      </c>
      <c r="O605" t="s">
        <v>540</v>
      </c>
      <c r="P605">
        <v>1</v>
      </c>
      <c r="Q605" t="s">
        <v>553</v>
      </c>
      <c r="R605">
        <v>43</v>
      </c>
    </row>
    <row r="606" spans="2:18">
      <c r="B606">
        <v>17</v>
      </c>
      <c r="C606" t="s">
        <v>533</v>
      </c>
      <c r="D606" t="s">
        <v>534</v>
      </c>
      <c r="E606" t="s">
        <v>508</v>
      </c>
      <c r="F606" t="s">
        <v>686</v>
      </c>
      <c r="G606" t="s">
        <v>559</v>
      </c>
      <c r="H606" t="s">
        <v>601</v>
      </c>
      <c r="I606" t="s">
        <v>602</v>
      </c>
      <c r="K606" t="s">
        <v>603</v>
      </c>
      <c r="L606" t="s">
        <v>532</v>
      </c>
      <c r="M606" t="s">
        <v>540</v>
      </c>
      <c r="N606" t="s">
        <v>604</v>
      </c>
      <c r="O606" t="s">
        <v>540</v>
      </c>
      <c r="P606">
        <v>1</v>
      </c>
      <c r="Q606" t="s">
        <v>553</v>
      </c>
      <c r="R606">
        <v>77</v>
      </c>
    </row>
    <row r="607" spans="2:18">
      <c r="B607">
        <v>18</v>
      </c>
      <c r="C607" t="s">
        <v>533</v>
      </c>
      <c r="D607" t="s">
        <v>534</v>
      </c>
      <c r="E607" t="s">
        <v>508</v>
      </c>
      <c r="F607" t="s">
        <v>686</v>
      </c>
      <c r="G607" t="s">
        <v>536</v>
      </c>
      <c r="H607" t="s">
        <v>605</v>
      </c>
      <c r="I607" t="s">
        <v>697</v>
      </c>
      <c r="K607" t="s">
        <v>698</v>
      </c>
      <c r="L607" t="s">
        <v>532</v>
      </c>
      <c r="M607" t="s">
        <v>540</v>
      </c>
      <c r="N607" t="s">
        <v>699</v>
      </c>
      <c r="O607" t="s">
        <v>540</v>
      </c>
      <c r="P607">
        <v>1</v>
      </c>
      <c r="Q607" t="s">
        <v>609</v>
      </c>
      <c r="R607">
        <v>415</v>
      </c>
    </row>
    <row r="608" spans="2:18">
      <c r="B608">
        <v>19</v>
      </c>
      <c r="C608" t="s">
        <v>533</v>
      </c>
      <c r="D608" t="s">
        <v>534</v>
      </c>
      <c r="E608" t="s">
        <v>508</v>
      </c>
      <c r="F608" t="s">
        <v>686</v>
      </c>
      <c r="G608" t="s">
        <v>610</v>
      </c>
      <c r="H608" t="s">
        <v>611</v>
      </c>
      <c r="I608" t="s">
        <v>612</v>
      </c>
      <c r="K608" t="s">
        <v>613</v>
      </c>
      <c r="L608" t="s">
        <v>532</v>
      </c>
      <c r="M608" t="s">
        <v>540</v>
      </c>
      <c r="N608" t="s">
        <v>614</v>
      </c>
      <c r="O608" t="s">
        <v>540</v>
      </c>
      <c r="P608">
        <v>1</v>
      </c>
      <c r="Q608" t="s">
        <v>615</v>
      </c>
      <c r="R608">
        <v>53</v>
      </c>
    </row>
    <row r="609" spans="2:18">
      <c r="B609">
        <v>20</v>
      </c>
      <c r="C609" t="s">
        <v>533</v>
      </c>
      <c r="D609" t="s">
        <v>534</v>
      </c>
      <c r="E609" t="s">
        <v>508</v>
      </c>
      <c r="F609" t="s">
        <v>686</v>
      </c>
      <c r="G609" t="s">
        <v>559</v>
      </c>
      <c r="H609" t="s">
        <v>477</v>
      </c>
      <c r="I609" t="s">
        <v>616</v>
      </c>
      <c r="K609" t="s">
        <v>617</v>
      </c>
      <c r="L609" t="s">
        <v>532</v>
      </c>
      <c r="M609" t="s">
        <v>540</v>
      </c>
      <c r="N609" t="s">
        <v>540</v>
      </c>
      <c r="O609" t="s">
        <v>540</v>
      </c>
      <c r="P609">
        <v>1</v>
      </c>
      <c r="Q609" t="s">
        <v>618</v>
      </c>
      <c r="R609">
        <v>875</v>
      </c>
    </row>
    <row r="610" spans="2:18">
      <c r="B610">
        <v>21</v>
      </c>
      <c r="C610" t="s">
        <v>533</v>
      </c>
      <c r="D610" t="s">
        <v>534</v>
      </c>
      <c r="E610" t="s">
        <v>508</v>
      </c>
      <c r="F610" t="s">
        <v>686</v>
      </c>
      <c r="G610" t="s">
        <v>559</v>
      </c>
      <c r="H610" t="s">
        <v>626</v>
      </c>
      <c r="I610" t="s">
        <v>627</v>
      </c>
      <c r="K610" t="s">
        <v>628</v>
      </c>
      <c r="L610" t="s">
        <v>532</v>
      </c>
      <c r="M610" t="s">
        <v>540</v>
      </c>
      <c r="N610" t="s">
        <v>540</v>
      </c>
      <c r="O610" t="s">
        <v>540</v>
      </c>
      <c r="P610">
        <v>1</v>
      </c>
      <c r="Q610" t="s">
        <v>629</v>
      </c>
      <c r="R610">
        <v>58</v>
      </c>
    </row>
    <row r="611" spans="2:18">
      <c r="B611">
        <v>22</v>
      </c>
      <c r="C611" t="s">
        <v>533</v>
      </c>
      <c r="D611" t="s">
        <v>534</v>
      </c>
      <c r="E611" t="s">
        <v>508</v>
      </c>
      <c r="F611" t="s">
        <v>558</v>
      </c>
      <c r="G611" t="s">
        <v>536</v>
      </c>
      <c r="H611" t="s">
        <v>690</v>
      </c>
      <c r="I611" t="s">
        <v>691</v>
      </c>
      <c r="K611" t="s">
        <v>692</v>
      </c>
      <c r="L611" t="s">
        <v>532</v>
      </c>
      <c r="M611" t="s">
        <v>540</v>
      </c>
      <c r="N611" t="s">
        <v>693</v>
      </c>
      <c r="O611" t="s">
        <v>540</v>
      </c>
      <c r="P611">
        <v>1</v>
      </c>
      <c r="Q611" t="s">
        <v>609</v>
      </c>
      <c r="R611">
        <v>800</v>
      </c>
    </row>
    <row r="612" spans="2:18">
      <c r="B612">
        <v>23</v>
      </c>
      <c r="C612" t="s">
        <v>533</v>
      </c>
      <c r="D612" t="s">
        <v>534</v>
      </c>
      <c r="E612" t="s">
        <v>508</v>
      </c>
      <c r="F612" t="s">
        <v>558</v>
      </c>
      <c r="G612" t="s">
        <v>536</v>
      </c>
      <c r="H612" t="s">
        <v>605</v>
      </c>
      <c r="I612" t="s">
        <v>697</v>
      </c>
      <c r="K612" t="s">
        <v>698</v>
      </c>
      <c r="L612" t="s">
        <v>532</v>
      </c>
      <c r="M612" t="s">
        <v>540</v>
      </c>
      <c r="N612" t="s">
        <v>699</v>
      </c>
      <c r="O612" t="s">
        <v>540</v>
      </c>
      <c r="P612">
        <v>1</v>
      </c>
      <c r="Q612" t="s">
        <v>609</v>
      </c>
      <c r="R612">
        <v>415</v>
      </c>
    </row>
    <row r="613" spans="2:18">
      <c r="B613">
        <v>24</v>
      </c>
      <c r="C613" t="s">
        <v>533</v>
      </c>
      <c r="D613" t="s">
        <v>534</v>
      </c>
      <c r="E613" t="s">
        <v>508</v>
      </c>
      <c r="F613" t="s">
        <v>558</v>
      </c>
      <c r="G613" t="s">
        <v>610</v>
      </c>
      <c r="H613" t="s">
        <v>611</v>
      </c>
      <c r="I613" t="s">
        <v>687</v>
      </c>
      <c r="K613" t="s">
        <v>688</v>
      </c>
      <c r="L613" t="s">
        <v>532</v>
      </c>
      <c r="M613" t="s">
        <v>540</v>
      </c>
      <c r="N613" t="s">
        <v>614</v>
      </c>
      <c r="O613" t="s">
        <v>540</v>
      </c>
      <c r="P613">
        <v>1</v>
      </c>
      <c r="Q613" t="s">
        <v>689</v>
      </c>
      <c r="R613">
        <v>77</v>
      </c>
    </row>
    <row r="614" spans="2:18">
      <c r="B614">
        <v>25</v>
      </c>
      <c r="C614" t="s">
        <v>533</v>
      </c>
      <c r="D614" t="s">
        <v>534</v>
      </c>
      <c r="E614" t="s">
        <v>508</v>
      </c>
      <c r="F614" t="s">
        <v>558</v>
      </c>
      <c r="G614" t="s">
        <v>559</v>
      </c>
      <c r="H614" t="s">
        <v>564</v>
      </c>
      <c r="I614" t="s">
        <v>565</v>
      </c>
      <c r="K614" t="s">
        <v>566</v>
      </c>
      <c r="L614" t="s">
        <v>532</v>
      </c>
      <c r="M614" t="s">
        <v>540</v>
      </c>
      <c r="N614" t="s">
        <v>540</v>
      </c>
      <c r="O614" t="s">
        <v>540</v>
      </c>
      <c r="P614">
        <v>1</v>
      </c>
      <c r="Q614" t="s">
        <v>567</v>
      </c>
      <c r="R614">
        <v>640</v>
      </c>
    </row>
    <row r="615" spans="2:18">
      <c r="B615">
        <v>26</v>
      </c>
      <c r="C615" t="s">
        <v>533</v>
      </c>
      <c r="D615" t="s">
        <v>534</v>
      </c>
      <c r="E615" t="s">
        <v>508</v>
      </c>
      <c r="F615" t="s">
        <v>558</v>
      </c>
      <c r="G615" t="s">
        <v>559</v>
      </c>
      <c r="H615" t="s">
        <v>568</v>
      </c>
      <c r="I615" t="s">
        <v>569</v>
      </c>
      <c r="K615" t="s">
        <v>570</v>
      </c>
      <c r="L615" t="s">
        <v>532</v>
      </c>
      <c r="M615" t="s">
        <v>540</v>
      </c>
      <c r="N615" t="s">
        <v>540</v>
      </c>
      <c r="O615" t="s">
        <v>540</v>
      </c>
      <c r="P615">
        <v>1</v>
      </c>
      <c r="Q615" t="s">
        <v>567</v>
      </c>
      <c r="R615">
        <v>425</v>
      </c>
    </row>
    <row r="616" spans="2:18">
      <c r="B616">
        <v>27</v>
      </c>
      <c r="C616" t="s">
        <v>533</v>
      </c>
      <c r="D616" t="s">
        <v>534</v>
      </c>
      <c r="E616" t="s">
        <v>508</v>
      </c>
      <c r="F616" t="s">
        <v>558</v>
      </c>
      <c r="G616" t="s">
        <v>559</v>
      </c>
      <c r="H616" t="s">
        <v>571</v>
      </c>
      <c r="I616" t="s">
        <v>572</v>
      </c>
      <c r="K616" t="s">
        <v>573</v>
      </c>
      <c r="L616" t="s">
        <v>532</v>
      </c>
      <c r="M616" t="s">
        <v>540</v>
      </c>
      <c r="N616" t="s">
        <v>574</v>
      </c>
      <c r="O616" t="s">
        <v>540</v>
      </c>
      <c r="P616">
        <v>1</v>
      </c>
      <c r="Q616" t="s">
        <v>553</v>
      </c>
      <c r="R616">
        <v>959</v>
      </c>
    </row>
    <row r="617" spans="2:18">
      <c r="B617">
        <v>28</v>
      </c>
      <c r="C617" t="s">
        <v>533</v>
      </c>
      <c r="D617" t="s">
        <v>534</v>
      </c>
      <c r="E617" t="s">
        <v>508</v>
      </c>
      <c r="F617" t="s">
        <v>558</v>
      </c>
      <c r="G617" t="s">
        <v>575</v>
      </c>
      <c r="H617" t="s">
        <v>576</v>
      </c>
      <c r="I617" t="s">
        <v>577</v>
      </c>
      <c r="K617" t="s">
        <v>578</v>
      </c>
      <c r="L617" t="s">
        <v>532</v>
      </c>
      <c r="M617" t="s">
        <v>540</v>
      </c>
      <c r="N617" t="s">
        <v>540</v>
      </c>
      <c r="O617" t="s">
        <v>540</v>
      </c>
      <c r="P617">
        <v>1</v>
      </c>
      <c r="Q617" t="s">
        <v>553</v>
      </c>
      <c r="R617">
        <v>1680</v>
      </c>
    </row>
    <row r="618" spans="2:18">
      <c r="B618">
        <v>29</v>
      </c>
      <c r="C618" t="s">
        <v>533</v>
      </c>
      <c r="D618" t="s">
        <v>534</v>
      </c>
      <c r="E618" t="s">
        <v>508</v>
      </c>
      <c r="F618" t="s">
        <v>558</v>
      </c>
      <c r="G618" t="s">
        <v>579</v>
      </c>
      <c r="H618" t="s">
        <v>584</v>
      </c>
      <c r="I618" t="s">
        <v>585</v>
      </c>
      <c r="K618" t="s">
        <v>586</v>
      </c>
      <c r="L618" t="s">
        <v>532</v>
      </c>
      <c r="M618" t="s">
        <v>540</v>
      </c>
      <c r="N618" t="s">
        <v>587</v>
      </c>
      <c r="O618" t="s">
        <v>540</v>
      </c>
      <c r="P618">
        <v>1</v>
      </c>
      <c r="Q618" t="s">
        <v>553</v>
      </c>
      <c r="R618">
        <v>74</v>
      </c>
    </row>
    <row r="619" spans="2:18">
      <c r="B619">
        <v>30</v>
      </c>
      <c r="C619" t="s">
        <v>533</v>
      </c>
      <c r="D619" t="s">
        <v>534</v>
      </c>
      <c r="E619" t="s">
        <v>508</v>
      </c>
      <c r="F619" t="s">
        <v>558</v>
      </c>
      <c r="G619" t="s">
        <v>588</v>
      </c>
      <c r="H619" t="s">
        <v>589</v>
      </c>
      <c r="I619" t="s">
        <v>590</v>
      </c>
      <c r="K619" t="s">
        <v>591</v>
      </c>
      <c r="L619" t="s">
        <v>532</v>
      </c>
      <c r="M619" t="s">
        <v>540</v>
      </c>
      <c r="N619" t="s">
        <v>592</v>
      </c>
      <c r="O619" t="s">
        <v>540</v>
      </c>
      <c r="P619">
        <v>1</v>
      </c>
      <c r="Q619" t="s">
        <v>553</v>
      </c>
      <c r="R619">
        <v>84</v>
      </c>
    </row>
    <row r="620" spans="2:18">
      <c r="B620">
        <v>31</v>
      </c>
      <c r="C620" t="s">
        <v>533</v>
      </c>
      <c r="D620" t="s">
        <v>534</v>
      </c>
      <c r="E620" t="s">
        <v>508</v>
      </c>
      <c r="F620" t="s">
        <v>630</v>
      </c>
      <c r="G620" t="s">
        <v>593</v>
      </c>
      <c r="H620" t="s">
        <v>631</v>
      </c>
      <c r="I620" t="s">
        <v>632</v>
      </c>
      <c r="K620" t="s">
        <v>633</v>
      </c>
      <c r="L620" t="s">
        <v>532</v>
      </c>
      <c r="M620" t="s">
        <v>540</v>
      </c>
      <c r="N620" t="s">
        <v>540</v>
      </c>
      <c r="O620" t="s">
        <v>540</v>
      </c>
      <c r="P620">
        <v>1</v>
      </c>
      <c r="Q620" t="s">
        <v>553</v>
      </c>
      <c r="R620">
        <v>41</v>
      </c>
    </row>
    <row r="621" spans="2:18">
      <c r="B621">
        <v>32</v>
      </c>
      <c r="C621" t="s">
        <v>533</v>
      </c>
      <c r="D621" t="s">
        <v>534</v>
      </c>
      <c r="E621" t="s">
        <v>508</v>
      </c>
      <c r="F621" t="s">
        <v>630</v>
      </c>
      <c r="G621" t="s">
        <v>536</v>
      </c>
      <c r="H621" t="s">
        <v>634</v>
      </c>
      <c r="I621" t="s">
        <v>635</v>
      </c>
      <c r="K621" t="s">
        <v>636</v>
      </c>
      <c r="L621" t="s">
        <v>532</v>
      </c>
      <c r="M621" t="s">
        <v>540</v>
      </c>
      <c r="N621" t="s">
        <v>637</v>
      </c>
      <c r="O621" t="s">
        <v>540</v>
      </c>
      <c r="P621">
        <v>1</v>
      </c>
      <c r="Q621" t="s">
        <v>609</v>
      </c>
      <c r="R621">
        <v>290</v>
      </c>
    </row>
    <row r="622" spans="2:18">
      <c r="B622">
        <v>33</v>
      </c>
      <c r="C622" t="s">
        <v>533</v>
      </c>
      <c r="D622" t="s">
        <v>534</v>
      </c>
      <c r="E622" t="s">
        <v>508</v>
      </c>
      <c r="F622" t="s">
        <v>630</v>
      </c>
      <c r="G622" t="s">
        <v>575</v>
      </c>
      <c r="H622" t="s">
        <v>638</v>
      </c>
      <c r="I622" t="s">
        <v>709</v>
      </c>
      <c r="K622" t="s">
        <v>710</v>
      </c>
      <c r="L622" t="s">
        <v>532</v>
      </c>
      <c r="M622" t="s">
        <v>540</v>
      </c>
      <c r="N622" t="s">
        <v>711</v>
      </c>
      <c r="O622" t="s">
        <v>540</v>
      </c>
      <c r="P622">
        <v>1</v>
      </c>
      <c r="Q622" t="s">
        <v>553</v>
      </c>
      <c r="R622">
        <v>153</v>
      </c>
    </row>
    <row r="623" spans="2:18">
      <c r="B623">
        <v>34</v>
      </c>
      <c r="C623" t="s">
        <v>533</v>
      </c>
      <c r="D623" t="s">
        <v>534</v>
      </c>
      <c r="E623" t="s">
        <v>508</v>
      </c>
      <c r="F623" t="s">
        <v>630</v>
      </c>
      <c r="G623" t="s">
        <v>559</v>
      </c>
      <c r="H623" t="s">
        <v>642</v>
      </c>
      <c r="I623" t="s">
        <v>643</v>
      </c>
      <c r="K623" t="s">
        <v>644</v>
      </c>
      <c r="L623" t="s">
        <v>532</v>
      </c>
      <c r="M623" t="s">
        <v>540</v>
      </c>
      <c r="N623" t="s">
        <v>645</v>
      </c>
      <c r="O623" t="s">
        <v>540</v>
      </c>
      <c r="P623">
        <v>1</v>
      </c>
      <c r="Q623" t="s">
        <v>646</v>
      </c>
      <c r="R623">
        <v>55</v>
      </c>
    </row>
    <row r="624" spans="2:18">
      <c r="B624">
        <v>35</v>
      </c>
      <c r="C624" t="s">
        <v>533</v>
      </c>
      <c r="D624" t="s">
        <v>534</v>
      </c>
      <c r="E624" t="s">
        <v>508</v>
      </c>
      <c r="F624" t="s">
        <v>630</v>
      </c>
      <c r="G624" t="s">
        <v>579</v>
      </c>
      <c r="H624" t="s">
        <v>647</v>
      </c>
      <c r="I624" t="s">
        <v>648</v>
      </c>
      <c r="K624" t="s">
        <v>649</v>
      </c>
      <c r="L624" t="s">
        <v>532</v>
      </c>
      <c r="M624" t="s">
        <v>540</v>
      </c>
      <c r="N624" t="s">
        <v>592</v>
      </c>
      <c r="O624" t="s">
        <v>540</v>
      </c>
      <c r="P624">
        <v>1</v>
      </c>
      <c r="Q624" t="s">
        <v>553</v>
      </c>
      <c r="R624">
        <v>66.26</v>
      </c>
    </row>
    <row r="625" spans="2:18">
      <c r="B625">
        <v>36</v>
      </c>
      <c r="C625" t="s">
        <v>533</v>
      </c>
      <c r="D625" t="s">
        <v>534</v>
      </c>
      <c r="E625" t="s">
        <v>508</v>
      </c>
      <c r="F625" t="s">
        <v>630</v>
      </c>
      <c r="G625" t="s">
        <v>650</v>
      </c>
      <c r="H625" t="s">
        <v>651</v>
      </c>
      <c r="I625" t="s">
        <v>652</v>
      </c>
      <c r="K625" t="s">
        <v>653</v>
      </c>
      <c r="L625" t="s">
        <v>532</v>
      </c>
      <c r="M625" t="s">
        <v>540</v>
      </c>
      <c r="N625" t="s">
        <v>654</v>
      </c>
      <c r="O625" t="s">
        <v>540</v>
      </c>
      <c r="P625">
        <v>1</v>
      </c>
      <c r="Q625" t="s">
        <v>553</v>
      </c>
      <c r="R625">
        <v>101</v>
      </c>
    </row>
    <row r="626" spans="2:18">
      <c r="B626">
        <v>37</v>
      </c>
      <c r="C626" t="s">
        <v>533</v>
      </c>
      <c r="D626" t="s">
        <v>534</v>
      </c>
      <c r="E626" t="s">
        <v>508</v>
      </c>
      <c r="F626" t="s">
        <v>630</v>
      </c>
      <c r="G626" t="s">
        <v>650</v>
      </c>
      <c r="H626" t="s">
        <v>655</v>
      </c>
      <c r="I626" t="s">
        <v>656</v>
      </c>
      <c r="K626" t="s">
        <v>657</v>
      </c>
      <c r="L626" t="s">
        <v>532</v>
      </c>
      <c r="M626" t="s">
        <v>540</v>
      </c>
      <c r="N626" t="s">
        <v>658</v>
      </c>
      <c r="O626" t="s">
        <v>540</v>
      </c>
      <c r="P626">
        <v>1</v>
      </c>
      <c r="Q626" t="s">
        <v>553</v>
      </c>
      <c r="R626">
        <v>418</v>
      </c>
    </row>
    <row r="627" spans="2:18">
      <c r="B627">
        <v>38</v>
      </c>
      <c r="C627" t="s">
        <v>533</v>
      </c>
      <c r="D627" t="s">
        <v>534</v>
      </c>
      <c r="E627" t="s">
        <v>508</v>
      </c>
      <c r="F627" t="s">
        <v>630</v>
      </c>
      <c r="G627" t="s">
        <v>650</v>
      </c>
      <c r="H627" t="s">
        <v>659</v>
      </c>
      <c r="I627" t="s">
        <v>660</v>
      </c>
      <c r="K627" t="s">
        <v>661</v>
      </c>
      <c r="L627" t="s">
        <v>532</v>
      </c>
      <c r="M627" t="s">
        <v>540</v>
      </c>
      <c r="N627" t="s">
        <v>662</v>
      </c>
      <c r="O627" t="s">
        <v>540</v>
      </c>
      <c r="P627">
        <v>1</v>
      </c>
      <c r="Q627" t="s">
        <v>553</v>
      </c>
      <c r="R627">
        <v>37</v>
      </c>
    </row>
    <row r="628" spans="2:18">
      <c r="B628">
        <v>40</v>
      </c>
      <c r="C628" t="s">
        <v>533</v>
      </c>
      <c r="D628" t="s">
        <v>534</v>
      </c>
      <c r="E628" t="s">
        <v>508</v>
      </c>
      <c r="F628" t="s">
        <v>630</v>
      </c>
      <c r="G628" t="s">
        <v>548</v>
      </c>
      <c r="H628" t="s">
        <v>668</v>
      </c>
      <c r="I628" t="s">
        <v>669</v>
      </c>
      <c r="K628" t="s">
        <v>670</v>
      </c>
      <c r="L628" t="s">
        <v>532</v>
      </c>
      <c r="M628" t="s">
        <v>540</v>
      </c>
      <c r="N628" t="s">
        <v>671</v>
      </c>
      <c r="O628" t="s">
        <v>540</v>
      </c>
      <c r="P628">
        <v>1</v>
      </c>
      <c r="Q628" t="s">
        <v>567</v>
      </c>
      <c r="R628">
        <v>4.7</v>
      </c>
    </row>
    <row r="629" spans="2:18">
      <c r="B629">
        <v>41</v>
      </c>
      <c r="C629" t="s">
        <v>533</v>
      </c>
      <c r="D629" t="s">
        <v>534</v>
      </c>
      <c r="E629" t="s">
        <v>508</v>
      </c>
      <c r="F629" t="s">
        <v>630</v>
      </c>
      <c r="G629" t="s">
        <v>650</v>
      </c>
      <c r="H629" t="s">
        <v>672</v>
      </c>
      <c r="I629" t="s">
        <v>673</v>
      </c>
      <c r="K629" t="s">
        <v>674</v>
      </c>
      <c r="L629" t="s">
        <v>532</v>
      </c>
      <c r="M629" t="s">
        <v>540</v>
      </c>
      <c r="N629" t="s">
        <v>675</v>
      </c>
      <c r="O629" t="s">
        <v>540</v>
      </c>
      <c r="P629">
        <v>1</v>
      </c>
      <c r="Q629" t="s">
        <v>618</v>
      </c>
      <c r="R629">
        <v>370</v>
      </c>
    </row>
    <row r="630" spans="2:18">
      <c r="B630">
        <v>42</v>
      </c>
      <c r="C630" t="s">
        <v>533</v>
      </c>
      <c r="D630" t="s">
        <v>534</v>
      </c>
      <c r="E630" t="s">
        <v>508</v>
      </c>
      <c r="F630" t="s">
        <v>630</v>
      </c>
      <c r="G630" t="s">
        <v>650</v>
      </c>
      <c r="H630" t="s">
        <v>676</v>
      </c>
      <c r="I630" t="s">
        <v>677</v>
      </c>
      <c r="K630" t="s">
        <v>678</v>
      </c>
      <c r="L630" t="s">
        <v>532</v>
      </c>
      <c r="M630" t="s">
        <v>540</v>
      </c>
      <c r="N630" t="s">
        <v>679</v>
      </c>
      <c r="O630" t="s">
        <v>540</v>
      </c>
      <c r="P630">
        <v>1</v>
      </c>
      <c r="Q630" t="s">
        <v>553</v>
      </c>
      <c r="R630">
        <v>39.5</v>
      </c>
    </row>
    <row r="631" spans="2:18">
      <c r="B631">
        <v>43</v>
      </c>
      <c r="C631" t="s">
        <v>533</v>
      </c>
      <c r="D631" t="s">
        <v>534</v>
      </c>
      <c r="E631" t="s">
        <v>508</v>
      </c>
      <c r="F631" t="s">
        <v>630</v>
      </c>
      <c r="G631" t="s">
        <v>650</v>
      </c>
      <c r="H631" t="s">
        <v>680</v>
      </c>
      <c r="I631" t="s">
        <v>681</v>
      </c>
      <c r="K631" t="s">
        <v>682</v>
      </c>
      <c r="L631" t="s">
        <v>532</v>
      </c>
      <c r="M631" t="s">
        <v>540</v>
      </c>
      <c r="N631" t="s">
        <v>679</v>
      </c>
      <c r="O631" t="s">
        <v>540</v>
      </c>
      <c r="P631">
        <v>1</v>
      </c>
      <c r="Q631" t="s">
        <v>553</v>
      </c>
      <c r="R631">
        <v>17.2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8"/>
  <sheetViews>
    <sheetView topLeftCell="A3" workbookViewId="0">
      <selection activeCell="L20" sqref="L20"/>
    </sheetView>
  </sheetViews>
  <sheetFormatPr defaultColWidth="12" defaultRowHeight="14"/>
  <cols>
    <col min="2" max="11" width="10.75" customWidth="1"/>
  </cols>
  <sheetData>
    <row r="1" ht="14.25" customHeight="1" spans="2:11">
      <c r="B1" s="16" t="str">
        <f>"安居乐寓"&amp;'【2】运营中心填-基本信息&amp;审核标准'!C2&amp;'【2】运营中心填-基本信息&amp;审核标准'!E2&amp;"公寓定价"</f>
        <v>安居乐寓兴围村兴围西4-11栋公寓定价</v>
      </c>
      <c r="C1" s="17"/>
      <c r="D1" s="17"/>
      <c r="E1" s="17"/>
      <c r="F1" s="17"/>
      <c r="G1" s="17"/>
      <c r="H1" s="17"/>
      <c r="I1" s="17"/>
      <c r="J1" s="17"/>
      <c r="K1" s="17"/>
    </row>
    <row r="2" ht="14.25" customHeight="1" spans="2:11">
      <c r="B2" s="16"/>
      <c r="C2" s="17"/>
      <c r="D2" s="17"/>
      <c r="E2" s="17"/>
      <c r="F2" s="17"/>
      <c r="G2" s="17"/>
      <c r="H2" s="17"/>
      <c r="I2" s="17"/>
      <c r="J2" s="17"/>
      <c r="K2" s="17"/>
    </row>
    <row r="3" ht="16.5" spans="2:11">
      <c r="B3" s="18" t="s">
        <v>769</v>
      </c>
      <c r="C3" s="19" t="s">
        <v>770</v>
      </c>
      <c r="D3" s="20">
        <v>101</v>
      </c>
      <c r="E3" s="20">
        <v>102</v>
      </c>
      <c r="F3" s="20">
        <v>103</v>
      </c>
      <c r="G3" s="20">
        <v>104</v>
      </c>
      <c r="H3" s="20">
        <v>105</v>
      </c>
      <c r="I3" s="20">
        <v>106</v>
      </c>
      <c r="J3" s="20">
        <v>107</v>
      </c>
      <c r="K3" s="20"/>
    </row>
    <row r="4" ht="16.5" spans="2:11">
      <c r="B4" s="18"/>
      <c r="C4" s="19" t="s">
        <v>361</v>
      </c>
      <c r="D4" s="4" t="str">
        <f>VLOOKUP(D3,'【3-2】大区&amp;运营中心填-房间模型价'!$H:$AM,2,0)</f>
        <v>A</v>
      </c>
      <c r="E4" s="4" t="str">
        <f>VLOOKUP(E3,'【3-2】大区&amp;运营中心填-房间模型价'!$H:$AM,2,0)</f>
        <v>B</v>
      </c>
      <c r="F4" s="4" t="str">
        <f>VLOOKUP(F3,'【3-2】大区&amp;运营中心填-房间模型价'!$H:$AM,2,0)</f>
        <v>B</v>
      </c>
      <c r="G4" s="4" t="str">
        <f>VLOOKUP(G3,'【3-2】大区&amp;运营中心填-房间模型价'!$H:$AM,2,0)</f>
        <v>C</v>
      </c>
      <c r="H4" s="4" t="str">
        <f>VLOOKUP(H3,'【3-2】大区&amp;运营中心填-房间模型价'!$H:$AM,2,0)</f>
        <v>D</v>
      </c>
      <c r="I4" s="4" t="str">
        <f>VLOOKUP(I3,'【3-2】大区&amp;运营中心填-房间模型价'!$H:$AM,2,0)</f>
        <v>E</v>
      </c>
      <c r="J4" s="4" t="str">
        <f>VLOOKUP(J3,'【3-2】大区&amp;运营中心填-房间模型价'!$H:$AM,2,0)</f>
        <v>F</v>
      </c>
      <c r="K4" s="4"/>
    </row>
    <row r="5" ht="16.5" spans="2:11">
      <c r="B5" s="21"/>
      <c r="C5" s="22" t="s">
        <v>771</v>
      </c>
      <c r="D5" s="23">
        <f>VLOOKUP(D3,'【3-2】大区&amp;运营中心填-房间模型价'!$H:$AM,32,0)</f>
        <v>1320</v>
      </c>
      <c r="E5" s="23">
        <f>VLOOKUP(E3,'【3-2】大区&amp;运营中心填-房间模型价'!$H:$AM,32,0)</f>
        <v>1320</v>
      </c>
      <c r="F5" s="23">
        <f>VLOOKUP(F3,'【3-2】大区&amp;运营中心填-房间模型价'!$H:$AM,32,0)</f>
        <v>1380</v>
      </c>
      <c r="G5" s="23">
        <f>VLOOKUP(G3,'【3-2】大区&amp;运营中心填-房间模型价'!$H:$AM,32,0)</f>
        <v>1700</v>
      </c>
      <c r="H5" s="23">
        <f>VLOOKUP(H3,'【3-2】大区&amp;运营中心填-房间模型价'!$H:$AM,32,0)</f>
        <v>1280</v>
      </c>
      <c r="I5" s="23">
        <f>VLOOKUP(I3,'【3-2】大区&amp;运营中心填-房间模型价'!$H:$AM,32,0)</f>
        <v>1380</v>
      </c>
      <c r="J5" s="23">
        <f>VLOOKUP(J3,'【3-2】大区&amp;运营中心填-房间模型价'!$H:$AM,32,0)</f>
        <v>1380</v>
      </c>
      <c r="K5" s="23"/>
    </row>
    <row r="6" ht="17.5" spans="2:11">
      <c r="B6" s="24"/>
      <c r="C6" s="25"/>
      <c r="D6" s="26"/>
      <c r="E6" s="26"/>
      <c r="F6" s="26"/>
      <c r="G6" s="26"/>
      <c r="H6" s="26"/>
      <c r="I6" s="26"/>
      <c r="J6" s="26"/>
      <c r="K6" s="26"/>
    </row>
    <row r="7" ht="16.5" spans="2:11">
      <c r="B7" s="18" t="s">
        <v>772</v>
      </c>
      <c r="C7" s="19" t="s">
        <v>770</v>
      </c>
      <c r="D7" s="27">
        <v>201</v>
      </c>
      <c r="E7" s="27">
        <v>202</v>
      </c>
      <c r="F7" s="27">
        <v>203</v>
      </c>
      <c r="G7" s="27">
        <v>204</v>
      </c>
      <c r="H7" s="27">
        <v>205</v>
      </c>
      <c r="I7" s="27">
        <v>206</v>
      </c>
      <c r="J7" s="27">
        <v>207</v>
      </c>
      <c r="K7" s="27">
        <v>208</v>
      </c>
    </row>
    <row r="8" ht="16.5" spans="2:11">
      <c r="B8" s="18"/>
      <c r="C8" s="19" t="s">
        <v>361</v>
      </c>
      <c r="D8" s="4" t="str">
        <f>VLOOKUP(D7,'【3-2】大区&amp;运营中心填-房间模型价'!$H:$AM,2,0)</f>
        <v>G</v>
      </c>
      <c r="E8" s="4" t="str">
        <f>VLOOKUP(E7,'【3-2】大区&amp;运营中心填-房间模型价'!$H:$AM,2,0)</f>
        <v>H</v>
      </c>
      <c r="F8" s="4" t="str">
        <f>VLOOKUP(F7,'【3-2】大区&amp;运营中心填-房间模型价'!$H:$AM,2,0)</f>
        <v>I</v>
      </c>
      <c r="G8" s="4" t="str">
        <f>VLOOKUP(G7,'【3-2】大区&amp;运营中心填-房间模型价'!$H:$AM,2,0)</f>
        <v>J</v>
      </c>
      <c r="H8" s="4" t="str">
        <f>VLOOKUP(H7,'【3-2】大区&amp;运营中心填-房间模型价'!$H:$AM,2,0)</f>
        <v>K</v>
      </c>
      <c r="I8" s="4" t="str">
        <f>VLOOKUP(I7,'【3-2】大区&amp;运营中心填-房间模型价'!$H:$AM,2,0)</f>
        <v>L</v>
      </c>
      <c r="J8" s="4" t="str">
        <f>VLOOKUP(J7,'【3-2】大区&amp;运营中心填-房间模型价'!$H:$AM,2,0)</f>
        <v>J</v>
      </c>
      <c r="K8" s="4" t="str">
        <f>VLOOKUP(K7,'【3-2】大区&amp;运营中心填-房间模型价'!$H:$AM,2,0)</f>
        <v>M</v>
      </c>
    </row>
    <row r="9" ht="16.5" spans="2:11">
      <c r="B9" s="21"/>
      <c r="C9" s="22" t="s">
        <v>771</v>
      </c>
      <c r="D9" s="23">
        <f>VLOOKUP(D7,'【3-2】大区&amp;运营中心填-房间模型价'!$H:$AM,32,0)</f>
        <v>1500</v>
      </c>
      <c r="E9" s="23">
        <f>VLOOKUP(E7,'【3-2】大区&amp;运营中心填-房间模型价'!$H:$AM,32,0)</f>
        <v>1980</v>
      </c>
      <c r="F9" s="23">
        <f>VLOOKUP(F7,'【3-2】大区&amp;运营中心填-房间模型价'!$H:$AM,32,0)</f>
        <v>1430</v>
      </c>
      <c r="G9" s="23">
        <f>VLOOKUP(G7,'【3-2】大区&amp;运营中心填-房间模型价'!$H:$AM,32,0)</f>
        <v>1340</v>
      </c>
      <c r="H9" s="23">
        <f>VLOOKUP(H7,'【3-2】大区&amp;运营中心填-房间模型价'!$H:$AM,32,0)</f>
        <v>1430</v>
      </c>
      <c r="I9" s="23">
        <f>VLOOKUP(I7,'【3-2】大区&amp;运营中心填-房间模型价'!$H:$AM,32,0)</f>
        <v>1980</v>
      </c>
      <c r="J9" s="23">
        <f>VLOOKUP(J7,'【3-2】大区&amp;运营中心填-房间模型价'!$H:$AM,32,0)</f>
        <v>1430</v>
      </c>
      <c r="K9" s="23">
        <f>VLOOKUP(K7,'【3-2】大区&amp;运营中心填-房间模型价'!$H:$AM,32,0)</f>
        <v>2080</v>
      </c>
    </row>
    <row r="10" ht="17.5" spans="2:11">
      <c r="B10" s="24"/>
      <c r="C10" s="25"/>
      <c r="D10" s="26"/>
      <c r="E10" s="26"/>
      <c r="F10" s="26"/>
      <c r="G10" s="26"/>
      <c r="H10" s="26"/>
      <c r="I10" s="26"/>
      <c r="J10" s="26"/>
      <c r="K10" s="26"/>
    </row>
    <row r="11" ht="16.5" spans="2:11">
      <c r="B11" s="18" t="s">
        <v>773</v>
      </c>
      <c r="C11" s="19" t="s">
        <v>770</v>
      </c>
      <c r="D11" s="27">
        <v>301</v>
      </c>
      <c r="E11" s="27">
        <v>302</v>
      </c>
      <c r="F11" s="27">
        <v>303</v>
      </c>
      <c r="G11" s="27">
        <v>304</v>
      </c>
      <c r="H11" s="27">
        <v>305</v>
      </c>
      <c r="I11" s="27">
        <v>306</v>
      </c>
      <c r="J11" s="27">
        <v>307</v>
      </c>
      <c r="K11" s="27">
        <v>308</v>
      </c>
    </row>
    <row r="12" ht="16.5" spans="2:11">
      <c r="B12" s="18"/>
      <c r="C12" s="19" t="s">
        <v>361</v>
      </c>
      <c r="D12" s="4" t="str">
        <f>VLOOKUP(D11,'【3-2】大区&amp;运营中心填-房间模型价'!$H:$AM,2,0)</f>
        <v>N</v>
      </c>
      <c r="E12" s="4" t="str">
        <f>VLOOKUP(E11,'【3-2】大区&amp;运营中心填-房间模型价'!$H:$AM,2,0)</f>
        <v>H</v>
      </c>
      <c r="F12" s="4" t="str">
        <f>VLOOKUP(F11,'【3-2】大区&amp;运营中心填-房间模型价'!$H:$AM,2,0)</f>
        <v>O</v>
      </c>
      <c r="G12" s="4" t="str">
        <f>VLOOKUP(G11,'【3-2】大区&amp;运营中心填-房间模型价'!$H:$AM,2,0)</f>
        <v>P</v>
      </c>
      <c r="H12" s="4" t="str">
        <f>VLOOKUP(H11,'【3-2】大区&amp;运营中心填-房间模型价'!$H:$AM,2,0)</f>
        <v>K</v>
      </c>
      <c r="I12" s="4" t="str">
        <f>VLOOKUP(I11,'【3-2】大区&amp;运营中心填-房间模型价'!$H:$AM,2,0)</f>
        <v>L</v>
      </c>
      <c r="J12" s="4" t="str">
        <f>VLOOKUP(J11,'【3-2】大区&amp;运营中心填-房间模型价'!$H:$AM,2,0)</f>
        <v>J</v>
      </c>
      <c r="K12" s="4" t="str">
        <f>VLOOKUP(K11,'【3-2】大区&amp;运营中心填-房间模型价'!$H:$AM,2,0)</f>
        <v>Q</v>
      </c>
    </row>
    <row r="13" ht="16.5" spans="2:11">
      <c r="B13" s="21"/>
      <c r="C13" s="22" t="s">
        <v>771</v>
      </c>
      <c r="D13" s="23">
        <f>VLOOKUP(D11,'【3-2】大区&amp;运营中心填-房间模型价'!$H:$AM,32,0)</f>
        <v>1500</v>
      </c>
      <c r="E13" s="23">
        <f>VLOOKUP(E11,'【3-2】大区&amp;运营中心填-房间模型价'!$H:$AM,32,0)</f>
        <v>1980</v>
      </c>
      <c r="F13" s="23">
        <f>VLOOKUP(F11,'【3-2】大区&amp;运营中心填-房间模型价'!$H:$AM,32,0)</f>
        <v>1520</v>
      </c>
      <c r="G13" s="23">
        <f>VLOOKUP(G11,'【3-2】大区&amp;运营中心填-房间模型价'!$H:$AM,32,0)</f>
        <v>1430</v>
      </c>
      <c r="H13" s="23">
        <f>VLOOKUP(H11,'【3-2】大区&amp;运营中心填-房间模型价'!$H:$AM,32,0)</f>
        <v>1430</v>
      </c>
      <c r="I13" s="23">
        <f>VLOOKUP(I11,'【3-2】大区&amp;运营中心填-房间模型价'!$H:$AM,32,0)</f>
        <v>1980</v>
      </c>
      <c r="J13" s="23">
        <f>VLOOKUP(J11,'【3-2】大区&amp;运营中心填-房间模型价'!$H:$AM,32,0)</f>
        <v>1430</v>
      </c>
      <c r="K13" s="23">
        <f>VLOOKUP(K11,'【3-2】大区&amp;运营中心填-房间模型价'!$H:$AM,32,0)</f>
        <v>2080</v>
      </c>
    </row>
    <row r="14" ht="17.5" spans="2:11">
      <c r="B14" s="24"/>
      <c r="C14" s="25"/>
      <c r="D14" s="26"/>
      <c r="E14" s="26"/>
      <c r="F14" s="26"/>
      <c r="G14" s="26"/>
      <c r="H14" s="26"/>
      <c r="I14" s="26"/>
      <c r="J14" s="26"/>
      <c r="K14" s="26"/>
    </row>
    <row r="15" ht="16.5" spans="2:11">
      <c r="B15" s="18" t="s">
        <v>774</v>
      </c>
      <c r="C15" s="19" t="s">
        <v>770</v>
      </c>
      <c r="D15" s="27">
        <v>401</v>
      </c>
      <c r="E15" s="27">
        <v>402</v>
      </c>
      <c r="F15" s="27">
        <v>403</v>
      </c>
      <c r="G15" s="27">
        <v>404</v>
      </c>
      <c r="H15" s="27">
        <v>405</v>
      </c>
      <c r="I15" s="27">
        <v>406</v>
      </c>
      <c r="J15" s="27">
        <v>407</v>
      </c>
      <c r="K15" s="27">
        <v>408</v>
      </c>
    </row>
    <row r="16" ht="16.5" spans="2:11">
      <c r="B16" s="18"/>
      <c r="C16" s="19" t="s">
        <v>361</v>
      </c>
      <c r="D16" s="4" t="str">
        <f>VLOOKUP(D15,'【3-2】大区&amp;运营中心填-房间模型价'!$H:$AM,2,0)</f>
        <v>N</v>
      </c>
      <c r="E16" s="4" t="str">
        <f>VLOOKUP(E15,'【3-2】大区&amp;运营中心填-房间模型价'!$H:$AM,2,0)</f>
        <v>H</v>
      </c>
      <c r="F16" s="4" t="str">
        <f>VLOOKUP(F15,'【3-2】大区&amp;运营中心填-房间模型价'!$H:$AM,2,0)</f>
        <v>O</v>
      </c>
      <c r="G16" s="4" t="str">
        <f>VLOOKUP(G15,'【3-2】大区&amp;运营中心填-房间模型价'!$H:$AM,2,0)</f>
        <v>P</v>
      </c>
      <c r="H16" s="4" t="str">
        <f>VLOOKUP(H15,'【3-2】大区&amp;运营中心填-房间模型价'!$H:$AM,2,0)</f>
        <v>K</v>
      </c>
      <c r="I16" s="4" t="str">
        <f>VLOOKUP(I15,'【3-2】大区&amp;运营中心填-房间模型价'!$H:$AM,2,0)</f>
        <v>L</v>
      </c>
      <c r="J16" s="4" t="str">
        <f>VLOOKUP(J15,'【3-2】大区&amp;运营中心填-房间模型价'!$H:$AM,2,0)</f>
        <v>J</v>
      </c>
      <c r="K16" s="4" t="str">
        <f>VLOOKUP(K15,'【3-2】大区&amp;运营中心填-房间模型价'!$H:$AM,2,0)</f>
        <v>Q</v>
      </c>
    </row>
    <row r="17" ht="16.5" spans="2:11">
      <c r="B17" s="21"/>
      <c r="C17" s="22" t="s">
        <v>771</v>
      </c>
      <c r="D17" s="23">
        <f>VLOOKUP(D15,'【3-2】大区&amp;运营中心填-房间模型价'!$H:$AM,32,0)</f>
        <v>1530</v>
      </c>
      <c r="E17" s="23">
        <f>VLOOKUP(E15,'【3-2】大区&amp;运营中心填-房间模型价'!$H:$AM,32,0)</f>
        <v>2080</v>
      </c>
      <c r="F17" s="23">
        <f>VLOOKUP(F15,'【3-2】大区&amp;运营中心填-房间模型价'!$H:$AM,32,0)</f>
        <v>1640</v>
      </c>
      <c r="G17" s="23">
        <f>VLOOKUP(G15,'【3-2】大区&amp;运营中心填-房间模型价'!$H:$AM,32,0)</f>
        <v>1450</v>
      </c>
      <c r="H17" s="23">
        <f>VLOOKUP(H15,'【3-2】大区&amp;运营中心填-房间模型价'!$H:$AM,32,0)</f>
        <v>1560</v>
      </c>
      <c r="I17" s="23">
        <f>VLOOKUP(I15,'【3-2】大区&amp;运营中心填-房间模型价'!$H:$AM,32,0)</f>
        <v>2000</v>
      </c>
      <c r="J17" s="23">
        <f>VLOOKUP(J15,'【3-2】大区&amp;运营中心填-房间模型价'!$H:$AM,32,0)</f>
        <v>1460</v>
      </c>
      <c r="K17" s="23">
        <f>VLOOKUP(K15,'【3-2】大区&amp;运营中心填-房间模型价'!$H:$AM,32,0)</f>
        <v>2180</v>
      </c>
    </row>
    <row r="18" ht="17.5" spans="2:11">
      <c r="B18" s="24"/>
      <c r="C18" s="25"/>
      <c r="D18" s="26"/>
      <c r="E18" s="26"/>
      <c r="F18" s="26"/>
      <c r="G18" s="26"/>
      <c r="H18" s="26"/>
      <c r="I18" s="26"/>
      <c r="J18" s="26"/>
      <c r="K18" s="26"/>
    </row>
    <row r="19" ht="16.5" spans="2:11">
      <c r="B19" s="18" t="s">
        <v>775</v>
      </c>
      <c r="C19" s="19" t="s">
        <v>770</v>
      </c>
      <c r="D19" s="27">
        <v>501</v>
      </c>
      <c r="E19" s="27">
        <v>502</v>
      </c>
      <c r="F19" s="27">
        <v>503</v>
      </c>
      <c r="G19" s="27">
        <v>504</v>
      </c>
      <c r="H19" s="27">
        <v>505</v>
      </c>
      <c r="I19" s="27">
        <v>506</v>
      </c>
      <c r="J19" s="27">
        <v>507</v>
      </c>
      <c r="K19" s="27">
        <v>508</v>
      </c>
    </row>
    <row r="20" ht="16.5" spans="2:11">
      <c r="B20" s="18"/>
      <c r="C20" s="19" t="s">
        <v>361</v>
      </c>
      <c r="D20" s="4" t="str">
        <f>VLOOKUP(D19,'【3-2】大区&amp;运营中心填-房间模型价'!$H:$AM,2,0)</f>
        <v>N</v>
      </c>
      <c r="E20" s="4" t="str">
        <f>VLOOKUP(E19,'【3-2】大区&amp;运营中心填-房间模型价'!$H:$AM,2,0)</f>
        <v>H</v>
      </c>
      <c r="F20" s="4" t="str">
        <f>VLOOKUP(F19,'【3-2】大区&amp;运营中心填-房间模型价'!$H:$AM,2,0)</f>
        <v>O</v>
      </c>
      <c r="G20" s="4" t="str">
        <f>VLOOKUP(G19,'【3-2】大区&amp;运营中心填-房间模型价'!$H:$AM,2,0)</f>
        <v>P</v>
      </c>
      <c r="H20" s="4" t="str">
        <f>VLOOKUP(H19,'【3-2】大区&amp;运营中心填-房间模型价'!$H:$AM,2,0)</f>
        <v>K</v>
      </c>
      <c r="I20" s="4" t="str">
        <f>VLOOKUP(I19,'【3-2】大区&amp;运营中心填-房间模型价'!$H:$AM,2,0)</f>
        <v>L</v>
      </c>
      <c r="J20" s="4" t="str">
        <f>VLOOKUP(J19,'【3-2】大区&amp;运营中心填-房间模型价'!$H:$AM,2,0)</f>
        <v>J</v>
      </c>
      <c r="K20" s="4" t="str">
        <f>VLOOKUP(K19,'【3-2】大区&amp;运营中心填-房间模型价'!$H:$AM,2,0)</f>
        <v>Q</v>
      </c>
    </row>
    <row r="21" ht="16.5" spans="2:11">
      <c r="B21" s="21"/>
      <c r="C21" s="22" t="s">
        <v>771</v>
      </c>
      <c r="D21" s="23">
        <f>VLOOKUP(D19,'【3-2】大区&amp;运营中心填-房间模型价'!$H:$AM,32,0)</f>
        <v>1530</v>
      </c>
      <c r="E21" s="23">
        <f>VLOOKUP(E19,'【3-2】大区&amp;运营中心填-房间模型价'!$H:$AM,32,0)</f>
        <v>2080</v>
      </c>
      <c r="F21" s="23">
        <f>VLOOKUP(F19,'【3-2】大区&amp;运营中心填-房间模型价'!$H:$AM,32,0)</f>
        <v>1660</v>
      </c>
      <c r="G21" s="23">
        <f>VLOOKUP(G19,'【3-2】大区&amp;运营中心填-房间模型价'!$H:$AM,32,0)</f>
        <v>1460</v>
      </c>
      <c r="H21" s="23">
        <f>VLOOKUP(H19,'【3-2】大区&amp;运营中心填-房间模型价'!$H:$AM,32,0)</f>
        <v>1560</v>
      </c>
      <c r="I21" s="23">
        <f>VLOOKUP(I19,'【3-2】大区&amp;运营中心填-房间模型价'!$H:$AM,32,0)</f>
        <v>2000</v>
      </c>
      <c r="J21" s="23">
        <f>VLOOKUP(J19,'【3-2】大区&amp;运营中心填-房间模型价'!$H:$AM,32,0)</f>
        <v>1460</v>
      </c>
      <c r="K21" s="23">
        <f>VLOOKUP(K19,'【3-2】大区&amp;运营中心填-房间模型价'!$H:$AM,32,0)</f>
        <v>2180</v>
      </c>
    </row>
    <row r="22" ht="17.5" spans="2:11">
      <c r="B22" s="24"/>
      <c r="C22" s="25"/>
      <c r="D22" s="26"/>
      <c r="E22" s="26"/>
      <c r="F22" s="26"/>
      <c r="G22" s="26"/>
      <c r="H22" s="26"/>
      <c r="I22" s="26"/>
      <c r="J22" s="26"/>
      <c r="K22" s="26"/>
    </row>
    <row r="23" ht="16.5" spans="2:11">
      <c r="B23" s="18" t="s">
        <v>776</v>
      </c>
      <c r="C23" s="19" t="s">
        <v>770</v>
      </c>
      <c r="D23" s="27">
        <v>601</v>
      </c>
      <c r="E23" s="27">
        <v>602</v>
      </c>
      <c r="F23" s="27">
        <v>603</v>
      </c>
      <c r="G23" s="27">
        <v>604</v>
      </c>
      <c r="H23" s="27">
        <v>605</v>
      </c>
      <c r="I23" s="27">
        <v>606</v>
      </c>
      <c r="J23" s="27">
        <v>607</v>
      </c>
      <c r="K23" s="27">
        <v>608</v>
      </c>
    </row>
    <row r="24" ht="16.5" spans="2:11">
      <c r="B24" s="18"/>
      <c r="C24" s="19" t="s">
        <v>361</v>
      </c>
      <c r="D24" s="4" t="str">
        <f>VLOOKUP(D23,'【3-2】大区&amp;运营中心填-房间模型价'!$H:$AM,2,0)</f>
        <v>N</v>
      </c>
      <c r="E24" s="4" t="str">
        <f>VLOOKUP(E23,'【3-2】大区&amp;运营中心填-房间模型价'!$H:$AM,2,0)</f>
        <v>H</v>
      </c>
      <c r="F24" s="4" t="str">
        <f>VLOOKUP(F23,'【3-2】大区&amp;运营中心填-房间模型价'!$H:$AM,2,0)</f>
        <v>O</v>
      </c>
      <c r="G24" s="4" t="str">
        <f>VLOOKUP(G23,'【3-2】大区&amp;运营中心填-房间模型价'!$H:$AM,2,0)</f>
        <v>P</v>
      </c>
      <c r="H24" s="4" t="str">
        <f>VLOOKUP(H23,'【3-2】大区&amp;运营中心填-房间模型价'!$H:$AM,2,0)</f>
        <v>K</v>
      </c>
      <c r="I24" s="4" t="str">
        <f>VLOOKUP(I23,'【3-2】大区&amp;运营中心填-房间模型价'!$H:$AM,2,0)</f>
        <v>L</v>
      </c>
      <c r="J24" s="4" t="str">
        <f>VLOOKUP(J23,'【3-2】大区&amp;运营中心填-房间模型价'!$H:$AM,2,0)</f>
        <v>J</v>
      </c>
      <c r="K24" s="4" t="str">
        <f>VLOOKUP(K23,'【3-2】大区&amp;运营中心填-房间模型价'!$H:$AM,2,0)</f>
        <v>Q</v>
      </c>
    </row>
    <row r="25" ht="16.5" spans="2:11">
      <c r="B25" s="21"/>
      <c r="C25" s="22" t="s">
        <v>771</v>
      </c>
      <c r="D25" s="23">
        <f>VLOOKUP(D23,'【3-2】大区&amp;运营中心填-房间模型价'!$H:$AM,32,0)</f>
        <v>1530</v>
      </c>
      <c r="E25" s="23">
        <f>VLOOKUP(E23,'【3-2】大区&amp;运营中心填-房间模型价'!$H:$AM,32,0)</f>
        <v>2080</v>
      </c>
      <c r="F25" s="23">
        <f>VLOOKUP(F23,'【3-2】大区&amp;运营中心填-房间模型价'!$H:$AM,32,0)</f>
        <v>1660</v>
      </c>
      <c r="G25" s="23">
        <f>VLOOKUP(G23,'【3-2】大区&amp;运营中心填-房间模型价'!$H:$AM,32,0)</f>
        <v>1460</v>
      </c>
      <c r="H25" s="23">
        <f>VLOOKUP(H23,'【3-2】大区&amp;运营中心填-房间模型价'!$H:$AM,32,0)</f>
        <v>1560</v>
      </c>
      <c r="I25" s="23">
        <f>VLOOKUP(I23,'【3-2】大区&amp;运营中心填-房间模型价'!$H:$AM,32,0)</f>
        <v>2000</v>
      </c>
      <c r="J25" s="23">
        <f>VLOOKUP(J23,'【3-2】大区&amp;运营中心填-房间模型价'!$H:$AM,32,0)</f>
        <v>1460</v>
      </c>
      <c r="K25" s="23">
        <f>VLOOKUP(K23,'【3-2】大区&amp;运营中心填-房间模型价'!$H:$AM,32,0)</f>
        <v>2180</v>
      </c>
    </row>
    <row r="26" ht="17.5" spans="2:11">
      <c r="B26" s="24"/>
      <c r="C26" s="25"/>
      <c r="D26" s="26"/>
      <c r="E26" s="26"/>
      <c r="F26" s="26"/>
      <c r="G26" s="26"/>
      <c r="H26" s="26"/>
      <c r="I26" s="26"/>
      <c r="J26" s="26"/>
      <c r="K26" s="26"/>
    </row>
    <row r="27" ht="16.5" spans="2:11">
      <c r="B27" s="18" t="s">
        <v>777</v>
      </c>
      <c r="C27" s="19" t="s">
        <v>770</v>
      </c>
      <c r="D27" s="27">
        <v>701</v>
      </c>
      <c r="E27" s="27">
        <v>702</v>
      </c>
      <c r="F27" s="27">
        <v>703</v>
      </c>
      <c r="G27" s="27">
        <v>704</v>
      </c>
      <c r="H27" s="27">
        <v>705</v>
      </c>
      <c r="I27" s="27">
        <v>706</v>
      </c>
      <c r="J27" s="27">
        <v>707</v>
      </c>
      <c r="K27" s="27">
        <v>708</v>
      </c>
    </row>
    <row r="28" ht="16.5" spans="2:11">
      <c r="B28" s="18"/>
      <c r="C28" s="19" t="s">
        <v>361</v>
      </c>
      <c r="D28" s="4" t="str">
        <f>VLOOKUP(D27,'【3-2】大区&amp;运营中心填-房间模型价'!$H:$AM,2,0)</f>
        <v>N</v>
      </c>
      <c r="E28" s="4" t="str">
        <f>VLOOKUP(E27,'【3-2】大区&amp;运营中心填-房间模型价'!$H:$AM,2,0)</f>
        <v>H</v>
      </c>
      <c r="F28" s="4" t="str">
        <f>VLOOKUP(F27,'【3-2】大区&amp;运营中心填-房间模型价'!$H:$AM,2,0)</f>
        <v>O</v>
      </c>
      <c r="G28" s="4" t="str">
        <f>VLOOKUP(G27,'【3-2】大区&amp;运营中心填-房间模型价'!$H:$AM,2,0)</f>
        <v>P</v>
      </c>
      <c r="H28" s="4" t="str">
        <f>VLOOKUP(H27,'【3-2】大区&amp;运营中心填-房间模型价'!$H:$AM,2,0)</f>
        <v>K</v>
      </c>
      <c r="I28" s="4" t="str">
        <f>VLOOKUP(I27,'【3-2】大区&amp;运营中心填-房间模型价'!$H:$AM,2,0)</f>
        <v>L</v>
      </c>
      <c r="J28" s="4" t="str">
        <f>VLOOKUP(J27,'【3-2】大区&amp;运营中心填-房间模型价'!$H:$AM,2,0)</f>
        <v>J</v>
      </c>
      <c r="K28" s="4" t="str">
        <f>VLOOKUP(K27,'【3-2】大区&amp;运营中心填-房间模型价'!$H:$AM,2,0)</f>
        <v>Q</v>
      </c>
    </row>
    <row r="29" ht="16.5" spans="2:11">
      <c r="B29" s="21"/>
      <c r="C29" s="22" t="s">
        <v>771</v>
      </c>
      <c r="D29" s="23">
        <f>VLOOKUP(D27,'【3-2】大区&amp;运营中心填-房间模型价'!$H:$AM,32,0)</f>
        <v>1540</v>
      </c>
      <c r="E29" s="23">
        <f>VLOOKUP(E27,'【3-2】大区&amp;运营中心填-房间模型价'!$H:$AM,32,0)</f>
        <v>2100</v>
      </c>
      <c r="F29" s="23">
        <f>VLOOKUP(F27,'【3-2】大区&amp;运营中心填-房间模型价'!$H:$AM,32,0)</f>
        <v>1680</v>
      </c>
      <c r="G29" s="23">
        <f>VLOOKUP(G27,'【3-2】大区&amp;运营中心填-房间模型价'!$H:$AM,32,0)</f>
        <v>1470</v>
      </c>
      <c r="H29" s="23">
        <f>VLOOKUP(H27,'【3-2】大区&amp;运营中心填-房间模型价'!$H:$AM,32,0)</f>
        <v>1570</v>
      </c>
      <c r="I29" s="23">
        <f>VLOOKUP(I27,'【3-2】大区&amp;运营中心填-房间模型价'!$H:$AM,32,0)</f>
        <v>2030</v>
      </c>
      <c r="J29" s="23">
        <f>VLOOKUP(J27,'【3-2】大区&amp;运营中心填-房间模型价'!$H:$AM,32,0)</f>
        <v>1470</v>
      </c>
      <c r="K29" s="23">
        <f>VLOOKUP(K27,'【3-2】大区&amp;运营中心填-房间模型价'!$H:$AM,32,0)</f>
        <v>2200</v>
      </c>
    </row>
    <row r="30" ht="17.5" spans="2:11">
      <c r="B30" s="24"/>
      <c r="C30" s="25"/>
      <c r="D30" s="26"/>
      <c r="E30" s="26"/>
      <c r="F30" s="26"/>
      <c r="G30" s="26"/>
      <c r="H30" s="26"/>
      <c r="I30" s="26"/>
      <c r="J30" s="26"/>
      <c r="K30" s="26"/>
    </row>
    <row r="31" ht="16.5" spans="2:11">
      <c r="B31" s="18" t="s">
        <v>778</v>
      </c>
      <c r="C31" s="19" t="s">
        <v>770</v>
      </c>
      <c r="D31" s="27">
        <v>801</v>
      </c>
      <c r="E31" s="27">
        <v>802</v>
      </c>
      <c r="F31" s="27">
        <v>803</v>
      </c>
      <c r="G31" s="27">
        <v>804</v>
      </c>
      <c r="H31" s="27">
        <v>805</v>
      </c>
      <c r="I31" s="27">
        <v>806</v>
      </c>
      <c r="J31" s="27">
        <v>807</v>
      </c>
      <c r="K31" s="27">
        <v>808</v>
      </c>
    </row>
    <row r="32" ht="16.5" spans="2:11">
      <c r="B32" s="18"/>
      <c r="C32" s="19" t="s">
        <v>361</v>
      </c>
      <c r="D32" s="4" t="str">
        <f>VLOOKUP(D31,'【3-2】大区&amp;运营中心填-房间模型价'!$H:$AM,2,0)</f>
        <v>N</v>
      </c>
      <c r="E32" s="4" t="str">
        <f>VLOOKUP(E31,'【3-2】大区&amp;运营中心填-房间模型价'!$H:$AM,2,0)</f>
        <v>H</v>
      </c>
      <c r="F32" s="4" t="str">
        <f>VLOOKUP(F31,'【3-2】大区&amp;运营中心填-房间模型价'!$H:$AM,2,0)</f>
        <v>O</v>
      </c>
      <c r="G32" s="4" t="str">
        <f>VLOOKUP(G31,'【3-2】大区&amp;运营中心填-房间模型价'!$H:$AM,2,0)</f>
        <v>P</v>
      </c>
      <c r="H32" s="4" t="str">
        <f>VLOOKUP(H31,'【3-2】大区&amp;运营中心填-房间模型价'!$H:$AM,2,0)</f>
        <v>K</v>
      </c>
      <c r="I32" s="4" t="str">
        <f>VLOOKUP(I31,'【3-2】大区&amp;运营中心填-房间模型价'!$H:$AM,2,0)</f>
        <v>L</v>
      </c>
      <c r="J32" s="4" t="str">
        <f>VLOOKUP(J31,'【3-2】大区&amp;运营中心填-房间模型价'!$H:$AM,2,0)</f>
        <v>J</v>
      </c>
      <c r="K32" s="4" t="str">
        <f>VLOOKUP(K31,'【3-2】大区&amp;运营中心填-房间模型价'!$H:$AM,2,0)</f>
        <v>Q</v>
      </c>
    </row>
    <row r="33" ht="16.5" spans="2:11">
      <c r="B33" s="21"/>
      <c r="C33" s="22" t="s">
        <v>771</v>
      </c>
      <c r="D33" s="23">
        <f>VLOOKUP(D31,'【3-2】大区&amp;运营中心填-房间模型价'!$H:$AM,32,0)</f>
        <v>1540</v>
      </c>
      <c r="E33" s="23">
        <f>VLOOKUP(E31,'【3-2】大区&amp;运营中心填-房间模型价'!$H:$AM,32,0)</f>
        <v>2100</v>
      </c>
      <c r="F33" s="23">
        <f>VLOOKUP(F31,'【3-2】大区&amp;运营中心填-房间模型价'!$H:$AM,32,0)</f>
        <v>1680</v>
      </c>
      <c r="G33" s="23">
        <f>VLOOKUP(G31,'【3-2】大区&amp;运营中心填-房间模型价'!$H:$AM,32,0)</f>
        <v>1470</v>
      </c>
      <c r="H33" s="23">
        <f>VLOOKUP(H31,'【3-2】大区&amp;运营中心填-房间模型价'!$H:$AM,32,0)</f>
        <v>1570</v>
      </c>
      <c r="I33" s="23">
        <f>VLOOKUP(I31,'【3-2】大区&amp;运营中心填-房间模型价'!$H:$AM,32,0)</f>
        <v>2030</v>
      </c>
      <c r="J33" s="23">
        <f>VLOOKUP(J31,'【3-2】大区&amp;运营中心填-房间模型价'!$H:$AM,32,0)</f>
        <v>1470</v>
      </c>
      <c r="K33" s="23">
        <f>VLOOKUP(K31,'【3-2】大区&amp;运营中心填-房间模型价'!$H:$AM,32,0)</f>
        <v>2200</v>
      </c>
    </row>
    <row r="34" ht="17.5" spans="2:11">
      <c r="B34" s="24"/>
      <c r="C34" s="25"/>
      <c r="D34" s="26"/>
      <c r="E34" s="26"/>
      <c r="F34" s="26"/>
      <c r="G34" s="26"/>
      <c r="H34" s="26"/>
      <c r="I34" s="26"/>
      <c r="J34" s="26"/>
      <c r="K34" s="26"/>
    </row>
    <row r="35" ht="16.5" spans="2:11">
      <c r="B35" s="18" t="s">
        <v>779</v>
      </c>
      <c r="C35" s="19" t="s">
        <v>770</v>
      </c>
      <c r="D35" s="27">
        <v>901</v>
      </c>
      <c r="E35" s="27">
        <v>902</v>
      </c>
      <c r="F35" s="27">
        <v>903</v>
      </c>
      <c r="G35" s="27">
        <v>904</v>
      </c>
      <c r="H35" s="27">
        <v>905</v>
      </c>
      <c r="I35" s="27">
        <v>906</v>
      </c>
      <c r="J35" s="27">
        <v>907</v>
      </c>
      <c r="K35" s="27">
        <v>908</v>
      </c>
    </row>
    <row r="36" ht="16.5" spans="2:11">
      <c r="B36" s="18"/>
      <c r="C36" s="19" t="s">
        <v>361</v>
      </c>
      <c r="D36" s="4" t="str">
        <f>VLOOKUP(D35,'【3-2】大区&amp;运营中心填-房间模型价'!$H:$AM,2,0)</f>
        <v>N</v>
      </c>
      <c r="E36" s="4" t="str">
        <f>VLOOKUP(E35,'【3-2】大区&amp;运营中心填-房间模型价'!$H:$AM,2,0)</f>
        <v>H</v>
      </c>
      <c r="F36" s="4" t="str">
        <f>VLOOKUP(F35,'【3-2】大区&amp;运营中心填-房间模型价'!$H:$AM,2,0)</f>
        <v>O</v>
      </c>
      <c r="G36" s="4" t="str">
        <f>VLOOKUP(G35,'【3-2】大区&amp;运营中心填-房间模型价'!$H:$AM,2,0)</f>
        <v>P</v>
      </c>
      <c r="H36" s="4" t="str">
        <f>VLOOKUP(H35,'【3-2】大区&amp;运营中心填-房间模型价'!$H:$AM,2,0)</f>
        <v>K</v>
      </c>
      <c r="I36" s="4" t="str">
        <f>VLOOKUP(I35,'【3-2】大区&amp;运营中心填-房间模型价'!$H:$AM,2,0)</f>
        <v>L</v>
      </c>
      <c r="J36" s="4" t="str">
        <f>VLOOKUP(J35,'【3-2】大区&amp;运营中心填-房间模型价'!$H:$AM,2,0)</f>
        <v>J</v>
      </c>
      <c r="K36" s="4" t="str">
        <f>VLOOKUP(K35,'【3-2】大区&amp;运营中心填-房间模型价'!$H:$AM,2,0)</f>
        <v>Q</v>
      </c>
    </row>
    <row r="37" ht="16.5" spans="2:11">
      <c r="B37" s="21"/>
      <c r="C37" s="22" t="s">
        <v>771</v>
      </c>
      <c r="D37" s="23">
        <f>VLOOKUP(D35,'【3-2】大区&amp;运营中心填-房间模型价'!$H:$AM,32,0)</f>
        <v>1540</v>
      </c>
      <c r="E37" s="23">
        <f>VLOOKUP(E35,'【3-2】大区&amp;运营中心填-房间模型价'!$H:$AM,32,0)</f>
        <v>2100</v>
      </c>
      <c r="F37" s="23">
        <f>VLOOKUP(F35,'【3-2】大区&amp;运营中心填-房间模型价'!$H:$AM,32,0)</f>
        <v>1690</v>
      </c>
      <c r="G37" s="23">
        <f>VLOOKUP(G35,'【3-2】大区&amp;运营中心填-房间模型价'!$H:$AM,32,0)</f>
        <v>1470</v>
      </c>
      <c r="H37" s="23">
        <f>VLOOKUP(H35,'【3-2】大区&amp;运营中心填-房间模型价'!$H:$AM,32,0)</f>
        <v>1580</v>
      </c>
      <c r="I37" s="23">
        <f>VLOOKUP(I35,'【3-2】大区&amp;运营中心填-房间模型价'!$H:$AM,32,0)</f>
        <v>2030</v>
      </c>
      <c r="J37" s="23">
        <f>VLOOKUP(J35,'【3-2】大区&amp;运营中心填-房间模型价'!$H:$AM,32,0)</f>
        <v>1470</v>
      </c>
      <c r="K37" s="23">
        <f>VLOOKUP(K35,'【3-2】大区&amp;运营中心填-房间模型价'!$H:$AM,32,0)</f>
        <v>2200</v>
      </c>
    </row>
    <row r="38" ht="17.5" spans="2:11">
      <c r="B38" s="24"/>
      <c r="C38" s="25"/>
      <c r="D38" s="26"/>
      <c r="E38" s="26"/>
      <c r="F38" s="26"/>
      <c r="G38" s="26"/>
      <c r="H38" s="26"/>
      <c r="I38" s="26"/>
      <c r="J38" s="26"/>
      <c r="K38" s="26"/>
    </row>
  </sheetData>
  <mergeCells count="10">
    <mergeCell ref="B3:B5"/>
    <mergeCell ref="B7:B9"/>
    <mergeCell ref="B11:B13"/>
    <mergeCell ref="B15:B17"/>
    <mergeCell ref="B19:B21"/>
    <mergeCell ref="B23:B25"/>
    <mergeCell ref="B27:B29"/>
    <mergeCell ref="B31:B33"/>
    <mergeCell ref="B35:B37"/>
    <mergeCell ref="B1:K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B15"/>
  <sheetViews>
    <sheetView workbookViewId="0">
      <selection activeCell="R29" sqref="R29"/>
    </sheetView>
  </sheetViews>
  <sheetFormatPr defaultColWidth="9" defaultRowHeight="14"/>
  <cols>
    <col min="2" max="2" width="15.5" customWidth="1"/>
    <col min="11" max="11" width="9.58333333333333" customWidth="1"/>
  </cols>
  <sheetData>
    <row r="1" ht="17.5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5" spans="2:28">
      <c r="B3" s="4" t="s">
        <v>780</v>
      </c>
      <c r="C3" s="5" t="s">
        <v>781</v>
      </c>
      <c r="D3" s="6" t="s">
        <v>782</v>
      </c>
      <c r="E3" s="7" t="s">
        <v>783</v>
      </c>
      <c r="F3" s="8" t="s">
        <v>132</v>
      </c>
      <c r="G3" s="9" t="s">
        <v>784</v>
      </c>
      <c r="H3" s="10" t="s">
        <v>785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5" spans="2:28">
      <c r="B4" s="11" t="s">
        <v>786</v>
      </c>
      <c r="C4" s="4" t="s">
        <v>787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6.5" spans="2:28">
      <c r="B5" s="11"/>
      <c r="C5" s="4" t="s">
        <v>788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6.9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6.5" spans="2:28">
      <c r="B7" s="4" t="s">
        <v>789</v>
      </c>
      <c r="C7" s="4"/>
      <c r="D7" s="4"/>
      <c r="E7" s="4"/>
      <c r="F7" s="4"/>
      <c r="G7" s="4"/>
      <c r="H7" s="3"/>
      <c r="I7" s="4" t="s">
        <v>789</v>
      </c>
      <c r="J7" s="4"/>
      <c r="K7" s="4"/>
      <c r="L7" s="4"/>
      <c r="M7" s="4"/>
      <c r="N7" s="4" t="s">
        <v>157</v>
      </c>
      <c r="O7" s="3"/>
      <c r="P7" s="4" t="s">
        <v>789</v>
      </c>
      <c r="Q7" s="4"/>
      <c r="R7" s="4"/>
      <c r="S7" s="4"/>
      <c r="T7" s="4"/>
      <c r="U7" s="4" t="s">
        <v>157</v>
      </c>
      <c r="V7" s="3"/>
      <c r="W7" s="4" t="s">
        <v>789</v>
      </c>
      <c r="X7" s="4"/>
      <c r="Y7" s="4"/>
      <c r="Z7" s="4"/>
      <c r="AA7" s="4"/>
      <c r="AB7" s="4" t="s">
        <v>157</v>
      </c>
    </row>
    <row r="8" ht="16.5" spans="2:28">
      <c r="B8" s="4" t="s">
        <v>790</v>
      </c>
      <c r="C8" s="4"/>
      <c r="D8" s="4"/>
      <c r="E8" s="4"/>
      <c r="F8" s="4" t="s">
        <v>157</v>
      </c>
      <c r="G8" s="4"/>
      <c r="H8" s="3"/>
      <c r="I8" s="4" t="s">
        <v>790</v>
      </c>
      <c r="J8" s="4"/>
      <c r="K8" s="4"/>
      <c r="L8" s="4"/>
      <c r="M8" s="4" t="s">
        <v>157</v>
      </c>
      <c r="N8" s="4" t="s">
        <v>157</v>
      </c>
      <c r="O8" s="3"/>
      <c r="P8" s="4" t="s">
        <v>790</v>
      </c>
      <c r="Q8" s="4"/>
      <c r="R8" s="4"/>
      <c r="S8" s="4"/>
      <c r="T8" s="4" t="s">
        <v>157</v>
      </c>
      <c r="U8" s="4" t="s">
        <v>157</v>
      </c>
      <c r="V8" s="3"/>
      <c r="W8" s="4" t="s">
        <v>790</v>
      </c>
      <c r="X8" s="4"/>
      <c r="Y8" s="4"/>
      <c r="Z8" s="4"/>
      <c r="AA8" s="4" t="s">
        <v>157</v>
      </c>
      <c r="AB8" s="4" t="s">
        <v>157</v>
      </c>
    </row>
    <row r="9" ht="16.5" spans="2:28">
      <c r="B9" s="4" t="s">
        <v>791</v>
      </c>
      <c r="C9" s="4"/>
      <c r="D9" s="4"/>
      <c r="E9" s="4" t="s">
        <v>157</v>
      </c>
      <c r="F9" s="4" t="s">
        <v>388</v>
      </c>
      <c r="G9" s="4"/>
      <c r="H9" s="3"/>
      <c r="I9" s="4" t="s">
        <v>791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791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791</v>
      </c>
      <c r="X9" s="4"/>
      <c r="Y9" s="4"/>
      <c r="Z9" s="4" t="s">
        <v>157</v>
      </c>
      <c r="AA9" s="4" t="s">
        <v>157</v>
      </c>
      <c r="AB9" s="4" t="s">
        <v>388</v>
      </c>
    </row>
    <row r="10" ht="16.5" spans="2:28">
      <c r="B10" s="4" t="s">
        <v>792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792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792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792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6.5" spans="2:28">
      <c r="B11" s="4" t="s">
        <v>793</v>
      </c>
      <c r="C11" s="4" t="s">
        <v>157</v>
      </c>
      <c r="D11" s="4" t="s">
        <v>388</v>
      </c>
      <c r="E11" s="4" t="s">
        <v>63</v>
      </c>
      <c r="F11" s="4" t="s">
        <v>794</v>
      </c>
      <c r="G11" s="4"/>
      <c r="H11" s="3"/>
      <c r="I11" s="4" t="s">
        <v>793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794</v>
      </c>
      <c r="O11" s="3"/>
      <c r="P11" s="4" t="s">
        <v>793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794</v>
      </c>
      <c r="V11" s="3"/>
      <c r="W11" s="4" t="s">
        <v>793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794</v>
      </c>
    </row>
    <row r="12" ht="16.5" spans="2:28">
      <c r="B12" s="4" t="s">
        <v>795</v>
      </c>
      <c r="C12" s="4" t="s">
        <v>388</v>
      </c>
      <c r="D12" s="4" t="s">
        <v>63</v>
      </c>
      <c r="E12" s="4" t="s">
        <v>794</v>
      </c>
      <c r="F12" s="9" t="s">
        <v>379</v>
      </c>
      <c r="G12" s="4"/>
      <c r="H12" s="3"/>
      <c r="I12" s="4" t="s">
        <v>795</v>
      </c>
      <c r="J12" s="4" t="s">
        <v>157</v>
      </c>
      <c r="K12" s="4" t="s">
        <v>388</v>
      </c>
      <c r="L12" s="4" t="s">
        <v>63</v>
      </c>
      <c r="M12" s="9" t="s">
        <v>794</v>
      </c>
      <c r="N12" s="4" t="s">
        <v>379</v>
      </c>
      <c r="O12" s="3"/>
      <c r="P12" s="4" t="s">
        <v>795</v>
      </c>
      <c r="Q12" s="4" t="s">
        <v>157</v>
      </c>
      <c r="R12" s="4" t="s">
        <v>388</v>
      </c>
      <c r="S12" s="4" t="s">
        <v>63</v>
      </c>
      <c r="T12" s="9" t="s">
        <v>794</v>
      </c>
      <c r="U12" s="4" t="s">
        <v>379</v>
      </c>
      <c r="V12" s="3"/>
      <c r="W12" s="4" t="s">
        <v>795</v>
      </c>
      <c r="X12" s="4" t="s">
        <v>157</v>
      </c>
      <c r="Y12" s="4" t="s">
        <v>388</v>
      </c>
      <c r="Z12" s="4" t="s">
        <v>63</v>
      </c>
      <c r="AA12" s="9" t="s">
        <v>794</v>
      </c>
      <c r="AB12" s="4" t="s">
        <v>379</v>
      </c>
    </row>
    <row r="13" ht="16.5" spans="2:28">
      <c r="B13" s="4"/>
      <c r="C13" s="4" t="s">
        <v>796</v>
      </c>
      <c r="D13" s="4" t="s">
        <v>797</v>
      </c>
      <c r="E13" s="4" t="s">
        <v>798</v>
      </c>
      <c r="F13" s="4" t="s">
        <v>799</v>
      </c>
      <c r="G13" s="4" t="s">
        <v>800</v>
      </c>
      <c r="H13" s="2"/>
      <c r="I13" s="4"/>
      <c r="J13" s="4" t="s">
        <v>796</v>
      </c>
      <c r="K13" s="4" t="s">
        <v>797</v>
      </c>
      <c r="L13" s="4" t="s">
        <v>798</v>
      </c>
      <c r="M13" s="4" t="s">
        <v>799</v>
      </c>
      <c r="N13" s="4" t="s">
        <v>800</v>
      </c>
      <c r="O13" s="3"/>
      <c r="P13" s="4"/>
      <c r="Q13" s="4" t="s">
        <v>796</v>
      </c>
      <c r="R13" s="4" t="s">
        <v>797</v>
      </c>
      <c r="S13" s="4" t="s">
        <v>798</v>
      </c>
      <c r="T13" s="4" t="s">
        <v>799</v>
      </c>
      <c r="U13" s="4" t="s">
        <v>800</v>
      </c>
      <c r="V13" s="3"/>
      <c r="W13" s="4"/>
      <c r="X13" s="4" t="s">
        <v>796</v>
      </c>
      <c r="Y13" s="4" t="s">
        <v>797</v>
      </c>
      <c r="Z13" s="4" t="s">
        <v>798</v>
      </c>
      <c r="AA13" s="4" t="s">
        <v>799</v>
      </c>
      <c r="AB13" s="4" t="s">
        <v>800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5" spans="2:28">
      <c r="B15" s="14" t="s">
        <v>801</v>
      </c>
      <c r="C15" s="14"/>
      <c r="D15" s="14"/>
      <c r="E15" s="14"/>
      <c r="F15" s="14"/>
      <c r="G15" s="14"/>
      <c r="H15" s="3"/>
      <c r="I15" s="15" t="s">
        <v>802</v>
      </c>
      <c r="J15" s="15"/>
      <c r="K15" s="15"/>
      <c r="L15" s="15"/>
      <c r="M15" s="15"/>
      <c r="N15" s="15"/>
      <c r="O15" s="3"/>
      <c r="P15" s="3"/>
      <c r="Q15" s="3"/>
      <c r="R15" s="15" t="s">
        <v>803</v>
      </c>
      <c r="S15" s="15"/>
      <c r="T15" s="3"/>
      <c r="U15" s="3"/>
      <c r="V15" s="3"/>
      <c r="W15" s="3"/>
      <c r="X15" s="3"/>
      <c r="Y15" s="15" t="s">
        <v>804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阿恰 </cp:lastModifiedBy>
  <dcterms:created xsi:type="dcterms:W3CDTF">2015-06-14T02:17:00Z</dcterms:created>
  <dcterms:modified xsi:type="dcterms:W3CDTF">2026-03-13T07:23:03Z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mondata">
    <vt:lpwstr>eyJoZGlkIjoiNWVlYWE2MmI4MDc4OTljNmZhMDU0NjVmNjkzNDJmZjQifQ==</vt:lpwstr>
  </property>
  <property fmtid="{D5CDD505-2E9C-101B-9397-08002B2CF9AE}" pid="3" name="KSOProductBuildVer">
    <vt:lpwstr>2052-12.1.0.25225</vt:lpwstr>
  </property>
  <property fmtid="{D5CDD505-2E9C-101B-9397-08002B2CF9AE}" pid="4" name="ICV">
    <vt:lpwstr>88C1876B18894285895D72B53E896354_13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