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readOnlyRecommended="1"/>
  <workbookPr/>
  <bookViews>
    <workbookView windowWidth="23040" windowHeight="9060" firstSheet="9" activeTab="11"/>
  </bookViews>
  <sheets>
    <sheet name="更新日志" sheetId="32" state="hidden" r:id="rId1"/>
    <sheet name="【1】定价因子" sheetId="21" r:id="rId2"/>
    <sheet name="各村基准价" sheetId="41" state="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户型资产表" sheetId="42" state="hidden" r:id="rId13"/>
    <sheet name="【4】价目表" sheetId="33" r:id="rId14"/>
    <sheet name="【5】平面图" sheetId="34" r:id="rId15"/>
    <sheet name="【补充】采光验证因素" sheetId="35" state="hidden" r:id="rId16"/>
  </sheets>
  <definedNames>
    <definedName name="_xlnm._FilterDatabase" localSheetId="11" hidden="1">'【3-2】大区&amp;运营中心填-房间模型价'!$A$1:$AN$31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sharedStrings.xml><?xml version="1.0" encoding="utf-8"?>
<sst xmlns="http://schemas.openxmlformats.org/spreadsheetml/2006/main" count="5012" uniqueCount="771">
  <si>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</si>
  <si>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</si>
  <si>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</si>
  <si>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</si>
  <si>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</si>
  <si>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</si>
  <si>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</si>
  <si>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</si>
  <si>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</si>
  <si>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</si>
  <si>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</si>
  <si>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</si>
  <si>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</si>
  <si>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</si>
  <si>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</si>
  <si>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</si>
  <si>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</si>
  <si>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</si>
  <si>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</si>
  <si>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</si>
  <si>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</si>
  <si>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</si>
  <si>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</si>
  <si>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</si>
  <si>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</si>
  <si>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</si>
  <si>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</si>
  <si>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</si>
  <si>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</si>
  <si>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</si>
  <si>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</si>
  <si>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</si>
  <si>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</si>
  <si>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</si>
  <si>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</si>
  <si>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</si>
  <si>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</si>
  <si>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</si>
  <si>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</si>
  <si>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</si>
  <si>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</si>
  <si>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</si>
  <si>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</si>
  <si>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</si>
  <si>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</si>
  <si>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</si>
  <si>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</si>
  <si>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</si>
  <si>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</si>
  <si>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</si>
  <si>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</si>
  <si>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</si>
  <si>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</si>
  <si>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</si>
  <si>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</si>
  <si>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</si>
  <si>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</si>
  <si>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</si>
  <si>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</si>
  <si>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</si>
  <si>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</si>
  <si>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</si>
  <si>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</si>
  <si>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</si>
  <si>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</si>
  <si>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</si>
  <si>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</si>
  <si>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</si>
  <si>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</si>
  <si>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</si>
  <si>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</si>
  <si>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</si>
  <si>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</si>
  <si>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</si>
  <si>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</si>
  <si>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</si>
  <si>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</si>
  <si>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</si>
  <si>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</si>
  <si>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</si>
  <si>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</si>
  <si>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</si>
  <si>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</si>
  <si>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</si>
  <si>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</si>
  <si>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</si>
  <si>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</si>
  <si>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</si>
  <si>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</si>
  <si>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</si>
  <si>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</si>
  <si>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</si>
  <si>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</si>
  <si>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</si>
  <si>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</si>
  <si>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</si>
  <si>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</si>
  <si>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</si>
  <si>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</si>
  <si>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</si>
  <si>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</si>
  <si>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</si>
  <si>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</si>
  <si>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</si>
  <si>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</si>
  <si>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</si>
  <si>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</si>
  <si>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</si>
  <si>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</si>
  <si>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</si>
  <si>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</si>
  <si>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</si>
  <si>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</si>
  <si>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缺失书桌和操作台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</si>
  <si>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</si>
  <si>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</si>
  <si>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</si>
  <si>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</si>
  <si>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</si>
  <si>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</si>
  <si>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</si>
  <si>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</si>
  <si>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缺失操作台、沙发和餐桌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</si>
  <si>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</si>
  <si>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</si>
  <si>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</si>
  <si>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</si>
  <si>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</si>
  <si>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</si>
  <si>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</si>
  <si>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</si>
  <si>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</si>
  <si>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</si>
  <si>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</si>
  <si>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</si>
  <si>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</si>
  <si>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</si>
  <si>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</si>
  <si>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</si>
  <si>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</si>
  <si>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</si>
  <si>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</si>
  <si>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</si>
  <si>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</si>
  <si>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缺失沙发、餐桌、电视柜、操作台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</si>
  <si>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</si>
  <si>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</si>
  <si>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</si>
  <si>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</si>
  <si>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</si>
  <si>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</si>
  <si>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</si>
  <si>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</si>
  <si>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</si>
  <si>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</si>
  <si>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</si>
  <si>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</si>
  <si>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</si>
  <si>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</si>
  <si>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</si>
  <si>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</si>
  <si>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</si>
  <si>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</si>
  <si>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</si>
  <si>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</si>
  <si>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</si>
  <si>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</si>
  <si>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</si>
  <si>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</si>
  <si>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战区</t>
  </si>
  <si>
    <t>村</t>
  </si>
  <si>
    <t>是否过总办会</t>
  </si>
  <si>
    <t>第六战区</t>
  </si>
  <si>
    <t>马蹄山村</t>
  </si>
  <si>
    <t>已过会</t>
  </si>
  <si>
    <t>禾坪岗村</t>
  </si>
  <si>
    <t>中心围村</t>
  </si>
  <si>
    <t>第一战区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</si>
  <si>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</si>
  <si>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</si>
  <si>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</si>
  <si>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</si>
  <si>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</si>
  <si>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</si>
  <si>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</si>
  <si>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</si>
  <si>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</si>
  <si>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</si>
  <si>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</si>
  <si>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</si>
  <si>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</si>
  <si>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</si>
  <si>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第三战区</t>
  </si>
  <si>
    <t>福围广生</t>
  </si>
  <si>
    <t>第二战区</t>
  </si>
  <si>
    <t>新和一区/二区</t>
  </si>
  <si>
    <t>第四战区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</si>
  <si>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</si>
  <si>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</si>
  <si>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</si>
  <si>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</si>
  <si>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</si>
  <si>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</si>
  <si>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</si>
  <si>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</si>
  <si>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</si>
  <si>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</si>
  <si>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</si>
  <si>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</si>
  <si>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龙腾阁</t>
  </si>
  <si>
    <t>石龙头村</t>
  </si>
  <si>
    <t>咸田</t>
  </si>
  <si>
    <t>裕华园</t>
  </si>
  <si>
    <t>翠岗</t>
  </si>
  <si>
    <t>聚福园小区</t>
  </si>
  <si>
    <t>第五战区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</si>
  <si>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</si>
  <si>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</si>
  <si>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</si>
  <si>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</si>
  <si>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</si>
  <si>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</si>
  <si>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</si>
  <si>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</si>
  <si>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</si>
  <si>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</si>
  <si>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</si>
  <si>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</si>
  <si>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</si>
  <si>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</si>
  <si>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</si>
  <si>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鹤洲西区</t>
  </si>
  <si>
    <t>鹤洲旧村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</si>
  <si>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</si>
  <si>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</si>
  <si>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</si>
  <si>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</si>
  <si>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</si>
  <si>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</si>
  <si>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</si>
  <si>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</si>
  <si>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</si>
  <si>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</si>
  <si>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</si>
  <si>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</si>
  <si>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</si>
  <si>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</si>
  <si>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</si>
  <si>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</si>
  <si>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</si>
  <si>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</si>
  <si>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</si>
  <si>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</si>
  <si>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</si>
  <si>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元芬村</t>
  </si>
  <si>
    <t>小区（村）</t>
  </si>
  <si>
    <t>楼栋号</t>
  </si>
  <si>
    <t>楼栋基本画像</t>
  </si>
  <si>
    <t>电梯</t>
  </si>
  <si>
    <t>屋面晾晒区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</si>
  <si>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</si>
  <si>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</si>
  <si>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</si>
  <si>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</si>
  <si>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</si>
  <si>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</si>
  <si>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</si>
  <si>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</si>
  <si>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</si>
  <si>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</si>
  <si>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</si>
  <si>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村公寓面积</t>
  </si>
  <si>
    <t>否</t>
  </si>
  <si>
    <t>是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</si>
  <si>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</si>
  <si>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</si>
  <si>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</si>
  <si>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</si>
  <si>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</si>
  <si>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</si>
  <si>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</si>
  <si>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</si>
  <si>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</si>
  <si>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</si>
  <si>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</si>
  <si>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</si>
  <si>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</si>
  <si>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</si>
  <si>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</si>
  <si>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</si>
  <si>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</si>
  <si>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</si>
  <si>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</si>
  <si>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</si>
  <si>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</si>
  <si>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</si>
  <si>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</si>
  <si>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</si>
  <si>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</si>
  <si>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</si>
  <si>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</si>
  <si>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 xml:space="preserve"> 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</si>
  <si>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</si>
  <si>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</si>
  <si>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</si>
  <si>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</si>
  <si>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</si>
  <si>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</si>
  <si>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</si>
  <si>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</si>
  <si>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</si>
  <si>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</si>
  <si>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</si>
  <si>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</si>
  <si>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</si>
  <si>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</si>
  <si>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</si>
  <si>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</si>
  <si>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</si>
  <si>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</si>
  <si>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</si>
  <si>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</si>
  <si>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</si>
  <si>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</si>
  <si>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</si>
  <si>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</si>
  <si>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</si>
  <si>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</si>
  <si>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</si>
  <si>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</si>
  <si>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</si>
  <si>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</si>
  <si>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</si>
  <si>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</si>
  <si>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</si>
  <si>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</si>
  <si>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</si>
  <si>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</si>
  <si>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</si>
  <si>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</si>
  <si>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</si>
  <si>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</si>
  <si>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</si>
  <si>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</si>
  <si>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</si>
  <si>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</si>
  <si>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</si>
  <si>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</si>
  <si>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</si>
  <si>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</si>
  <si>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</si>
  <si>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</si>
  <si>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</si>
  <si>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</si>
  <si>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</si>
  <si>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</si>
  <si>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</si>
  <si>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</si>
  <si>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</si>
  <si>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</si>
  <si>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</si>
  <si>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</si>
  <si>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</si>
  <si>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</si>
  <si>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</si>
  <si>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</si>
  <si>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</si>
  <si>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</si>
  <si>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</si>
  <si>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</si>
  <si>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</si>
  <si>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</si>
  <si>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</si>
  <si>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</si>
  <si>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</si>
  <si>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</si>
  <si>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</si>
  <si>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</si>
  <si>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</si>
  <si>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</si>
  <si>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</si>
  <si>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</si>
  <si>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</si>
  <si>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</si>
  <si>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</si>
  <si>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</si>
  <si>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</si>
  <si>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</si>
  <si>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</si>
  <si>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</si>
  <si>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</si>
  <si>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</si>
  <si>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</si>
  <si>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</si>
  <si>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</si>
  <si>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</si>
  <si>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</si>
  <si>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</si>
  <si>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</si>
  <si>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</si>
  <si>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</si>
  <si>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</si>
  <si>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</si>
  <si>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</si>
  <si>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</si>
  <si>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</si>
  <si>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</si>
  <si>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</si>
  <si>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</si>
  <si>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</si>
  <si>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</si>
  <si>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</si>
  <si>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</si>
  <si>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</si>
  <si>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</si>
  <si>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</si>
  <si>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</si>
  <si>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</si>
  <si>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</si>
  <si>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</si>
  <si>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</si>
  <si>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</si>
  <si>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</si>
  <si>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</si>
  <si>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</si>
  <si>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</si>
  <si>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</si>
  <si>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</si>
  <si>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</si>
  <si>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</si>
  <si>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</si>
  <si>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</si>
  <si>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调价倍数3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</si>
  <si>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</si>
  <si>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</si>
  <si>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</si>
  <si>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</si>
  <si>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</si>
  <si>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</si>
  <si>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</si>
  <si>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</si>
  <si>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</si>
  <si>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</si>
  <si>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</si>
  <si>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</si>
  <si>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</si>
  <si>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</si>
  <si>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</si>
  <si>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</si>
  <si>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</si>
  <si>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</si>
  <si>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</si>
  <si>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</si>
  <si>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</si>
  <si>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</si>
  <si>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</si>
  <si>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</si>
  <si>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</si>
  <si>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</si>
  <si>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</si>
  <si>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</si>
  <si>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</si>
  <si>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调价倍数4</t>
  </si>
  <si>
    <t>调价倍数5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</si>
  <si>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</si>
  <si>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</si>
  <si>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</si>
  <si>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</si>
  <si>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</si>
  <si>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</si>
  <si>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</si>
  <si>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</si>
  <si>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调价倍数6</t>
  </si>
  <si>
    <t>调价倍数8</t>
  </si>
  <si>
    <t>调价倍数9</t>
  </si>
  <si>
    <t>调价倍数7</t>
  </si>
  <si>
    <t>房间模型价</t>
  </si>
  <si>
    <t>实际定价</t>
  </si>
  <si>
    <t>差距</t>
  </si>
  <si>
    <t>原实际定价</t>
  </si>
  <si>
    <t>1-51A</t>
  </si>
  <si>
    <t>1-51B</t>
  </si>
  <si>
    <t>1-51C</t>
  </si>
  <si>
    <t>1-51D</t>
  </si>
  <si>
    <t>1-51E</t>
  </si>
  <si>
    <t>1-51F</t>
  </si>
  <si>
    <t>1-51G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</si>
  <si>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</si>
  <si>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</si>
  <si>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</si>
  <si>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</si>
  <si>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</si>
  <si>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</si>
  <si>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</si>
  <si>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</si>
  <si>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</si>
  <si>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</si>
  <si>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</si>
  <si>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</si>
  <si>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</si>
  <si>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</si>
  <si>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</si>
  <si>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</si>
  <si>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</si>
  <si>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</si>
  <si>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</si>
  <si>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</si>
  <si>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福围广生1-51栋</t>
  </si>
  <si>
    <t>1-51栋</t>
  </si>
  <si>
    <t>门口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</si>
  <si>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</si>
  <si>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</si>
  <si>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</si>
  <si>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</si>
  <si>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</si>
  <si>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</si>
  <si>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</si>
  <si>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</si>
  <si>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</si>
  <si>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</si>
  <si>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</si>
  <si>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</si>
  <si>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</si>
  <si>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</si>
  <si>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</si>
  <si>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</si>
  <si>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</si>
  <si>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</si>
  <si>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</si>
  <si>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</si>
  <si>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</si>
  <si>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</si>
  <si>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客厅1</t>
  </si>
  <si>
    <t>消防</t>
  </si>
  <si>
    <t>灭火器</t>
  </si>
  <si>
    <t>灭火器01</t>
  </si>
  <si>
    <t>灭火器01_/</t>
  </si>
  <si>
    <t>2kg,房间用</t>
  </si>
  <si>
    <t>家具</t>
  </si>
  <si>
    <t>鞋柜</t>
  </si>
  <si>
    <t>鞋柜01</t>
  </si>
  <si>
    <t>鞋柜01_/</t>
  </si>
  <si>
    <t>600宽铁艺</t>
  </si>
  <si>
    <t>卧室1</t>
  </si>
  <si>
    <t>床</t>
  </si>
  <si>
    <t>标准床01-1.5m宽</t>
  </si>
  <si>
    <t>标准床01-1.5m宽_/</t>
  </si>
  <si>
    <t>张</t>
  </si>
  <si>
    <t>床垫</t>
  </si>
  <si>
    <t>床垫01-1.5m</t>
  </si>
  <si>
    <t>床垫01-1.5m_/</t>
  </si>
  <si>
    <t>衣柜</t>
  </si>
  <si>
    <t>衣柜02-通用有冰箱</t>
  </si>
  <si>
    <t>衣柜02-通用有冰箱_/</t>
  </si>
  <si>
    <t>1050*500*2000mm，YG_11有冰箱位</t>
  </si>
  <si>
    <t>电器</t>
  </si>
  <si>
    <t>空调</t>
  </si>
  <si>
    <t>冷暖空调01-1p</t>
  </si>
  <si>
    <t>冷暖空调01-1p_/</t>
  </si>
  <si>
    <t>遥控器</t>
  </si>
  <si>
    <t>空调遥控器01</t>
  </si>
  <si>
    <t>空调遥控器01_/</t>
  </si>
  <si>
    <t>配套遥控器</t>
  </si>
  <si>
    <t>灯具</t>
  </si>
  <si>
    <t>吸顶灯</t>
  </si>
  <si>
    <t>吸顶灯01</t>
  </si>
  <si>
    <t>吸顶灯01_/</t>
  </si>
  <si>
    <t>规格：直径30cm</t>
  </si>
  <si>
    <t>筒灯</t>
  </si>
  <si>
    <t>筒灯01</t>
  </si>
  <si>
    <t>筒灯01_/</t>
  </si>
  <si>
    <t>6W（直径90mm,3300K）</t>
  </si>
  <si>
    <t>烟感</t>
  </si>
  <si>
    <t>烟感01</t>
  </si>
  <si>
    <t>烟感01_/</t>
  </si>
  <si>
    <t>-</t>
  </si>
  <si>
    <t>强电</t>
  </si>
  <si>
    <t>户内箱</t>
  </si>
  <si>
    <t>户内配电箱01</t>
  </si>
  <si>
    <t>户内配电箱01_/</t>
  </si>
  <si>
    <t>AL1</t>
  </si>
  <si>
    <t>网络收纳盒</t>
  </si>
  <si>
    <t>网络收纳盒01</t>
  </si>
  <si>
    <t>网络收纳盒01_/</t>
  </si>
  <si>
    <t>网络</t>
  </si>
  <si>
    <t>光猫</t>
  </si>
  <si>
    <t>光猫01</t>
  </si>
  <si>
    <t>光猫01_/</t>
  </si>
  <si>
    <t>试衣镜</t>
  </si>
  <si>
    <t>试衣镜01</t>
  </si>
  <si>
    <t>试衣镜01_/</t>
  </si>
  <si>
    <t>40*140cm</t>
  </si>
  <si>
    <t>窗</t>
  </si>
  <si>
    <t>窗户02磨砂</t>
  </si>
  <si>
    <t>窗户01清玻_/</t>
  </si>
  <si>
    <t>标准窗户，带固定页</t>
  </si>
  <si>
    <t>扇</t>
  </si>
  <si>
    <t>软装装饰</t>
  </si>
  <si>
    <t>窗帘</t>
  </si>
  <si>
    <t>卷帘01</t>
  </si>
  <si>
    <t>卷帘01_/</t>
  </si>
  <si>
    <t>尺寸根据现场定制</t>
  </si>
  <si>
    <t>平米</t>
  </si>
  <si>
    <t>布帘01</t>
  </si>
  <si>
    <t>布帘01_/</t>
  </si>
  <si>
    <t>件</t>
  </si>
  <si>
    <t>操作台03洗衣机1.2m</t>
  </si>
  <si>
    <t>操作台03洗衣机1.2m_/</t>
  </si>
  <si>
    <t>套</t>
  </si>
  <si>
    <t>等电位箱</t>
  </si>
  <si>
    <t>等电位箱01</t>
  </si>
  <si>
    <t>等电位箱01_/</t>
  </si>
  <si>
    <t>书桌01无挡板0.9m</t>
  </si>
  <si>
    <t>书桌01无挡板0.9m_/</t>
  </si>
  <si>
    <t>900宽</t>
  </si>
  <si>
    <t>椅子</t>
  </si>
  <si>
    <t>椅子01配书桌</t>
  </si>
  <si>
    <t>椅子01配书桌_/</t>
  </si>
  <si>
    <t>440*430*750mm</t>
  </si>
  <si>
    <t>晾衣架</t>
  </si>
  <si>
    <t>墙上/天花晾衣杆</t>
  </si>
  <si>
    <t>墙上/天花晾衣杆_/</t>
  </si>
  <si>
    <t>根</t>
  </si>
  <si>
    <t>传统卫生间1</t>
  </si>
  <si>
    <t>卫生间门</t>
  </si>
  <si>
    <t>卫生间门01</t>
  </si>
  <si>
    <t>卫生间门01_/</t>
  </si>
  <si>
    <t>铝镁合金门</t>
  </si>
  <si>
    <t>厨卫灯</t>
  </si>
  <si>
    <t>嵌入式厨卫灯01</t>
  </si>
  <si>
    <t>嵌入式厨卫灯01_/</t>
  </si>
  <si>
    <t>300*300mm,10W</t>
  </si>
  <si>
    <t>卫浴五金</t>
  </si>
  <si>
    <t>淋浴器</t>
  </si>
  <si>
    <t>淋浴手持花洒01</t>
  </si>
  <si>
    <t>淋浴手持花洒01_/</t>
  </si>
  <si>
    <t>混水器
无下出水嘴，无升降
杆，304不锈钢-</t>
  </si>
  <si>
    <t>马桶</t>
  </si>
  <si>
    <t>坐便器01</t>
  </si>
  <si>
    <t>坐便器01_/</t>
  </si>
  <si>
    <t>长590mm*宽
370mm*高720mm</t>
  </si>
  <si>
    <t>毛巾架</t>
  </si>
  <si>
    <t>毛巾架01</t>
  </si>
  <si>
    <t>毛巾架01_/</t>
  </si>
  <si>
    <t>80mm*600mm</t>
  </si>
  <si>
    <t>热水器</t>
  </si>
  <si>
    <t>电热水器01-40L</t>
  </si>
  <si>
    <t>电热水器01-40L_/</t>
  </si>
  <si>
    <t>40L-D40-HK3</t>
  </si>
  <si>
    <t>台</t>
  </si>
  <si>
    <t>功能标识</t>
  </si>
  <si>
    <t>防水贴纸</t>
  </si>
  <si>
    <t>防水贴纸_/</t>
  </si>
  <si>
    <t>100*150机房、管井、设备
、警示、热水器开关、监控区域)</t>
  </si>
  <si>
    <t>浴篮</t>
  </si>
  <si>
    <t>三角浴篮01</t>
  </si>
  <si>
    <t>三角浴篮01_/</t>
  </si>
  <si>
    <t>半径220mm高120mm</t>
  </si>
  <si>
    <t>纸巾架</t>
  </si>
  <si>
    <t>纸巾架01</t>
  </si>
  <si>
    <t>纸巾架01_/</t>
  </si>
  <si>
    <t>130H*150L*130W</t>
  </si>
  <si>
    <t>沙发</t>
  </si>
  <si>
    <t>沙发02两人</t>
  </si>
  <si>
    <t>沙发02两人_/</t>
  </si>
  <si>
    <t>茶几</t>
  </si>
  <si>
    <t>茶几01圆形</t>
  </si>
  <si>
    <t>茶几01圆形_/</t>
  </si>
  <si>
    <t>Φ400*450（圆形）</t>
  </si>
  <si>
    <t>两人餐桌01正方形</t>
  </si>
  <si>
    <t>两人餐桌01正方形_/</t>
  </si>
  <si>
    <t>600*600*750</t>
  </si>
  <si>
    <t>椅子02配餐桌</t>
  </si>
  <si>
    <t>椅子02配餐桌_/</t>
  </si>
  <si>
    <t>520*480*760</t>
  </si>
  <si>
    <t>窗户02磨砂_/</t>
  </si>
  <si>
    <t>磨砂窗户，用于首层公寓</t>
  </si>
  <si>
    <t>镜子</t>
  </si>
  <si>
    <t>镜子01</t>
  </si>
  <si>
    <t>镜子01_/</t>
  </si>
  <si>
    <t>钢化玻璃，385mm宽*600mm高，周边磨边</t>
  </si>
  <si>
    <t>面</t>
  </si>
  <si>
    <t>镜前灯</t>
  </si>
  <si>
    <t>镜前灯01</t>
  </si>
  <si>
    <t>镜前灯01_/</t>
  </si>
  <si>
    <t>长38.5*高3
.8*进深5.5cm,功率
7w,色湿4200K</t>
  </si>
  <si>
    <t>操作台02洗衣机1.6m</t>
  </si>
  <si>
    <t>操作台02洗衣机1.6m_/</t>
  </si>
  <si>
    <t>房间门</t>
  </si>
  <si>
    <t>房间门01</t>
  </si>
  <si>
    <t>房间门01_/</t>
  </si>
  <si>
    <t>含门吸、门锁、钥匙、把手，尺寸根据现场</t>
  </si>
  <si>
    <t>床头柜</t>
  </si>
  <si>
    <t>床头柜01</t>
  </si>
  <si>
    <t>床头柜01_/</t>
  </si>
  <si>
    <t>400*400*550mm</t>
  </si>
  <si>
    <t>衣柜01-通用无冰箱</t>
  </si>
  <si>
    <t>衣柜01-通用无冰箱_/</t>
  </si>
  <si>
    <t>1050*500*2000mm，YG_10无冰箱位</t>
  </si>
  <si>
    <t>窗户01清玻</t>
  </si>
  <si>
    <t>沙发01单人</t>
  </si>
  <si>
    <t>沙发01单人_/</t>
  </si>
  <si>
    <t>书桌02带挡板0.9m</t>
  </si>
  <si>
    <t>书桌02带挡板0.9m_/</t>
  </si>
  <si>
    <t>900宽1350高</t>
  </si>
  <si>
    <t>传统卫生间2</t>
  </si>
  <si>
    <t>整体卫浴</t>
  </si>
  <si>
    <t>整体卫浴卫生间门01</t>
  </si>
  <si>
    <t>整体卫浴卫生间门01_/</t>
  </si>
  <si>
    <t>700*2000mm，含门锁、结构胶及门套门框，铝合金门框尺寸</t>
  </si>
  <si>
    <t>排风扇</t>
  </si>
  <si>
    <t>整体卫浴排风扇01</t>
  </si>
  <si>
    <t>整体卫浴排风扇01_/</t>
  </si>
  <si>
    <t>含排风管</t>
  </si>
  <si>
    <t>整体卫浴镜子01</t>
  </si>
  <si>
    <t>整体卫浴镜子01_/</t>
  </si>
  <si>
    <t>400*600mm,厚度5mm</t>
  </si>
  <si>
    <t>整体卫浴厨卫灯01</t>
  </si>
  <si>
    <t>整体卫浴厨卫灯01_/</t>
  </si>
  <si>
    <t>整体卫浴淋浴手持花洒01</t>
  </si>
  <si>
    <t>整体卫浴淋浴手持花洒01_/</t>
  </si>
  <si>
    <t>单把挂墙 不锈钢（两个座）</t>
  </si>
  <si>
    <t>整体卫浴坐便器01</t>
  </si>
  <si>
    <t>整体卫浴坐便器01_/</t>
  </si>
  <si>
    <t>连体顶按</t>
  </si>
  <si>
    <t>整体卫浴毛巾架01</t>
  </si>
  <si>
    <t>整体卫浴毛巾架01_/</t>
  </si>
  <si>
    <t>L=400mm,不锈钢</t>
  </si>
  <si>
    <t>洗手盆</t>
  </si>
  <si>
    <t>整体卫浴悬挂式洗手盆01</t>
  </si>
  <si>
    <t>整体卫浴悬挂式洗手盆01_/</t>
  </si>
  <si>
    <t>L=1000mm(SMC)</t>
  </si>
  <si>
    <t>整体卫浴三角浴篮01</t>
  </si>
  <si>
    <t>整体卫浴三角浴篮01_/</t>
  </si>
  <si>
    <t>不锈钢</t>
  </si>
  <si>
    <t>整体卫浴纸巾架01</t>
  </si>
  <si>
    <t>整体卫浴纸巾架01_/</t>
  </si>
  <si>
    <t>1层</t>
  </si>
  <si>
    <t>房号</t>
  </si>
  <si>
    <t>价格</t>
  </si>
  <si>
    <t>2层</t>
  </si>
  <si>
    <t>3层</t>
  </si>
  <si>
    <t>4层</t>
  </si>
  <si>
    <t>5层</t>
  </si>
  <si>
    <t>6层</t>
  </si>
  <si>
    <t>7层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</si>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</sst>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  <numFmt numFmtId="179" formatCode="_ * #,##0.000_ ;_ * \-#,##0.000_ ;_ * &quot;-&quot;??_ ;_ @_ "/>
    <numFmt numFmtId="180" formatCode="0.0%"/>
    <numFmt numFmtId="181" formatCode="_ * #,##0_ ;_ * \-#,##0_ ;_ * &quot;-&quot;??_ ;_ @_ "/>
    <numFmt numFmtId="182" formatCode="_ * #,##0.0_ ;_ * \-#,##0.0_ ;_ * &quot;-&quot;??_ ;_ @_ "/>
    <numFmt numFmtId="183" formatCode="[$-F800]dddd\,\ mmmm\ dd\,\ yyyy"/>
  </numFmts>
  <fonts count="70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color indexed="8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等线"/>
      <charset val="134"/>
    </font>
    <font>
      <b/>
      <sz val="16"/>
      <color rgb="FFFF0000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0.5"/>
      <color rgb="FF333333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Microsoft YaHei Light"/>
      <charset val="134"/>
    </font>
    <font>
      <b/>
      <sz val="10"/>
      <color indexed="9"/>
      <name val="宋体"/>
      <charset val="134"/>
    </font>
    <font>
      <b/>
      <sz val="11"/>
      <color indexed="10"/>
      <name val="微软雅黑"/>
      <charset val="134"/>
    </font>
    <font>
      <b/>
      <sz val="9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</fonts>
  <fills count="68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43" borderId="54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55" applyNumberFormat="0" applyFill="0" applyAlignment="0" applyProtection="0">
      <alignment vertical="center"/>
    </xf>
    <xf numFmtId="0" fontId="50" fillId="0" borderId="55" applyNumberFormat="0" applyFill="0" applyAlignment="0" applyProtection="0">
      <alignment vertical="center"/>
    </xf>
    <xf numFmtId="0" fontId="51" fillId="0" borderId="56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44" borderId="57" applyNumberFormat="0" applyAlignment="0" applyProtection="0">
      <alignment vertical="center"/>
    </xf>
    <xf numFmtId="0" fontId="53" fillId="45" borderId="58" applyNumberFormat="0" applyAlignment="0" applyProtection="0">
      <alignment vertical="center"/>
    </xf>
    <xf numFmtId="0" fontId="54" fillId="45" borderId="57" applyNumberFormat="0" applyAlignment="0" applyProtection="0">
      <alignment vertical="center"/>
    </xf>
    <xf numFmtId="0" fontId="55" fillId="46" borderId="59" applyNumberFormat="0" applyAlignment="0" applyProtection="0">
      <alignment vertical="center"/>
    </xf>
    <xf numFmtId="0" fontId="56" fillId="0" borderId="60" applyNumberFormat="0" applyFill="0" applyAlignment="0" applyProtection="0">
      <alignment vertical="center"/>
    </xf>
    <xf numFmtId="0" fontId="57" fillId="0" borderId="61" applyNumberFormat="0" applyFill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51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2" fillId="53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2" fillId="57" borderId="0" applyNumberFormat="0" applyBorder="0" applyAlignment="0" applyProtection="0">
      <alignment vertical="center"/>
    </xf>
    <xf numFmtId="0" fontId="62" fillId="58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1" fillId="61" borderId="0" applyNumberFormat="0" applyBorder="0" applyAlignment="0" applyProtection="0">
      <alignment vertical="center"/>
    </xf>
    <xf numFmtId="0" fontId="61" fillId="62" borderId="0" applyNumberFormat="0" applyBorder="0" applyAlignment="0" applyProtection="0">
      <alignment vertical="center"/>
    </xf>
    <xf numFmtId="0" fontId="62" fillId="63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2" fillId="65" borderId="0" applyNumberFormat="0" applyBorder="0" applyAlignment="0" applyProtection="0">
      <alignment vertical="center"/>
    </xf>
    <xf numFmtId="0" fontId="62" fillId="66" borderId="0" applyNumberFormat="0" applyBorder="0" applyAlignment="0" applyProtection="0">
      <alignment vertical="center"/>
    </xf>
    <xf numFmtId="0" fontId="61" fillId="67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</cellStyleXfs>
  <cellXfs count="329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0" fillId="13" borderId="0" xfId="0" applyFill="1"/>
    <xf numFmtId="0" fontId="0" fillId="14" borderId="0" xfId="0" applyFill="1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77" fontId="0" fillId="16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78" fontId="0" fillId="19" borderId="1" xfId="0" applyNumberForma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49" fontId="9" fillId="13" borderId="1" xfId="0" applyNumberFormat="1" applyFont="1" applyFill="1" applyBorder="1" applyAlignment="1">
      <alignment horizontal="center" vertical="center" wrapText="1"/>
    </xf>
    <xf numFmtId="177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78" fontId="0" fillId="13" borderId="1" xfId="0" applyNumberFormat="1" applyFill="1" applyBorder="1" applyAlignment="1">
      <alignment horizontal="center" vertical="center"/>
    </xf>
    <xf numFmtId="10" fontId="0" fillId="13" borderId="1" xfId="3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49" fontId="9" fillId="14" borderId="1" xfId="0" applyNumberFormat="1" applyFont="1" applyFill="1" applyBorder="1" applyAlignment="1">
      <alignment horizontal="center" vertical="center" wrapText="1"/>
    </xf>
    <xf numFmtId="177" fontId="0" fillId="14" borderId="1" xfId="0" applyNumberFormat="1" applyFill="1" applyBorder="1" applyAlignment="1">
      <alignment horizontal="center" vertical="center"/>
    </xf>
    <xf numFmtId="10" fontId="0" fillId="14" borderId="1" xfId="3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178" fontId="0" fillId="18" borderId="1" xfId="0" applyNumberForma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24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8" fontId="0" fillId="0" borderId="0" xfId="0" applyNumberFormat="1"/>
    <xf numFmtId="0" fontId="0" fillId="15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23" borderId="0" xfId="0" applyFill="1" applyAlignment="1">
      <alignment horizontal="center"/>
    </xf>
    <xf numFmtId="178" fontId="0" fillId="16" borderId="0" xfId="0" applyNumberFormat="1" applyFill="1" applyAlignment="1">
      <alignment horizontal="center"/>
    </xf>
    <xf numFmtId="0" fontId="0" fillId="15" borderId="1" xfId="0" applyFill="1" applyBorder="1" applyAlignment="1">
      <alignment vertical="center"/>
    </xf>
    <xf numFmtId="0" fontId="14" fillId="15" borderId="6" xfId="0" applyFont="1" applyFill="1" applyBorder="1" applyAlignment="1">
      <alignment vertical="center"/>
    </xf>
    <xf numFmtId="0" fontId="0" fillId="16" borderId="6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15" fillId="0" borderId="0" xfId="0" applyFont="1"/>
    <xf numFmtId="179" fontId="15" fillId="0" borderId="0" xfId="1" applyNumberFormat="1" applyFont="1" applyAlignment="1"/>
    <xf numFmtId="0" fontId="16" fillId="0" borderId="0" xfId="0" applyFont="1"/>
    <xf numFmtId="0" fontId="16" fillId="0" borderId="0" xfId="0" applyFont="1" applyAlignment="1">
      <alignment horizontal="center"/>
    </xf>
    <xf numFmtId="180" fontId="16" fillId="0" borderId="0" xfId="3" applyNumberFormat="1" applyFont="1" applyFill="1" applyAlignment="1"/>
    <xf numFmtId="0" fontId="17" fillId="0" borderId="1" xfId="0" applyFont="1" applyBorder="1" applyAlignment="1">
      <alignment horizontal="center"/>
    </xf>
    <xf numFmtId="0" fontId="18" fillId="27" borderId="9" xfId="0" applyFont="1" applyFill="1" applyBorder="1" applyAlignment="1">
      <alignment vertical="top" wrapText="1"/>
    </xf>
    <xf numFmtId="0" fontId="18" fillId="27" borderId="10" xfId="0" applyFont="1" applyFill="1" applyBorder="1" applyAlignment="1">
      <alignment horizontal="center" vertical="top" wrapText="1"/>
    </xf>
    <xf numFmtId="0" fontId="18" fillId="27" borderId="10" xfId="0" applyFont="1" applyFill="1" applyBorder="1" applyAlignment="1">
      <alignment vertical="top" wrapText="1"/>
    </xf>
    <xf numFmtId="180" fontId="18" fillId="0" borderId="10" xfId="3" applyNumberFormat="1" applyFont="1" applyFill="1" applyBorder="1" applyAlignment="1">
      <alignment vertical="top" wrapText="1"/>
    </xf>
    <xf numFmtId="0" fontId="19" fillId="28" borderId="10" xfId="0" applyFont="1" applyFill="1" applyBorder="1" applyAlignment="1">
      <alignment horizontal="left" vertical="center" wrapText="1" readingOrder="1"/>
    </xf>
    <xf numFmtId="0" fontId="19" fillId="27" borderId="10" xfId="0" applyFont="1" applyFill="1" applyBorder="1" applyAlignment="1">
      <alignment horizontal="left" vertical="center" wrapText="1" readingOrder="1"/>
    </xf>
    <xf numFmtId="0" fontId="20" fillId="29" borderId="1" xfId="0" applyFont="1" applyFill="1" applyBorder="1" applyAlignment="1">
      <alignment vertical="top" wrapText="1"/>
    </xf>
    <xf numFmtId="0" fontId="20" fillId="29" borderId="1" xfId="0" applyFont="1" applyFill="1" applyBorder="1" applyAlignment="1">
      <alignment horizontal="center" vertical="top" wrapText="1"/>
    </xf>
    <xf numFmtId="180" fontId="20" fillId="0" borderId="1" xfId="3" applyNumberFormat="1" applyFont="1" applyFill="1" applyBorder="1" applyAlignment="1">
      <alignment vertical="top" wrapText="1"/>
    </xf>
    <xf numFmtId="0" fontId="18" fillId="30" borderId="1" xfId="0" applyFont="1" applyFill="1" applyBorder="1" applyAlignment="1">
      <alignment vertical="center" wrapText="1" readingOrder="1"/>
    </xf>
    <xf numFmtId="0" fontId="21" fillId="30" borderId="1" xfId="0" applyFont="1" applyFill="1" applyBorder="1" applyAlignment="1">
      <alignment vertical="center" wrapText="1" readingOrder="1"/>
    </xf>
    <xf numFmtId="0" fontId="20" fillId="30" borderId="1" xfId="0" applyFont="1" applyFill="1" applyBorder="1" applyAlignment="1">
      <alignment vertical="center" wrapText="1" readingOrder="1"/>
    </xf>
    <xf numFmtId="0" fontId="20" fillId="30" borderId="1" xfId="0" applyFont="1" applyFill="1" applyBorder="1" applyAlignment="1">
      <alignment horizontal="center" vertical="center" wrapText="1" readingOrder="1"/>
    </xf>
    <xf numFmtId="180" fontId="20" fillId="0" borderId="1" xfId="3" applyNumberFormat="1" applyFont="1" applyFill="1" applyBorder="1" applyAlignment="1">
      <alignment vertical="center" wrapText="1" readingOrder="1"/>
    </xf>
    <xf numFmtId="0" fontId="20" fillId="30" borderId="0" xfId="0" applyFont="1" applyFill="1" applyAlignment="1">
      <alignment vertical="center" wrapText="1" readingOrder="1"/>
    </xf>
    <xf numFmtId="0" fontId="20" fillId="30" borderId="0" xfId="0" applyFont="1" applyFill="1" applyAlignment="1">
      <alignment horizontal="center" vertical="center" wrapText="1" readingOrder="1"/>
    </xf>
    <xf numFmtId="180" fontId="20" fillId="0" borderId="0" xfId="3" applyNumberFormat="1" applyFont="1" applyFill="1" applyBorder="1" applyAlignment="1">
      <alignment vertical="center" wrapText="1" readingOrder="1"/>
    </xf>
    <xf numFmtId="0" fontId="18" fillId="30" borderId="0" xfId="0" applyFont="1" applyFill="1" applyAlignment="1">
      <alignment vertical="center" wrapText="1" readingOrder="1"/>
    </xf>
    <xf numFmtId="181" fontId="20" fillId="30" borderId="0" xfId="1" applyNumberFormat="1" applyFont="1" applyFill="1" applyBorder="1" applyAlignment="1">
      <alignment vertical="center" wrapText="1" readingOrder="1"/>
    </xf>
    <xf numFmtId="179" fontId="20" fillId="30" borderId="0" xfId="1" applyNumberFormat="1" applyFont="1" applyFill="1" applyBorder="1" applyAlignment="1">
      <alignment vertical="center" wrapText="1" readingOrder="1"/>
    </xf>
    <xf numFmtId="179" fontId="18" fillId="30" borderId="0" xfId="1" applyNumberFormat="1" applyFont="1" applyFill="1" applyBorder="1" applyAlignment="1">
      <alignment vertical="center" wrapText="1" readingOrder="1"/>
    </xf>
    <xf numFmtId="179" fontId="21" fillId="30" borderId="1" xfId="1" applyNumberFormat="1" applyFont="1" applyFill="1" applyBorder="1" applyAlignment="1">
      <alignment vertical="center" wrapText="1" readingOrder="1"/>
    </xf>
    <xf numFmtId="179" fontId="18" fillId="30" borderId="1" xfId="1" applyNumberFormat="1" applyFont="1" applyFill="1" applyBorder="1" applyAlignment="1">
      <alignment vertical="center" wrapText="1" readingOrder="1"/>
    </xf>
    <xf numFmtId="179" fontId="21" fillId="16" borderId="1" xfId="1" applyNumberFormat="1" applyFont="1" applyFill="1" applyBorder="1" applyAlignment="1">
      <alignment vertical="center" wrapText="1" readingOrder="1"/>
    </xf>
    <xf numFmtId="0" fontId="14" fillId="29" borderId="1" xfId="0" applyFont="1" applyFill="1" applyBorder="1" applyAlignment="1">
      <alignment horizontal="center" vertical="center"/>
    </xf>
    <xf numFmtId="179" fontId="18" fillId="30" borderId="0" xfId="0" applyNumberFormat="1" applyFont="1" applyFill="1" applyAlignment="1">
      <alignment vertical="center" wrapText="1" readingOrder="1"/>
    </xf>
    <xf numFmtId="179" fontId="21" fillId="30" borderId="0" xfId="1" applyNumberFormat="1" applyFont="1" applyFill="1" applyBorder="1" applyAlignment="1">
      <alignment vertical="center" wrapText="1" readingOrder="1"/>
    </xf>
    <xf numFmtId="179" fontId="21" fillId="30" borderId="0" xfId="0" applyNumberFormat="1" applyFont="1" applyFill="1" applyAlignment="1">
      <alignment vertical="center" wrapText="1" readingOrder="1"/>
    </xf>
    <xf numFmtId="179" fontId="14" fillId="29" borderId="0" xfId="0" applyNumberFormat="1" applyFont="1" applyFill="1" applyAlignment="1">
      <alignment horizontal="center" vertical="center"/>
    </xf>
    <xf numFmtId="181" fontId="20" fillId="16" borderId="0" xfId="1" applyNumberFormat="1" applyFont="1" applyFill="1" applyBorder="1" applyAlignment="1">
      <alignment vertical="center" wrapText="1" readingOrder="1"/>
    </xf>
    <xf numFmtId="179" fontId="18" fillId="30" borderId="1" xfId="0" applyNumberFormat="1" applyFont="1" applyFill="1" applyBorder="1" applyAlignment="1">
      <alignment vertical="center" wrapText="1" readingOrder="1"/>
    </xf>
    <xf numFmtId="180" fontId="20" fillId="16" borderId="0" xfId="3" applyNumberFormat="1" applyFont="1" applyFill="1" applyBorder="1" applyAlignment="1">
      <alignment vertical="center" wrapText="1" readingOrder="1"/>
    </xf>
    <xf numFmtId="179" fontId="21" fillId="30" borderId="1" xfId="0" applyNumberFormat="1" applyFont="1" applyFill="1" applyBorder="1" applyAlignment="1">
      <alignment vertical="center" wrapText="1" readingOrder="1"/>
    </xf>
    <xf numFmtId="0" fontId="20" fillId="16" borderId="0" xfId="0" applyFont="1" applyFill="1" applyAlignment="1">
      <alignment vertical="center" wrapText="1" readingOrder="1"/>
    </xf>
    <xf numFmtId="0" fontId="14" fillId="16" borderId="1" xfId="0" applyFont="1" applyFill="1" applyBorder="1" applyAlignment="1">
      <alignment horizontal="center" vertical="center"/>
    </xf>
    <xf numFmtId="179" fontId="18" fillId="16" borderId="0" xfId="0" applyNumberFormat="1" applyFont="1" applyFill="1" applyAlignment="1">
      <alignment vertical="center" wrapText="1" readingOrder="1"/>
    </xf>
    <xf numFmtId="0" fontId="21" fillId="30" borderId="0" xfId="0" applyFont="1" applyFill="1" applyAlignment="1">
      <alignment vertical="center" wrapText="1" readingOrder="1"/>
    </xf>
    <xf numFmtId="9" fontId="20" fillId="0" borderId="0" xfId="3" applyFont="1" applyFill="1" applyBorder="1" applyAlignment="1">
      <alignment vertical="center" wrapText="1" readingOrder="1"/>
    </xf>
    <xf numFmtId="179" fontId="15" fillId="0" borderId="0" xfId="0" applyNumberFormat="1" applyFont="1"/>
    <xf numFmtId="10" fontId="15" fillId="0" borderId="0" xfId="0" applyNumberFormat="1" applyFont="1"/>
    <xf numFmtId="180" fontId="18" fillId="0" borderId="0" xfId="3" applyNumberFormat="1" applyFont="1" applyFill="1" applyBorder="1" applyAlignment="1">
      <alignment vertical="center" wrapText="1" readingOrder="1"/>
    </xf>
    <xf numFmtId="180" fontId="16" fillId="0" borderId="0" xfId="3" applyNumberFormat="1" applyFont="1" applyFill="1" applyBorder="1" applyAlignment="1"/>
    <xf numFmtId="0" fontId="18" fillId="0" borderId="0" xfId="0" applyFont="1" applyAlignment="1">
      <alignment vertical="center" wrapText="1" readingOrder="1"/>
    </xf>
    <xf numFmtId="0" fontId="22" fillId="0" borderId="0" xfId="0" applyFont="1"/>
    <xf numFmtId="181" fontId="0" fillId="0" borderId="0" xfId="1" applyNumberFormat="1" applyFont="1" applyAlignment="1"/>
    <xf numFmtId="181" fontId="22" fillId="0" borderId="0" xfId="1" applyNumberFormat="1" applyFont="1" applyAlignment="1"/>
    <xf numFmtId="182" fontId="0" fillId="0" borderId="0" xfId="1" applyNumberFormat="1" applyFont="1" applyAlignment="1"/>
    <xf numFmtId="9" fontId="0" fillId="0" borderId="0" xfId="3" applyFont="1" applyAlignment="1"/>
    <xf numFmtId="181" fontId="0" fillId="16" borderId="0" xfId="1" applyNumberFormat="1" applyFont="1" applyFill="1" applyAlignment="1"/>
    <xf numFmtId="0" fontId="19" fillId="27" borderId="1" xfId="0" applyFont="1" applyFill="1" applyBorder="1" applyAlignment="1">
      <alignment horizontal="left" vertical="center" wrapText="1" readingOrder="1"/>
    </xf>
    <xf numFmtId="0" fontId="23" fillId="27" borderId="1" xfId="0" applyFont="1" applyFill="1" applyBorder="1" applyAlignment="1">
      <alignment horizontal="left" vertical="center" wrapText="1" readingOrder="1"/>
    </xf>
    <xf numFmtId="181" fontId="0" fillId="0" borderId="0" xfId="0" applyNumberFormat="1"/>
    <xf numFmtId="43" fontId="0" fillId="0" borderId="0" xfId="0" applyNumberFormat="1"/>
    <xf numFmtId="0" fontId="20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2" fillId="31" borderId="1" xfId="0" applyNumberFormat="1" applyFont="1" applyFill="1" applyBorder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/>
    </xf>
    <xf numFmtId="0" fontId="25" fillId="31" borderId="1" xfId="0" applyFont="1" applyFill="1" applyBorder="1" applyAlignment="1">
      <alignment horizontal="center" vertical="center"/>
    </xf>
    <xf numFmtId="0" fontId="26" fillId="31" borderId="1" xfId="0" applyFont="1" applyFill="1" applyBorder="1" applyAlignment="1">
      <alignment horizontal="center" vertical="center" wrapText="1"/>
    </xf>
    <xf numFmtId="0" fontId="26" fillId="31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32" borderId="8" xfId="0" applyFont="1" applyFill="1" applyBorder="1" applyAlignment="1">
      <alignment horizontal="center" vertical="center"/>
    </xf>
    <xf numFmtId="0" fontId="2" fillId="32" borderId="11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1" fillId="33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33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3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1" fillId="33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6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9" fillId="0" borderId="0" xfId="0" applyFont="1"/>
    <xf numFmtId="0" fontId="11" fillId="34" borderId="30" xfId="0" applyFont="1" applyFill="1" applyBorder="1" applyAlignment="1">
      <alignment horizontal="center" vertical="center"/>
    </xf>
    <xf numFmtId="0" fontId="11" fillId="35" borderId="14" xfId="0" applyFont="1" applyFill="1" applyBorder="1" applyAlignment="1">
      <alignment horizontal="center" vertical="center"/>
    </xf>
    <xf numFmtId="0" fontId="11" fillId="34" borderId="3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1" fillId="35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1" fillId="34" borderId="3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2" fillId="0" borderId="22" xfId="3" applyFont="1" applyBorder="1" applyAlignment="1">
      <alignment horizontal="center" vertical="center"/>
    </xf>
    <xf numFmtId="0" fontId="11" fillId="35" borderId="23" xfId="0" applyFont="1" applyFill="1" applyBorder="1" applyAlignment="1">
      <alignment horizontal="center" vertical="center"/>
    </xf>
    <xf numFmtId="0" fontId="0" fillId="0" borderId="35" xfId="0" applyBorder="1"/>
    <xf numFmtId="0" fontId="11" fillId="0" borderId="35" xfId="0" applyFont="1" applyBorder="1" applyAlignment="1">
      <alignment vertical="center"/>
    </xf>
    <xf numFmtId="0" fontId="11" fillId="34" borderId="36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1" fillId="34" borderId="39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9" fontId="0" fillId="0" borderId="33" xfId="3" applyFont="1" applyBorder="1" applyAlignment="1">
      <alignment horizontal="center" vertical="center"/>
    </xf>
    <xf numFmtId="0" fontId="11" fillId="34" borderId="4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9" fontId="0" fillId="0" borderId="23" xfId="3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1" fillId="35" borderId="13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9" fontId="0" fillId="0" borderId="22" xfId="3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0" fontId="0" fillId="0" borderId="22" xfId="3" applyNumberFormat="1" applyFont="1" applyBorder="1" applyAlignment="1">
      <alignment horizontal="center" vertical="center"/>
    </xf>
    <xf numFmtId="10" fontId="0" fillId="0" borderId="23" xfId="3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76" fontId="11" fillId="34" borderId="1" xfId="0" applyNumberFormat="1" applyFont="1" applyFill="1" applyBorder="1" applyAlignment="1">
      <alignment horizontal="center" vertical="center"/>
    </xf>
    <xf numFmtId="0" fontId="11" fillId="34" borderId="1" xfId="0" applyFont="1" applyFill="1" applyBorder="1" applyAlignment="1">
      <alignment horizontal="center" vertical="center"/>
    </xf>
    <xf numFmtId="176" fontId="11" fillId="33" borderId="1" xfId="0" applyNumberFormat="1" applyFont="1" applyFill="1" applyBorder="1" applyAlignment="1">
      <alignment horizontal="center" vertical="center"/>
    </xf>
    <xf numFmtId="176" fontId="11" fillId="36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31" fillId="37" borderId="5" xfId="0" applyFont="1" applyFill="1" applyBorder="1" applyAlignment="1">
      <alignment horizontal="center" vertical="center"/>
    </xf>
    <xf numFmtId="176" fontId="31" fillId="37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176" fontId="6" fillId="0" borderId="45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2" fillId="0" borderId="0" xfId="0" applyFont="1"/>
    <xf numFmtId="0" fontId="14" fillId="0" borderId="0" xfId="0" applyFont="1"/>
    <xf numFmtId="0" fontId="0" fillId="0" borderId="0" xfId="49"/>
    <xf numFmtId="0" fontId="3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9" fontId="1" fillId="0" borderId="0" xfId="1" applyNumberFormat="1" applyFont="1" applyAlignment="1">
      <alignment vertical="center"/>
    </xf>
    <xf numFmtId="0" fontId="33" fillId="0" borderId="0" xfId="0" applyFont="1" applyAlignment="1">
      <alignment horizontal="left" vertical="center"/>
    </xf>
    <xf numFmtId="0" fontId="32" fillId="38" borderId="1" xfId="0" applyFont="1" applyFill="1" applyBorder="1" applyAlignment="1">
      <alignment horizontal="center" vertical="center"/>
    </xf>
    <xf numFmtId="0" fontId="34" fillId="38" borderId="1" xfId="0" applyFont="1" applyFill="1" applyBorder="1" applyAlignment="1">
      <alignment horizontal="center" vertical="center"/>
    </xf>
    <xf numFmtId="179" fontId="34" fillId="38" borderId="1" xfId="1" applyNumberFormat="1" applyFont="1" applyFill="1" applyBorder="1" applyAlignment="1">
      <alignment vertical="center"/>
    </xf>
    <xf numFmtId="0" fontId="32" fillId="38" borderId="1" xfId="0" applyFont="1" applyFill="1" applyBorder="1" applyAlignment="1" applyProtection="1">
      <alignment horizontal="center" vertical="center"/>
      <protection locked="0"/>
    </xf>
    <xf numFmtId="0" fontId="32" fillId="38" borderId="1" xfId="0" applyFont="1" applyFill="1" applyBorder="1" applyAlignment="1">
      <alignment horizontal="left" vertical="center"/>
    </xf>
    <xf numFmtId="181" fontId="32" fillId="0" borderId="0" xfId="1" applyNumberFormat="1" applyFont="1" applyAlignment="1"/>
    <xf numFmtId="0" fontId="32" fillId="0" borderId="0" xfId="0" applyFont="1" applyAlignment="1">
      <alignment horizontal="center" vertical="center"/>
    </xf>
    <xf numFmtId="0" fontId="35" fillId="38" borderId="1" xfId="0" applyFont="1" applyFill="1" applyBorder="1" applyAlignment="1">
      <alignment horizontal="center" vertical="center"/>
    </xf>
    <xf numFmtId="0" fontId="36" fillId="39" borderId="6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9" fontId="1" fillId="2" borderId="1" xfId="50" applyNumberFormat="1" applyFont="1" applyFill="1" applyBorder="1" applyAlignment="1">
      <alignment vertical="center"/>
    </xf>
    <xf numFmtId="0" fontId="33" fillId="2" borderId="1" xfId="49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left" vertical="center"/>
    </xf>
    <xf numFmtId="0" fontId="22" fillId="28" borderId="1" xfId="0" applyFont="1" applyFill="1" applyBorder="1" applyAlignment="1">
      <alignment horizontal="center" vertical="center"/>
    </xf>
    <xf numFmtId="0" fontId="36" fillId="39" borderId="7" xfId="0" applyFont="1" applyFill="1" applyBorder="1" applyAlignment="1">
      <alignment horizontal="center" vertical="center" wrapText="1"/>
    </xf>
    <xf numFmtId="0" fontId="15" fillId="40" borderId="1" xfId="0" applyFont="1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36" fillId="39" borderId="4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3" fillId="2" borderId="1" xfId="49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center" wrapText="1"/>
    </xf>
    <xf numFmtId="0" fontId="38" fillId="41" borderId="6" xfId="0" applyFont="1" applyFill="1" applyBorder="1" applyAlignment="1">
      <alignment horizontal="center" vertical="center" wrapText="1"/>
    </xf>
    <xf numFmtId="0" fontId="38" fillId="41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38" fillId="41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40" fillId="28" borderId="1" xfId="0" applyFont="1" applyFill="1" applyBorder="1" applyAlignment="1">
      <alignment horizontal="center" vertical="center"/>
    </xf>
    <xf numFmtId="0" fontId="35" fillId="16" borderId="1" xfId="49" applyFont="1" applyFill="1" applyBorder="1" applyAlignment="1">
      <alignment horizontal="center"/>
    </xf>
    <xf numFmtId="0" fontId="40" fillId="15" borderId="1" xfId="49" applyFont="1" applyFill="1" applyBorder="1" applyAlignment="1">
      <alignment horizontal="center" vertical="center"/>
    </xf>
    <xf numFmtId="0" fontId="33" fillId="42" borderId="1" xfId="49" applyFont="1" applyFill="1" applyBorder="1" applyAlignment="1">
      <alignment horizontal="center" vertical="center"/>
    </xf>
    <xf numFmtId="0" fontId="38" fillId="41" borderId="4" xfId="0" applyFont="1" applyFill="1" applyBorder="1" applyAlignment="1">
      <alignment horizontal="center" vertical="center" wrapText="1"/>
    </xf>
    <xf numFmtId="0" fontId="39" fillId="2" borderId="6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9" fillId="2" borderId="6" xfId="49" applyFont="1" applyFill="1" applyBorder="1" applyAlignment="1">
      <alignment horizontal="center" vertical="center"/>
    </xf>
    <xf numFmtId="0" fontId="39" fillId="2" borderId="7" xfId="49" applyFont="1" applyFill="1" applyBorder="1" applyAlignment="1">
      <alignment horizontal="center" vertical="center"/>
    </xf>
    <xf numFmtId="0" fontId="33" fillId="2" borderId="1" xfId="49" applyFont="1" applyFill="1" applyBorder="1" applyAlignment="1">
      <alignment horizontal="center" vertical="center"/>
    </xf>
    <xf numFmtId="0" fontId="35" fillId="28" borderId="46" xfId="49" applyFont="1" applyFill="1" applyBorder="1" applyAlignment="1">
      <alignment horizontal="center" vertical="center" wrapText="1"/>
    </xf>
    <xf numFmtId="0" fontId="35" fillId="16" borderId="47" xfId="49" applyFont="1" applyFill="1" applyBorder="1" applyAlignment="1">
      <alignment horizontal="center" vertical="center" wrapText="1"/>
    </xf>
    <xf numFmtId="0" fontId="35" fillId="16" borderId="48" xfId="49" applyFont="1" applyFill="1" applyBorder="1" applyAlignment="1">
      <alignment horizontal="center" vertical="center" wrapText="1"/>
    </xf>
    <xf numFmtId="0" fontId="41" fillId="15" borderId="1" xfId="49" applyFont="1" applyFill="1" applyBorder="1" applyAlignment="1">
      <alignment horizontal="center" vertical="center"/>
    </xf>
    <xf numFmtId="0" fontId="42" fillId="42" borderId="1" xfId="49" applyFont="1" applyFill="1" applyBorder="1" applyAlignment="1">
      <alignment horizontal="center" vertical="center" wrapText="1"/>
    </xf>
    <xf numFmtId="0" fontId="42" fillId="42" borderId="1" xfId="49" applyFont="1" applyFill="1" applyBorder="1" applyAlignment="1">
      <alignment horizontal="center" vertical="center"/>
    </xf>
    <xf numFmtId="0" fontId="42" fillId="42" borderId="49" xfId="49" applyFont="1" applyFill="1" applyBorder="1" applyAlignment="1">
      <alignment horizontal="center" vertical="center"/>
    </xf>
    <xf numFmtId="0" fontId="42" fillId="42" borderId="50" xfId="49" applyFont="1" applyFill="1" applyBorder="1" applyAlignment="1">
      <alignment horizontal="center" vertical="center" wrapText="1"/>
    </xf>
    <xf numFmtId="0" fontId="42" fillId="42" borderId="51" xfId="49" applyFont="1" applyFill="1" applyBorder="1" applyAlignment="1">
      <alignment horizontal="center" vertical="center" wrapText="1"/>
    </xf>
    <xf numFmtId="0" fontId="39" fillId="2" borderId="4" xfId="49" applyFont="1" applyFill="1" applyBorder="1" applyAlignment="1">
      <alignment horizontal="center" vertical="center"/>
    </xf>
    <xf numFmtId="179" fontId="1" fillId="2" borderId="1" xfId="50" applyNumberFormat="1" applyFont="1" applyFill="1" applyBorder="1" applyAlignment="1">
      <alignment horizontal="center" vertical="center"/>
    </xf>
    <xf numFmtId="0" fontId="38" fillId="41" borderId="7" xfId="0" applyFont="1" applyFill="1" applyBorder="1" applyAlignment="1">
      <alignment vertical="center" wrapText="1"/>
    </xf>
    <xf numFmtId="0" fontId="3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1" applyNumberFormat="1" applyFont="1" applyBorder="1" applyAlignment="1">
      <alignment vertical="center"/>
    </xf>
    <xf numFmtId="0" fontId="33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1" fontId="0" fillId="0" borderId="0" xfId="50" applyNumberFormat="1" applyFont="1" applyAlignment="1"/>
    <xf numFmtId="0" fontId="33" fillId="0" borderId="1" xfId="0" applyFont="1" applyBorder="1" applyAlignment="1">
      <alignment horizontal="left" vertical="center" wrapText="1"/>
    </xf>
    <xf numFmtId="183" fontId="0" fillId="0" borderId="0" xfId="0" applyNumberFormat="1"/>
    <xf numFmtId="0" fontId="0" fillId="0" borderId="0" xfId="0" applyAlignment="1">
      <alignment horizontal="left" wrapText="1"/>
    </xf>
    <xf numFmtId="18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43" fillId="13" borderId="52" xfId="0" applyFont="1" applyFill="1" applyBorder="1" applyAlignment="1">
      <alignment horizontal="center" vertical="center"/>
    </xf>
    <xf numFmtId="183" fontId="43" fillId="13" borderId="47" xfId="0" applyNumberFormat="1" applyFont="1" applyFill="1" applyBorder="1" applyAlignment="1">
      <alignment horizontal="center" vertical="center"/>
    </xf>
    <xf numFmtId="0" fontId="43" fillId="13" borderId="47" xfId="0" applyFont="1" applyFill="1" applyBorder="1" applyAlignment="1">
      <alignment horizontal="center" vertical="center"/>
    </xf>
    <xf numFmtId="183" fontId="43" fillId="13" borderId="48" xfId="0" applyNumberFormat="1" applyFont="1" applyFill="1" applyBorder="1" applyAlignment="1">
      <alignment horizontal="center" vertical="center"/>
    </xf>
    <xf numFmtId="183" fontId="0" fillId="0" borderId="53" xfId="0" applyNumberFormat="1" applyBorder="1" applyAlignment="1">
      <alignment horizontal="center" vertical="center"/>
    </xf>
    <xf numFmtId="183" fontId="0" fillId="0" borderId="53" xfId="0" applyNumberFormat="1" applyBorder="1" applyAlignment="1">
      <alignment horizontal="center" vertical="center" wrapText="1"/>
    </xf>
    <xf numFmtId="183" fontId="0" fillId="0" borderId="53" xfId="0" applyNumberFormat="1" applyBorder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16</xdr:col>
      <xdr:colOff>40005</xdr:colOff>
      <xdr:row>56</xdr:row>
      <xdr:rowOff>22860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40340" y="3179445"/>
          <a:ext cx="4558665" cy="702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40</xdr:row>
      <xdr:rowOff>153670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462885" y="3181350"/>
          <a:ext cx="5339715" cy="434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36</xdr:row>
      <xdr:rowOff>27940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396960" y="3159125"/>
          <a:ext cx="4653280" cy="3543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H12" sqref="H12"/>
    </sheetView>
  </sheetViews>
  <sheetFormatPr defaultColWidth="9" defaultRowHeight="13.8" outlineLevelCol="6"/>
  <cols>
    <col min="2" max="2" width="10.1111111111111" customWidth="1"/>
    <col min="3" max="3" width="14.4444444444444" style="317" customWidth="1"/>
    <col min="4" max="4" width="42.6666666666667" style="318" customWidth="1"/>
    <col min="5" max="5" width="13" hidden="1" customWidth="1"/>
    <col min="6" max="6" width="18.6666666666667" style="317" customWidth="1"/>
  </cols>
  <sheetData>
    <row r="1" ht="14.55" spans="1:7">
      <c r="A1" s="2"/>
      <c r="B1" s="2"/>
      <c r="C1" s="319"/>
      <c r="D1" s="320"/>
      <c r="E1" s="2"/>
      <c r="F1" s="319"/>
      <c r="G1" s="2"/>
    </row>
    <row r="2" ht="21.75" customHeight="1" spans="1:7">
      <c r="A2" s="2"/>
      <c r="B2" s="321" t="s">
        <v>0</v>
      </c>
      <c r="C2" s="322" t="s">
        <v>1</v>
      </c>
      <c r="D2" s="323" t="s">
        <v>2</v>
      </c>
      <c r="E2" s="323" t="s">
        <v>3</v>
      </c>
      <c r="F2" s="324" t="s">
        <v>4</v>
      </c>
      <c r="G2" s="2"/>
    </row>
    <row r="3" ht="26.25" customHeight="1" spans="1:7">
      <c r="A3" s="2"/>
      <c r="B3" s="325" t="s">
        <v>5</v>
      </c>
      <c r="C3" s="325">
        <v>44036</v>
      </c>
      <c r="D3" s="326" t="s">
        <v>6</v>
      </c>
      <c r="E3" s="325"/>
      <c r="F3" s="325">
        <v>44039</v>
      </c>
      <c r="G3" s="2"/>
    </row>
    <row r="4" ht="53.25" customHeight="1" spans="1:7">
      <c r="A4" s="2"/>
      <c r="B4" s="325" t="s">
        <v>7</v>
      </c>
      <c r="C4" s="325">
        <v>44056</v>
      </c>
      <c r="D4" s="326" t="s">
        <v>8</v>
      </c>
      <c r="E4" s="325" t="s">
        <v>9</v>
      </c>
      <c r="F4" s="325">
        <v>44056</v>
      </c>
      <c r="G4" s="2"/>
    </row>
    <row r="5" ht="101.25" customHeight="1" spans="1:7">
      <c r="A5" s="2"/>
      <c r="B5" s="325" t="s">
        <v>10</v>
      </c>
      <c r="C5" s="325">
        <v>44131</v>
      </c>
      <c r="D5" s="326" t="s">
        <v>11</v>
      </c>
      <c r="E5" s="325" t="s">
        <v>12</v>
      </c>
      <c r="F5" s="325">
        <v>44132</v>
      </c>
      <c r="G5" s="2"/>
    </row>
    <row r="6" ht="204" customHeight="1" spans="1:7">
      <c r="A6" s="2"/>
      <c r="B6" s="325" t="s">
        <v>13</v>
      </c>
      <c r="C6" s="325">
        <v>44281</v>
      </c>
      <c r="D6" s="326" t="s">
        <v>14</v>
      </c>
      <c r="E6" s="325"/>
      <c r="F6" s="325">
        <v>44287</v>
      </c>
      <c r="G6" s="2"/>
    </row>
    <row r="7" ht="85.95" customHeight="1" spans="1:7">
      <c r="A7" s="2"/>
      <c r="B7" s="325" t="s">
        <v>15</v>
      </c>
      <c r="C7" s="325">
        <v>44670</v>
      </c>
      <c r="D7" s="326" t="s">
        <v>16</v>
      </c>
      <c r="E7" s="325"/>
      <c r="F7" s="325">
        <v>44670</v>
      </c>
      <c r="G7" s="2"/>
    </row>
    <row r="8" ht="97.95" customHeight="1" spans="1:7">
      <c r="A8" s="2"/>
      <c r="B8" s="325" t="s">
        <v>17</v>
      </c>
      <c r="C8" s="325">
        <v>45127</v>
      </c>
      <c r="D8" s="326" t="s">
        <v>18</v>
      </c>
      <c r="E8" s="325"/>
      <c r="F8" s="325">
        <v>45127</v>
      </c>
      <c r="G8" s="2"/>
    </row>
    <row r="9" ht="14.55" spans="1:7">
      <c r="A9" s="2"/>
      <c r="B9" s="325" t="s">
        <v>19</v>
      </c>
      <c r="C9" s="325">
        <v>45468</v>
      </c>
      <c r="D9" s="327" t="s">
        <v>20</v>
      </c>
      <c r="E9" s="325"/>
      <c r="F9" s="325">
        <v>45468</v>
      </c>
      <c r="G9" s="2"/>
    </row>
    <row r="10" ht="14.55" spans="1:7">
      <c r="A10" s="2"/>
      <c r="B10" s="325" t="s">
        <v>21</v>
      </c>
      <c r="C10" s="325">
        <v>45482</v>
      </c>
      <c r="D10" s="326" t="s">
        <v>22</v>
      </c>
      <c r="E10" s="325"/>
      <c r="F10" s="325">
        <v>45482</v>
      </c>
      <c r="G10" s="2"/>
    </row>
    <row r="11" ht="14.55" spans="1:7">
      <c r="A11" s="2"/>
      <c r="B11" s="325" t="s">
        <v>23</v>
      </c>
      <c r="C11" s="325">
        <v>45483</v>
      </c>
      <c r="D11" s="326" t="s">
        <v>24</v>
      </c>
      <c r="E11" s="325"/>
      <c r="F11" s="325">
        <v>45483</v>
      </c>
      <c r="G11" s="2"/>
    </row>
    <row r="12" ht="14.55" spans="1:7">
      <c r="A12" s="2"/>
      <c r="B12" s="325"/>
      <c r="C12" s="325"/>
      <c r="D12" s="326"/>
      <c r="E12" s="325"/>
      <c r="F12" s="325"/>
      <c r="G12" s="2"/>
    </row>
    <row r="13" ht="14.55" spans="1:7">
      <c r="A13" s="2"/>
      <c r="B13" s="325"/>
      <c r="C13" s="325"/>
      <c r="D13" s="326"/>
      <c r="E13" s="325"/>
      <c r="F13" s="325"/>
      <c r="G13" s="2"/>
    </row>
    <row r="14" ht="14.55" spans="1:7">
      <c r="A14" s="2"/>
      <c r="B14" s="325"/>
      <c r="C14" s="325"/>
      <c r="D14" s="326"/>
      <c r="E14" s="325"/>
      <c r="F14" s="325"/>
      <c r="G14" s="2"/>
    </row>
    <row r="15" ht="14.55" spans="1:7">
      <c r="A15" s="2"/>
      <c r="B15" s="325"/>
      <c r="C15" s="325"/>
      <c r="D15" s="326"/>
      <c r="E15" s="325"/>
      <c r="F15" s="325"/>
      <c r="G15" s="2"/>
    </row>
    <row r="16" ht="14.55" spans="1:7">
      <c r="A16" s="2"/>
      <c r="B16" s="325"/>
      <c r="C16" s="325"/>
      <c r="D16" s="326"/>
      <c r="E16" s="325"/>
      <c r="F16" s="325"/>
      <c r="G16" s="2"/>
    </row>
    <row r="17" ht="14.55" spans="1:7">
      <c r="A17" s="2"/>
      <c r="B17" s="325"/>
      <c r="C17" s="325"/>
      <c r="D17" s="326"/>
      <c r="E17" s="325"/>
      <c r="F17" s="325"/>
      <c r="G17" s="2"/>
    </row>
    <row r="18" ht="14.55" spans="1:7">
      <c r="A18" s="2"/>
      <c r="B18" s="325"/>
      <c r="C18" s="325"/>
      <c r="D18" s="326"/>
      <c r="E18" s="325"/>
      <c r="F18" s="325"/>
      <c r="G18" s="2"/>
    </row>
    <row r="19" spans="1:7">
      <c r="A19" s="2"/>
      <c r="B19" s="2"/>
      <c r="C19" s="319"/>
      <c r="D19" s="328"/>
      <c r="E19" s="2"/>
      <c r="F19" s="319"/>
      <c r="G19" s="2"/>
    </row>
    <row r="20" spans="1:7">
      <c r="A20" s="2"/>
      <c r="B20" s="2"/>
      <c r="C20" s="319"/>
      <c r="D20" s="328"/>
      <c r="E20" s="2"/>
      <c r="F20" s="319"/>
      <c r="G20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8"/>
  <sheetViews>
    <sheetView zoomScale="56" zoomScaleNormal="56" workbookViewId="0">
      <pane xSplit="3" ySplit="1" topLeftCell="D2" activePane="bottomRight" state="frozen"/>
      <selection/>
      <selection pane="topRight"/>
      <selection pane="bottomLeft"/>
      <selection pane="bottomRight" activeCell="M3" sqref="M3:M4"/>
    </sheetView>
  </sheetViews>
  <sheetFormatPr defaultColWidth="9" defaultRowHeight="36.15" customHeight="1"/>
  <cols>
    <col min="1" max="1" width="22.1111111111111" customWidth="1"/>
    <col min="2" max="2" width="13.1111111111111" customWidth="1"/>
    <col min="3" max="3" width="22.7777777777778" style="253" customWidth="1"/>
    <col min="4" max="4" width="31.6666666666667" style="254" customWidth="1"/>
    <col min="5" max="5" width="50.8796296296296" style="254" customWidth="1"/>
    <col min="6" max="6" width="19.6666666666667" style="255" customWidth="1"/>
    <col min="7" max="7" width="96.212962962963" style="253" customWidth="1"/>
    <col min="8" max="8" width="39.4444444444444" style="256" customWidth="1"/>
    <col min="9" max="9" width="8.66666666666667" style="135" hidden="1" customWidth="1"/>
    <col min="10" max="10" width="9.11111111111111" hidden="1" customWidth="1"/>
    <col min="11" max="11" width="25.1111111111111" style="2" customWidth="1"/>
    <col min="12" max="12" width="19.7777777777778" customWidth="1"/>
    <col min="13" max="13" width="28.1111111111111" customWidth="1"/>
    <col min="14" max="14" width="37.4444444444444" customWidth="1"/>
    <col min="15" max="15" width="36.3333333333333" customWidth="1"/>
  </cols>
  <sheetData>
    <row r="1" s="250" customFormat="1" customHeight="1" spans="1:15">
      <c r="A1" s="257"/>
      <c r="B1" s="257" t="s">
        <v>25</v>
      </c>
      <c r="C1" s="257" t="s">
        <v>26</v>
      </c>
      <c r="D1" s="258" t="s">
        <v>27</v>
      </c>
      <c r="E1" s="258" t="s">
        <v>28</v>
      </c>
      <c r="F1" s="259" t="s">
        <v>29</v>
      </c>
      <c r="G1" s="260" t="s">
        <v>30</v>
      </c>
      <c r="H1" s="261"/>
      <c r="I1" s="262"/>
      <c r="K1" s="263"/>
      <c r="L1" s="264" t="s">
        <v>31</v>
      </c>
      <c r="M1" s="264">
        <f>VLOOKUP('【2】运营中心填-基本信息&amp;审核标准'!C2,各村基准价!C:E,2,FALSE)</f>
        <v>1612.1</v>
      </c>
      <c r="N1" s="2"/>
    </row>
    <row r="2" customHeight="1" spans="1:15">
      <c r="A2" s="265" t="s">
        <v>32</v>
      </c>
      <c r="B2" s="265">
        <v>1</v>
      </c>
      <c r="C2" s="266" t="s">
        <v>33</v>
      </c>
      <c r="D2" s="267" t="s">
        <v>34</v>
      </c>
      <c r="E2" s="267" t="str">
        <f>$C$2&amp;D2</f>
        <v>区位交通很便利</v>
      </c>
      <c r="F2" s="268">
        <v>1.04</v>
      </c>
      <c r="G2" s="269" t="s">
        <v>35</v>
      </c>
      <c r="H2" s="270"/>
      <c r="I2" s="135" t="e">
        <f>J2*#REF!-J2</f>
        <v>#REF!</v>
      </c>
      <c r="J2">
        <v>1350</v>
      </c>
      <c r="L2" s="271" t="s">
        <v>36</v>
      </c>
      <c r="M2" s="271" t="s">
        <v>37</v>
      </c>
    </row>
    <row r="3" customHeight="1" spans="1:15">
      <c r="A3" s="272"/>
      <c r="B3" s="272"/>
      <c r="C3" s="266"/>
      <c r="D3" s="267" t="s">
        <v>38</v>
      </c>
      <c r="E3" s="267" t="str">
        <f>$C$2&amp;D3</f>
        <v>区位交通较便利</v>
      </c>
      <c r="F3" s="268">
        <v>1.02</v>
      </c>
      <c r="G3" s="269" t="s">
        <v>39</v>
      </c>
      <c r="H3" s="270"/>
      <c r="I3" s="135" t="e">
        <f>J3*#REF!-J3</f>
        <v>#REF!</v>
      </c>
      <c r="J3">
        <v>1350</v>
      </c>
      <c r="K3" s="2">
        <v>1</v>
      </c>
      <c r="L3" s="273" t="s">
        <v>40</v>
      </c>
      <c r="M3" s="238">
        <f>$M$1*K3</f>
        <v>1612.1</v>
      </c>
    </row>
    <row r="4" customHeight="1" spans="1:15">
      <c r="A4" s="272"/>
      <c r="B4" s="272"/>
      <c r="C4" s="266"/>
      <c r="D4" s="267" t="s">
        <v>41</v>
      </c>
      <c r="E4" s="267" t="str">
        <f>$C$2&amp;D4</f>
        <v>区位中心位置</v>
      </c>
      <c r="F4" s="268">
        <v>1</v>
      </c>
      <c r="G4" s="269" t="s">
        <v>42</v>
      </c>
      <c r="H4" s="270"/>
      <c r="I4" s="135">
        <f>J4*F2-J4</f>
        <v>54</v>
      </c>
      <c r="J4">
        <v>1350</v>
      </c>
      <c r="K4" s="2">
        <v>1.5</v>
      </c>
      <c r="L4" s="273" t="s">
        <v>43</v>
      </c>
      <c r="M4" s="238">
        <f>VLOOKUP('【2】运营中心填-基本信息&amp;审核标准'!C2,各村基准价!C:E,3,FALSE)</f>
        <v>2402.5</v>
      </c>
    </row>
    <row r="5" customHeight="1" spans="1:15">
      <c r="A5" s="272"/>
      <c r="B5" s="272"/>
      <c r="C5" s="266"/>
      <c r="D5" s="267" t="s">
        <v>44</v>
      </c>
      <c r="E5" s="267" t="str">
        <f>$C$2&amp;D5</f>
        <v>区位交通较不便</v>
      </c>
      <c r="F5" s="268">
        <v>0.98</v>
      </c>
      <c r="G5" s="269" t="s">
        <v>45</v>
      </c>
      <c r="H5" s="270"/>
      <c r="I5" s="135">
        <f>J5*F3-J5</f>
        <v>27</v>
      </c>
      <c r="J5">
        <v>1350</v>
      </c>
      <c r="K5" s="2">
        <v>2</v>
      </c>
      <c r="L5" s="274" t="s">
        <v>46</v>
      </c>
      <c r="M5" s="238">
        <f t="shared" ref="M5:M11" si="0">$M$1*K5</f>
        <v>3224.2</v>
      </c>
    </row>
    <row r="6" customHeight="1" spans="1:15">
      <c r="A6" s="272"/>
      <c r="B6" s="275"/>
      <c r="C6" s="266"/>
      <c r="D6" s="267" t="s">
        <v>47</v>
      </c>
      <c r="E6" s="267" t="str">
        <f>$C$2&amp;D6</f>
        <v>区位交通很不便</v>
      </c>
      <c r="F6" s="268">
        <v>0.96</v>
      </c>
      <c r="G6" s="269" t="s">
        <v>48</v>
      </c>
      <c r="H6" s="270"/>
      <c r="I6" s="135">
        <v>100</v>
      </c>
      <c r="J6">
        <v>1350</v>
      </c>
      <c r="K6" s="2">
        <v>1</v>
      </c>
      <c r="L6" s="274" t="s">
        <v>49</v>
      </c>
      <c r="M6" s="238">
        <f t="shared" si="0"/>
        <v>1612.1</v>
      </c>
    </row>
    <row r="7" customHeight="1" spans="1:15">
      <c r="A7" s="272"/>
      <c r="B7" s="265">
        <v>2</v>
      </c>
      <c r="C7" s="276" t="s">
        <v>50</v>
      </c>
      <c r="D7" s="1" t="s">
        <v>51</v>
      </c>
      <c r="E7" s="1" t="str">
        <f>$C$7&amp;D7</f>
        <v>有无电梯有</v>
      </c>
      <c r="F7" s="268">
        <v>1.05</v>
      </c>
      <c r="G7" s="277" t="s">
        <v>52</v>
      </c>
      <c r="H7" s="278"/>
      <c r="I7" s="135">
        <v>80</v>
      </c>
      <c r="J7">
        <v>1350</v>
      </c>
      <c r="K7" s="2">
        <v>1</v>
      </c>
      <c r="L7" s="274" t="s">
        <v>53</v>
      </c>
      <c r="M7" s="238">
        <f t="shared" si="0"/>
        <v>1612.1</v>
      </c>
    </row>
    <row r="8" customHeight="1" spans="1:15">
      <c r="A8" s="275"/>
      <c r="B8" s="275"/>
      <c r="C8" s="276"/>
      <c r="D8" s="1" t="s">
        <v>54</v>
      </c>
      <c r="E8" s="1" t="str">
        <f>$C$7&amp;D8</f>
        <v>有无电梯无</v>
      </c>
      <c r="F8" s="268">
        <v>1</v>
      </c>
      <c r="G8" s="277"/>
      <c r="H8" s="278"/>
      <c r="I8" s="135">
        <f>J8*F6-J8</f>
        <v>-54</v>
      </c>
      <c r="J8">
        <v>1350</v>
      </c>
      <c r="K8" s="2">
        <v>1.5</v>
      </c>
      <c r="L8" s="274" t="s">
        <v>55</v>
      </c>
      <c r="M8" s="238">
        <f>M4</f>
        <v>2402.5</v>
      </c>
    </row>
    <row r="9" customHeight="1" spans="1:15">
      <c r="A9" s="279" t="s">
        <v>56</v>
      </c>
      <c r="B9" s="280">
        <v>1</v>
      </c>
      <c r="C9" s="281" t="s">
        <v>57</v>
      </c>
      <c r="D9" s="1" t="s">
        <v>58</v>
      </c>
      <c r="E9" s="1" t="str">
        <f>$C$9&amp;D9</f>
        <v>套内空间很宽敞</v>
      </c>
      <c r="F9" s="268">
        <v>1.1</v>
      </c>
      <c r="G9" s="277" t="s">
        <v>59</v>
      </c>
      <c r="H9" s="278"/>
      <c r="I9" s="135">
        <f>J9*F7-J9</f>
        <v>0</v>
      </c>
      <c r="K9" s="2">
        <v>2</v>
      </c>
      <c r="L9" s="274" t="s">
        <v>60</v>
      </c>
      <c r="M9" s="238">
        <f t="shared" si="0"/>
        <v>3224.2</v>
      </c>
    </row>
    <row r="10" customHeight="1" spans="1:15">
      <c r="A10" s="282"/>
      <c r="B10" s="280"/>
      <c r="C10" s="281"/>
      <c r="D10" s="1" t="s">
        <v>61</v>
      </c>
      <c r="E10" s="1" t="str">
        <f>$C$9&amp;D10</f>
        <v>套内空间较宽敞</v>
      </c>
      <c r="F10" s="268">
        <v>1.06</v>
      </c>
      <c r="G10" s="277"/>
      <c r="H10" s="278"/>
      <c r="I10" s="135">
        <f>J10*F8-J10</f>
        <v>0</v>
      </c>
      <c r="K10" s="2">
        <v>2</v>
      </c>
      <c r="L10" s="274" t="s">
        <v>62</v>
      </c>
      <c r="M10" s="238">
        <f t="shared" si="0"/>
        <v>3224.2</v>
      </c>
    </row>
    <row r="11" customHeight="1" spans="1:15">
      <c r="A11" s="282"/>
      <c r="B11" s="280"/>
      <c r="C11" s="281"/>
      <c r="D11" s="1" t="s">
        <v>63</v>
      </c>
      <c r="E11" s="1" t="str">
        <f>$C$9&amp;D11</f>
        <v>套内空间适中</v>
      </c>
      <c r="F11" s="268">
        <v>1</v>
      </c>
      <c r="G11" s="277"/>
      <c r="H11" s="278"/>
      <c r="I11" s="135" t="e">
        <f>J11*#REF!-J11</f>
        <v>#REF!</v>
      </c>
      <c r="K11" s="2">
        <v>2</v>
      </c>
      <c r="L11" s="274" t="s">
        <v>64</v>
      </c>
      <c r="M11" s="238">
        <f t="shared" si="0"/>
        <v>3224.2</v>
      </c>
    </row>
    <row r="12" customHeight="1" spans="1:15">
      <c r="A12" s="282"/>
      <c r="B12" s="280"/>
      <c r="C12" s="281"/>
      <c r="D12" s="1" t="s">
        <v>65</v>
      </c>
      <c r="E12" s="1" t="str">
        <f>$C$9&amp;D12</f>
        <v>套内空间较狭小</v>
      </c>
      <c r="F12" s="268">
        <v>0.95</v>
      </c>
      <c r="G12" s="277"/>
      <c r="H12" s="278"/>
      <c r="I12" s="135" t="e">
        <f>J12*#REF!-J12</f>
        <v>#REF!</v>
      </c>
    </row>
    <row r="13" customHeight="1" spans="1:15">
      <c r="A13" s="282"/>
      <c r="B13" s="280"/>
      <c r="C13" s="281"/>
      <c r="D13" s="1" t="s">
        <v>66</v>
      </c>
      <c r="E13" s="1" t="str">
        <f>$C$9&amp;D13</f>
        <v>套内空间很狭小</v>
      </c>
      <c r="F13" s="268">
        <v>0.9</v>
      </c>
      <c r="G13" s="277"/>
      <c r="H13" s="278"/>
      <c r="I13" s="135" t="e">
        <f>J13*#REF!-J13</f>
        <v>#REF!</v>
      </c>
    </row>
    <row r="14" s="251" customFormat="1" customHeight="1" spans="1:15">
      <c r="A14" s="282"/>
      <c r="B14" s="279">
        <v>3</v>
      </c>
      <c r="C14" s="281" t="s">
        <v>67</v>
      </c>
      <c r="D14" s="1" t="s">
        <v>51</v>
      </c>
      <c r="E14" s="1" t="str">
        <f>$C$14&amp;D14</f>
        <v>阳台有</v>
      </c>
      <c r="F14" s="268">
        <v>1.07</v>
      </c>
      <c r="G14" s="277"/>
      <c r="H14" s="278"/>
      <c r="I14" s="135" t="e">
        <f>J14*#REF!-J14</f>
        <v>#REF!</v>
      </c>
      <c r="K14" s="283"/>
    </row>
    <row r="15" s="251" customFormat="1" customHeight="1" spans="1:15">
      <c r="A15" s="282"/>
      <c r="B15" s="282"/>
      <c r="C15" s="281"/>
      <c r="D15" s="1" t="s">
        <v>54</v>
      </c>
      <c r="E15" s="1" t="str">
        <f>$C$14&amp;D15</f>
        <v>阳台无</v>
      </c>
      <c r="F15" s="268">
        <v>1</v>
      </c>
      <c r="G15" s="269"/>
      <c r="H15" s="270"/>
      <c r="I15" s="135"/>
      <c r="K15" s="283"/>
    </row>
    <row r="16" customHeight="1" spans="1:15">
      <c r="A16" s="282"/>
      <c r="B16" s="279">
        <v>4</v>
      </c>
      <c r="C16" s="281" t="s">
        <v>68</v>
      </c>
      <c r="D16" s="1" t="s">
        <v>54</v>
      </c>
      <c r="E16" s="1" t="str">
        <f>$C$16&amp;D16</f>
        <v>楼梯房楼层无</v>
      </c>
      <c r="F16" s="268">
        <v>1</v>
      </c>
      <c r="G16" s="277" t="s">
        <v>69</v>
      </c>
      <c r="H16" s="278"/>
      <c r="I16" s="135">
        <f>J16*F11-J16</f>
        <v>0</v>
      </c>
      <c r="J16">
        <v>1350</v>
      </c>
      <c r="K16" s="284" t="s">
        <v>70</v>
      </c>
      <c r="L16" s="285" t="s">
        <v>71</v>
      </c>
      <c r="M16" s="285" t="s">
        <v>72</v>
      </c>
      <c r="N16" s="285" t="s">
        <v>73</v>
      </c>
      <c r="O16" s="285" t="s">
        <v>74</v>
      </c>
    </row>
    <row r="17" customHeight="1" spans="1:15">
      <c r="A17" s="282"/>
      <c r="B17" s="282"/>
      <c r="C17" s="281"/>
      <c r="D17" s="1" t="s">
        <v>75</v>
      </c>
      <c r="E17" s="1" t="str">
        <f>$C$16&amp;D17</f>
        <v>楼梯房楼层1F</v>
      </c>
      <c r="F17" s="268">
        <v>0.91</v>
      </c>
      <c r="G17" s="277"/>
      <c r="H17" s="278"/>
      <c r="I17" s="135">
        <f>J17*F12-J17</f>
        <v>-67.5</v>
      </c>
      <c r="J17">
        <v>1350</v>
      </c>
      <c r="K17" s="286" t="s">
        <v>58</v>
      </c>
      <c r="L17" s="287" t="s">
        <v>76</v>
      </c>
      <c r="M17" s="287" t="s">
        <v>77</v>
      </c>
      <c r="N17" s="287" t="s">
        <v>78</v>
      </c>
      <c r="O17" s="287" t="s">
        <v>79</v>
      </c>
    </row>
    <row r="18" customHeight="1" spans="1:15">
      <c r="A18" s="282"/>
      <c r="B18" s="282"/>
      <c r="C18" s="281"/>
      <c r="D18" s="1" t="s">
        <v>80</v>
      </c>
      <c r="E18" s="1" t="str">
        <f t="shared" ref="E18:E25" si="1">$C$16&amp;D18</f>
        <v>楼梯房楼层2F</v>
      </c>
      <c r="F18" s="268">
        <v>1.02</v>
      </c>
      <c r="G18" s="277"/>
      <c r="H18" s="278"/>
      <c r="I18" s="135">
        <f>J18*F13-J18</f>
        <v>-135</v>
      </c>
      <c r="J18">
        <v>1350</v>
      </c>
      <c r="K18" s="286" t="s">
        <v>61</v>
      </c>
      <c r="L18" s="287" t="s">
        <v>81</v>
      </c>
      <c r="M18" s="287" t="s">
        <v>82</v>
      </c>
      <c r="N18" s="287" t="s">
        <v>83</v>
      </c>
      <c r="O18" s="287" t="s">
        <v>84</v>
      </c>
    </row>
    <row r="19" customHeight="1" spans="1:15">
      <c r="A19" s="282"/>
      <c r="B19" s="282"/>
      <c r="C19" s="281"/>
      <c r="D19" s="1" t="s">
        <v>85</v>
      </c>
      <c r="E19" s="1" t="str">
        <f t="shared" si="1"/>
        <v>楼梯房楼层3F</v>
      </c>
      <c r="F19" s="268">
        <v>1.01</v>
      </c>
      <c r="G19" s="277"/>
      <c r="H19" s="278"/>
      <c r="I19" s="135" t="e">
        <f>J19*#REF!-J19</f>
        <v>#REF!</v>
      </c>
      <c r="J19">
        <v>1350</v>
      </c>
      <c r="K19" s="286" t="s">
        <v>63</v>
      </c>
      <c r="L19" s="287" t="s">
        <v>86</v>
      </c>
      <c r="M19" s="287" t="s">
        <v>87</v>
      </c>
      <c r="N19" s="287" t="s">
        <v>88</v>
      </c>
      <c r="O19" s="287" t="s">
        <v>89</v>
      </c>
    </row>
    <row r="20" customHeight="1" spans="1:15">
      <c r="A20" s="282"/>
      <c r="B20" s="282"/>
      <c r="C20" s="281"/>
      <c r="D20" s="1" t="s">
        <v>90</v>
      </c>
      <c r="E20" s="1" t="str">
        <f t="shared" si="1"/>
        <v>楼梯房楼层4F</v>
      </c>
      <c r="F20" s="268">
        <v>1</v>
      </c>
      <c r="G20" s="277"/>
      <c r="H20" s="278"/>
      <c r="I20" s="135" t="e">
        <f>J20*#REF!-J20</f>
        <v>#REF!</v>
      </c>
      <c r="J20">
        <v>1350</v>
      </c>
      <c r="K20" s="286" t="s">
        <v>65</v>
      </c>
      <c r="L20" s="287" t="s">
        <v>91</v>
      </c>
      <c r="M20" s="287" t="s">
        <v>92</v>
      </c>
      <c r="N20" s="287" t="s">
        <v>93</v>
      </c>
      <c r="O20" s="287" t="s">
        <v>94</v>
      </c>
    </row>
    <row r="21" customHeight="1" spans="1:15">
      <c r="A21" s="282"/>
      <c r="B21" s="282"/>
      <c r="C21" s="281"/>
      <c r="D21" s="1" t="s">
        <v>95</v>
      </c>
      <c r="E21" s="1" t="str">
        <f t="shared" si="1"/>
        <v>楼梯房楼层5F</v>
      </c>
      <c r="F21" s="268">
        <v>0.99</v>
      </c>
      <c r="G21" s="277"/>
      <c r="H21" s="278"/>
      <c r="I21" s="135" t="e">
        <f>J21*#REF!-J21</f>
        <v>#REF!</v>
      </c>
      <c r="J21">
        <v>1350</v>
      </c>
      <c r="K21" s="286" t="s">
        <v>66</v>
      </c>
      <c r="L21" s="287" t="s">
        <v>96</v>
      </c>
      <c r="M21" s="287" t="s">
        <v>97</v>
      </c>
      <c r="N21" s="287" t="s">
        <v>98</v>
      </c>
      <c r="O21" s="287" t="s">
        <v>99</v>
      </c>
    </row>
    <row r="22" customHeight="1" spans="1:15">
      <c r="A22" s="282"/>
      <c r="B22" s="282"/>
      <c r="C22" s="281"/>
      <c r="D22" s="1" t="s">
        <v>100</v>
      </c>
      <c r="E22" s="1" t="str">
        <f t="shared" si="1"/>
        <v>楼梯房楼层6F</v>
      </c>
      <c r="F22" s="268">
        <v>0.98</v>
      </c>
      <c r="G22" s="277"/>
      <c r="H22" s="278"/>
      <c r="I22" s="135" t="e">
        <f>J22*#REF!-J22</f>
        <v>#REF!</v>
      </c>
      <c r="J22">
        <v>1350</v>
      </c>
    </row>
    <row r="23" customHeight="1" spans="1:15">
      <c r="A23" s="282"/>
      <c r="B23" s="282"/>
      <c r="C23" s="281"/>
      <c r="D23" s="1" t="s">
        <v>101</v>
      </c>
      <c r="E23" s="1" t="str">
        <f t="shared" si="1"/>
        <v>楼梯房楼层7F</v>
      </c>
      <c r="F23" s="268">
        <v>0.96</v>
      </c>
      <c r="G23" s="277"/>
      <c r="H23" s="278"/>
      <c r="I23" s="135" t="e">
        <f>J23*#REF!-J23</f>
        <v>#REF!</v>
      </c>
      <c r="J23">
        <v>1350</v>
      </c>
    </row>
    <row r="24" customHeight="1" spans="1:15">
      <c r="A24" s="282"/>
      <c r="B24" s="282"/>
      <c r="C24" s="281"/>
      <c r="D24" s="1" t="s">
        <v>102</v>
      </c>
      <c r="E24" s="1" t="str">
        <f t="shared" si="1"/>
        <v>楼梯房楼层8F</v>
      </c>
      <c r="F24" s="268">
        <v>0.93</v>
      </c>
      <c r="G24" s="277"/>
      <c r="H24" s="278"/>
      <c r="I24" s="135">
        <f>J24*F14-J24</f>
        <v>94.5</v>
      </c>
      <c r="J24">
        <v>1350</v>
      </c>
    </row>
    <row r="25" customHeight="1" spans="1:15">
      <c r="A25" s="282"/>
      <c r="B25" s="288"/>
      <c r="C25" s="281"/>
      <c r="D25" s="1" t="s">
        <v>103</v>
      </c>
      <c r="E25" s="1" t="str">
        <f t="shared" si="1"/>
        <v>楼梯房楼层9F</v>
      </c>
      <c r="F25" s="268">
        <v>0.9</v>
      </c>
      <c r="G25" s="277"/>
      <c r="H25" s="278"/>
      <c r="I25" s="135">
        <f>J25*F15-J25</f>
        <v>0</v>
      </c>
      <c r="J25">
        <v>1350</v>
      </c>
    </row>
    <row r="26" customHeight="1" spans="1:15">
      <c r="A26" s="282"/>
      <c r="B26" s="279">
        <v>5</v>
      </c>
      <c r="C26" s="289" t="s">
        <v>104</v>
      </c>
      <c r="D26" s="1" t="s">
        <v>54</v>
      </c>
      <c r="E26" s="1" t="str">
        <f t="shared" ref="E26:E34" si="2">$C$26&amp;D26</f>
        <v>电梯房楼层无</v>
      </c>
      <c r="F26" s="268">
        <v>1</v>
      </c>
      <c r="G26" s="277"/>
      <c r="H26" s="278"/>
      <c r="I26" s="135" t="e">
        <f>J26*#REF!-J26</f>
        <v>#REF!</v>
      </c>
      <c r="J26">
        <v>1350</v>
      </c>
      <c r="K26" s="290"/>
    </row>
    <row r="27" customHeight="1" spans="1:15">
      <c r="A27" s="282"/>
      <c r="B27" s="282"/>
      <c r="C27" s="291"/>
      <c r="D27" s="1" t="s">
        <v>75</v>
      </c>
      <c r="E27" s="1" t="str">
        <f t="shared" si="2"/>
        <v>电梯房楼层1F</v>
      </c>
      <c r="F27" s="268">
        <v>0.87</v>
      </c>
      <c r="G27" s="277" t="s">
        <v>69</v>
      </c>
      <c r="H27" s="278"/>
    </row>
    <row r="28" customHeight="1" spans="1:15">
      <c r="A28" s="282"/>
      <c r="B28" s="282"/>
      <c r="C28" s="291"/>
      <c r="D28" s="1" t="s">
        <v>105</v>
      </c>
      <c r="E28" s="1" t="str">
        <f t="shared" si="2"/>
        <v>电梯房楼层2-3F</v>
      </c>
      <c r="F28" s="268">
        <v>0.99</v>
      </c>
      <c r="G28" s="277"/>
      <c r="H28" s="278"/>
      <c r="I28" s="135" t="e">
        <f>J28*#REF!-J28</f>
        <v>#REF!</v>
      </c>
    </row>
    <row r="29" customHeight="1" spans="1:15">
      <c r="A29" s="282"/>
      <c r="B29" s="282"/>
      <c r="C29" s="291"/>
      <c r="D29" s="1" t="s">
        <v>90</v>
      </c>
      <c r="E29" s="1" t="str">
        <f t="shared" si="2"/>
        <v>电梯房楼层4F</v>
      </c>
      <c r="F29" s="268">
        <v>1</v>
      </c>
      <c r="G29" s="277"/>
      <c r="H29" s="278"/>
      <c r="I29" s="135">
        <f t="shared" ref="I29" si="3">1325*F16-1325</f>
        <v>0</v>
      </c>
    </row>
    <row r="30" customHeight="1" spans="1:15">
      <c r="A30" s="282"/>
      <c r="B30" s="282"/>
      <c r="C30" s="291"/>
      <c r="D30" s="1" t="s">
        <v>106</v>
      </c>
      <c r="E30" s="1" t="str">
        <f t="shared" si="2"/>
        <v>电梯房楼层5-6F</v>
      </c>
      <c r="F30" s="268">
        <v>1.01</v>
      </c>
      <c r="G30" s="277"/>
      <c r="H30" s="278"/>
    </row>
    <row r="31" customHeight="1" spans="1:15">
      <c r="A31" s="282"/>
      <c r="B31" s="282"/>
      <c r="C31" s="291"/>
      <c r="D31" s="1" t="s">
        <v>107</v>
      </c>
      <c r="E31" s="1" t="str">
        <f t="shared" si="2"/>
        <v>电梯房楼层7-8F</v>
      </c>
      <c r="F31" s="268">
        <v>1.02</v>
      </c>
      <c r="G31" s="277"/>
      <c r="H31" s="278"/>
      <c r="I31" s="135">
        <f>1325*F18-1325</f>
        <v>26.5</v>
      </c>
    </row>
    <row r="32" customHeight="1" spans="1:15">
      <c r="A32" s="282"/>
      <c r="B32" s="282"/>
      <c r="C32" s="291"/>
      <c r="D32" s="1" t="s">
        <v>108</v>
      </c>
      <c r="E32" s="1" t="str">
        <f t="shared" si="2"/>
        <v>电梯房楼层9-10F</v>
      </c>
      <c r="F32" s="268">
        <v>1.03</v>
      </c>
      <c r="G32" s="277"/>
      <c r="H32" s="278"/>
      <c r="I32" s="135">
        <f>1325*F19-1325</f>
        <v>13.25</v>
      </c>
    </row>
    <row r="33" customHeight="1" spans="1:14">
      <c r="A33" s="282"/>
      <c r="B33" s="282"/>
      <c r="C33" s="291"/>
      <c r="D33" s="1" t="s">
        <v>109</v>
      </c>
      <c r="E33" s="1" t="str">
        <f t="shared" si="2"/>
        <v>电梯房楼层11-12F</v>
      </c>
      <c r="F33" s="268">
        <v>1.04</v>
      </c>
      <c r="G33" s="277"/>
      <c r="H33" s="278"/>
      <c r="I33" s="135">
        <f>1325*F20-1325</f>
        <v>0</v>
      </c>
    </row>
    <row r="34" customHeight="1" spans="1:14">
      <c r="A34" s="282"/>
      <c r="B34" s="288"/>
      <c r="C34" s="292"/>
      <c r="D34" s="1" t="s">
        <v>110</v>
      </c>
      <c r="E34" s="1" t="str">
        <f t="shared" si="2"/>
        <v>电梯房楼层13以上F</v>
      </c>
      <c r="F34" s="268">
        <v>1.05</v>
      </c>
      <c r="G34" s="277"/>
      <c r="H34" s="278"/>
      <c r="I34" s="135">
        <f>1325*F21-1325</f>
        <v>-13.25</v>
      </c>
    </row>
    <row r="35" customHeight="1" spans="1:14">
      <c r="A35" s="282"/>
      <c r="B35" s="282">
        <v>6</v>
      </c>
      <c r="C35" s="291" t="s">
        <v>111</v>
      </c>
      <c r="D35" s="1" t="s">
        <v>112</v>
      </c>
      <c r="E35" s="1" t="s">
        <v>113</v>
      </c>
      <c r="F35" s="268">
        <v>0.93</v>
      </c>
      <c r="G35" s="277"/>
      <c r="H35" s="278"/>
    </row>
    <row r="36" customHeight="1" spans="1:14">
      <c r="A36" s="282"/>
      <c r="B36" s="282"/>
      <c r="C36" s="291"/>
      <c r="D36" s="1" t="s">
        <v>114</v>
      </c>
      <c r="E36" s="1" t="str">
        <f t="shared" ref="E36:E41" si="4">$C$35&amp;D36</f>
        <v>功能配置（开间）缺失（书桌）</v>
      </c>
      <c r="F36" s="268">
        <v>0.98</v>
      </c>
      <c r="G36" s="277"/>
      <c r="H36" s="278"/>
      <c r="I36" s="135">
        <f>1325*F22-1325</f>
        <v>-26.5</v>
      </c>
    </row>
    <row r="37" customHeight="1" spans="1:14">
      <c r="A37" s="282"/>
      <c r="B37" s="282"/>
      <c r="C37" s="291"/>
      <c r="D37" s="1" t="s">
        <v>115</v>
      </c>
      <c r="E37" s="1" t="str">
        <f t="shared" si="4"/>
        <v>功能配置（开间）缺失（操作台）</v>
      </c>
      <c r="F37" s="268">
        <v>0.96</v>
      </c>
      <c r="G37" s="277"/>
      <c r="H37" s="278"/>
      <c r="I37" s="135">
        <f>1325*F23-1325</f>
        <v>-53</v>
      </c>
    </row>
    <row r="38" customHeight="1" spans="1:14">
      <c r="A38" s="282"/>
      <c r="B38" s="282"/>
      <c r="C38" s="291"/>
      <c r="D38" s="1" t="s">
        <v>63</v>
      </c>
      <c r="E38" s="1" t="str">
        <f t="shared" si="4"/>
        <v>功能配置（开间）适中</v>
      </c>
      <c r="F38" s="268">
        <v>1</v>
      </c>
      <c r="G38" s="269"/>
      <c r="H38" s="270"/>
      <c r="I38" s="135">
        <f>1325*F24-1325</f>
        <v>-92.75</v>
      </c>
    </row>
    <row r="39" customHeight="1" spans="1:14">
      <c r="A39" s="282"/>
      <c r="B39" s="282"/>
      <c r="C39" s="291"/>
      <c r="D39" s="1" t="s">
        <v>116</v>
      </c>
      <c r="E39" s="1" t="str">
        <f t="shared" si="4"/>
        <v>功能配置（开间）充足（油烟机/双人沙发）</v>
      </c>
      <c r="F39" s="268">
        <v>1.04</v>
      </c>
      <c r="G39" s="269"/>
      <c r="H39" s="270"/>
      <c r="I39" s="135">
        <f>1325*F25-1325</f>
        <v>-132.5</v>
      </c>
    </row>
    <row r="40" customHeight="1" spans="1:14">
      <c r="A40" s="282"/>
      <c r="B40" s="282"/>
      <c r="C40" s="291"/>
      <c r="D40" s="1" t="s">
        <v>117</v>
      </c>
      <c r="E40" s="1" t="str">
        <f t="shared" si="4"/>
        <v>功能配置（开间）充足（单人沙发/餐桌）</v>
      </c>
      <c r="F40" s="268">
        <v>1.03</v>
      </c>
      <c r="G40" s="269"/>
      <c r="H40" s="270"/>
    </row>
    <row r="41" customHeight="1" spans="1:14">
      <c r="A41" s="282"/>
      <c r="B41" s="288"/>
      <c r="C41" s="292"/>
      <c r="D41" s="1" t="s">
        <v>118</v>
      </c>
      <c r="E41" s="1" t="str">
        <f t="shared" si="4"/>
        <v>功能配置（开间）非常充足</v>
      </c>
      <c r="F41" s="268">
        <v>1.06</v>
      </c>
      <c r="G41" s="269"/>
      <c r="H41" s="270"/>
      <c r="I41" s="135">
        <f>1325*F27-1325</f>
        <v>-172.25</v>
      </c>
    </row>
    <row r="42" customHeight="1" spans="1:14">
      <c r="A42" s="282"/>
      <c r="B42" s="282"/>
      <c r="C42" s="289" t="s">
        <v>119</v>
      </c>
      <c r="D42" s="1">
        <v>5</v>
      </c>
      <c r="E42" s="1" t="str">
        <f>$C$42&amp;D42</f>
        <v>采光5</v>
      </c>
      <c r="F42" s="268">
        <v>1.06</v>
      </c>
      <c r="G42" s="269" t="s">
        <v>120</v>
      </c>
      <c r="H42" s="293"/>
    </row>
    <row r="43" customHeight="1" spans="1:14">
      <c r="A43" s="282"/>
      <c r="B43" s="282"/>
      <c r="C43" s="291"/>
      <c r="D43" s="1">
        <v>4</v>
      </c>
      <c r="E43" s="1" t="str">
        <f>$C$42&amp;D43</f>
        <v>采光4</v>
      </c>
      <c r="F43" s="268">
        <v>1.03</v>
      </c>
      <c r="G43" s="269"/>
      <c r="H43" s="294"/>
    </row>
    <row r="44" customHeight="1" spans="1:14">
      <c r="A44" s="282"/>
      <c r="B44" s="282"/>
      <c r="C44" s="291"/>
      <c r="D44" s="1">
        <v>3</v>
      </c>
      <c r="E44" s="1" t="str">
        <f>$C$42&amp;D44</f>
        <v>采光3</v>
      </c>
      <c r="F44" s="268">
        <v>1</v>
      </c>
      <c r="G44" s="277"/>
      <c r="H44" s="293"/>
      <c r="I44" s="135">
        <f>1325*F31-1325</f>
        <v>26.5</v>
      </c>
    </row>
    <row r="45" customHeight="1" spans="1:14">
      <c r="A45" s="282"/>
      <c r="B45" s="282"/>
      <c r="C45" s="291"/>
      <c r="D45" s="1">
        <v>2</v>
      </c>
      <c r="E45" s="1" t="str">
        <f>$C$42&amp;D45</f>
        <v>采光2</v>
      </c>
      <c r="F45" s="268">
        <v>0.96</v>
      </c>
      <c r="G45" s="269"/>
      <c r="H45" s="294"/>
      <c r="I45" s="135">
        <f t="shared" ref="I45:I46" si="5">1325*F32-1325</f>
        <v>39.75</v>
      </c>
    </row>
    <row r="46" customHeight="1" spans="1:14">
      <c r="A46" s="282"/>
      <c r="B46" s="282"/>
      <c r="C46" s="292"/>
      <c r="D46" s="1">
        <v>1</v>
      </c>
      <c r="E46" s="1" t="str">
        <f>$C$42&amp;D46</f>
        <v>采光1</v>
      </c>
      <c r="F46" s="268">
        <v>0.91</v>
      </c>
      <c r="G46" s="277"/>
      <c r="H46" s="294"/>
      <c r="I46" s="135">
        <f t="shared" si="5"/>
        <v>53</v>
      </c>
      <c r="L46" s="252"/>
      <c r="M46" s="252"/>
      <c r="N46" s="252"/>
    </row>
    <row r="47" customHeight="1" spans="1:14">
      <c r="A47" s="282"/>
      <c r="B47" s="282">
        <v>8</v>
      </c>
      <c r="C47" s="295" t="s">
        <v>121</v>
      </c>
      <c r="D47" s="1" t="s">
        <v>112</v>
      </c>
      <c r="E47" s="1" t="s">
        <v>122</v>
      </c>
      <c r="F47" s="268">
        <v>0.93</v>
      </c>
      <c r="G47" s="277"/>
      <c r="H47" s="294"/>
      <c r="L47" s="252"/>
      <c r="M47" s="252"/>
      <c r="N47" s="252"/>
    </row>
    <row r="48" customHeight="1" spans="1:14">
      <c r="A48" s="282"/>
      <c r="B48" s="282"/>
      <c r="C48" s="296"/>
      <c r="D48" s="297" t="s">
        <v>123</v>
      </c>
      <c r="E48" s="297" t="str">
        <f t="shared" ref="E48:E53" si="6">$C$47&amp;D48</f>
        <v>功能配置（一居）缺失（操作台/双人沙发）</v>
      </c>
      <c r="F48" s="268">
        <v>0.96</v>
      </c>
      <c r="G48" s="269"/>
      <c r="H48" s="297"/>
      <c r="K48" s="298" t="s">
        <v>124</v>
      </c>
      <c r="L48" s="299" t="s">
        <v>125</v>
      </c>
      <c r="M48" s="299" t="s">
        <v>73</v>
      </c>
      <c r="N48" s="300" t="s">
        <v>74</v>
      </c>
    </row>
    <row r="49" customHeight="1" spans="1:14">
      <c r="A49" s="282"/>
      <c r="B49" s="282"/>
      <c r="C49" s="296"/>
      <c r="D49" s="297" t="s">
        <v>126</v>
      </c>
      <c r="E49" s="297" t="str">
        <f t="shared" si="6"/>
        <v>功能配置（一居）缺失（餐桌）</v>
      </c>
      <c r="F49" s="268">
        <v>0.98</v>
      </c>
      <c r="G49" s="269"/>
      <c r="H49" s="297"/>
      <c r="I49" s="135">
        <f>J49*F36-J49</f>
        <v>-27</v>
      </c>
      <c r="J49">
        <v>1350</v>
      </c>
      <c r="K49" s="301" t="s">
        <v>112</v>
      </c>
      <c r="L49" s="302" t="s">
        <v>127</v>
      </c>
      <c r="M49" s="303" t="s">
        <v>128</v>
      </c>
      <c r="N49" s="304" t="s">
        <v>129</v>
      </c>
    </row>
    <row r="50" customHeight="1" spans="1:14">
      <c r="A50" s="282"/>
      <c r="B50" s="282"/>
      <c r="C50" s="296"/>
      <c r="D50" s="297" t="s">
        <v>63</v>
      </c>
      <c r="E50" s="297" t="str">
        <f t="shared" si="6"/>
        <v>功能配置（一居）适中</v>
      </c>
      <c r="F50" s="268">
        <v>1</v>
      </c>
      <c r="G50" s="269"/>
      <c r="H50" s="297"/>
      <c r="K50" s="301" t="s">
        <v>63</v>
      </c>
      <c r="L50" s="303" t="s">
        <v>130</v>
      </c>
      <c r="M50" s="303" t="s">
        <v>131</v>
      </c>
      <c r="N50" s="304" t="s">
        <v>132</v>
      </c>
    </row>
    <row r="51" customHeight="1" spans="1:14">
      <c r="A51" s="282"/>
      <c r="B51" s="282"/>
      <c r="C51" s="296"/>
      <c r="D51" s="297" t="s">
        <v>133</v>
      </c>
      <c r="E51" s="297" t="str">
        <f t="shared" si="6"/>
        <v>功能配置（一居）充配（书桌）</v>
      </c>
      <c r="F51" s="268">
        <v>1.02</v>
      </c>
      <c r="G51" s="269"/>
      <c r="H51" s="297"/>
      <c r="I51" s="135">
        <f>J51*F38-J51</f>
        <v>0</v>
      </c>
      <c r="J51">
        <v>1350</v>
      </c>
      <c r="K51" s="301" t="s">
        <v>134</v>
      </c>
      <c r="L51" s="305" t="s">
        <v>135</v>
      </c>
      <c r="M51" s="305" t="s">
        <v>136</v>
      </c>
      <c r="N51" s="306" t="s">
        <v>137</v>
      </c>
    </row>
    <row r="52" customHeight="1" spans="1:14">
      <c r="A52" s="282"/>
      <c r="B52" s="282"/>
      <c r="C52" s="296"/>
      <c r="D52" s="297" t="s">
        <v>138</v>
      </c>
      <c r="E52" s="297" t="str">
        <f t="shared" si="6"/>
        <v>功能配置（一居）充配（油烟机）</v>
      </c>
      <c r="F52" s="268">
        <v>1.04</v>
      </c>
      <c r="G52" s="269"/>
      <c r="H52" s="297"/>
      <c r="I52" s="135">
        <f>J52*F39-J52</f>
        <v>54</v>
      </c>
      <c r="J52">
        <v>1350</v>
      </c>
      <c r="K52" s="301" t="s">
        <v>118</v>
      </c>
      <c r="L52" s="305" t="s">
        <v>139</v>
      </c>
      <c r="M52" s="305" t="s">
        <v>140</v>
      </c>
      <c r="N52" s="306" t="s">
        <v>141</v>
      </c>
    </row>
    <row r="53" customHeight="1" spans="1:14">
      <c r="A53" s="282"/>
      <c r="B53" s="288"/>
      <c r="C53" s="307"/>
      <c r="D53" s="297" t="s">
        <v>142</v>
      </c>
      <c r="E53" s="297" t="str">
        <f t="shared" si="6"/>
        <v>功能配置（一居）非常充配</v>
      </c>
      <c r="F53" s="268">
        <v>1.06</v>
      </c>
      <c r="G53" s="269"/>
      <c r="H53" s="297"/>
    </row>
    <row r="54" customHeight="1" spans="1:14">
      <c r="A54" s="282"/>
      <c r="B54" s="280">
        <v>9</v>
      </c>
      <c r="C54" s="295" t="s">
        <v>143</v>
      </c>
      <c r="D54" s="1" t="s">
        <v>112</v>
      </c>
      <c r="E54" s="1" t="s">
        <v>144</v>
      </c>
      <c r="F54" s="308">
        <v>0.93</v>
      </c>
      <c r="G54" s="269"/>
      <c r="H54" s="297"/>
    </row>
    <row r="55" customHeight="1" spans="1:14">
      <c r="A55" s="282"/>
      <c r="B55" s="280"/>
      <c r="C55" s="296"/>
      <c r="D55" s="297" t="s">
        <v>145</v>
      </c>
      <c r="E55" s="297" t="str">
        <f>$C$54&amp;D55</f>
        <v>功能配置（二居）缺失（沙发/餐桌）</v>
      </c>
      <c r="F55" s="308">
        <v>0.96</v>
      </c>
      <c r="G55" s="269"/>
      <c r="H55" s="297"/>
    </row>
    <row r="56" customHeight="1" spans="1:14">
      <c r="A56" s="282"/>
      <c r="B56" s="280"/>
      <c r="C56" s="296"/>
      <c r="D56" s="297" t="s">
        <v>146</v>
      </c>
      <c r="E56" s="297" t="str">
        <f>$C$54&amp;D56</f>
        <v>功能配置（二居）缺失（电视柜/操作台）</v>
      </c>
      <c r="F56" s="308">
        <v>0.98</v>
      </c>
      <c r="G56" s="269"/>
      <c r="H56" s="297"/>
    </row>
    <row r="57" customHeight="1" spans="1:14">
      <c r="A57" s="282"/>
      <c r="B57" s="280"/>
      <c r="C57" s="296"/>
      <c r="D57" s="297" t="s">
        <v>63</v>
      </c>
      <c r="E57" s="297" t="str">
        <f>$C$54&amp;D57</f>
        <v>功能配置（二居）适中</v>
      </c>
      <c r="F57" s="308">
        <v>1</v>
      </c>
      <c r="G57" s="269"/>
      <c r="H57" s="297"/>
    </row>
    <row r="58" customHeight="1" spans="1:14">
      <c r="A58" s="282"/>
      <c r="B58" s="280"/>
      <c r="C58" s="296"/>
      <c r="D58" s="297" t="s">
        <v>147</v>
      </c>
      <c r="E58" s="297" t="str">
        <f>$C$54&amp;D58</f>
        <v>功能配置（二居）充配（油烟机/冰箱）</v>
      </c>
      <c r="F58" s="308">
        <v>1.04</v>
      </c>
      <c r="G58" s="269"/>
      <c r="H58" s="297"/>
    </row>
    <row r="59" customHeight="1" spans="1:14">
      <c r="A59" s="282"/>
      <c r="B59" s="280"/>
      <c r="C59" s="307"/>
      <c r="D59" s="297" t="s">
        <v>142</v>
      </c>
      <c r="E59" s="297" t="str">
        <f>$C$54&amp;D59</f>
        <v>功能配置（二居）非常充配</v>
      </c>
      <c r="F59" s="308">
        <v>1.06</v>
      </c>
      <c r="G59" s="269"/>
      <c r="H59" s="297"/>
    </row>
    <row r="60" customHeight="1" spans="1:14">
      <c r="A60" s="309"/>
      <c r="B60" s="70"/>
      <c r="C60" s="310" t="s">
        <v>148</v>
      </c>
      <c r="D60" s="311" t="s">
        <v>149</v>
      </c>
      <c r="E60" s="311"/>
      <c r="F60" s="312">
        <v>1</v>
      </c>
      <c r="G60" s="313"/>
      <c r="H60" s="313" t="s">
        <v>150</v>
      </c>
    </row>
    <row r="61" customHeight="1" spans="1:14">
      <c r="A61" s="309"/>
      <c r="B61" s="70"/>
      <c r="C61" s="310"/>
      <c r="D61" s="311" t="s">
        <v>151</v>
      </c>
      <c r="E61" s="311"/>
      <c r="F61" s="312">
        <v>0.975</v>
      </c>
      <c r="G61" s="313"/>
      <c r="H61" s="313" t="s">
        <v>150</v>
      </c>
      <c r="I61" s="135" t="e">
        <f>J61*#REF!-J61</f>
        <v>#REF!</v>
      </c>
      <c r="J61">
        <v>1350</v>
      </c>
    </row>
    <row r="62" customHeight="1" spans="1:14">
      <c r="A62" s="309"/>
      <c r="B62" s="70"/>
      <c r="C62" s="310"/>
      <c r="D62" s="311" t="s">
        <v>152</v>
      </c>
      <c r="E62" s="311"/>
      <c r="F62" s="312">
        <v>0.95</v>
      </c>
      <c r="G62" s="313"/>
      <c r="H62" s="313" t="s">
        <v>150</v>
      </c>
      <c r="I62" s="135">
        <f>J62*F42-J62</f>
        <v>81</v>
      </c>
      <c r="J62">
        <v>1350</v>
      </c>
    </row>
    <row r="63" customHeight="1" spans="1:14">
      <c r="A63" s="309"/>
      <c r="B63" s="70"/>
      <c r="C63" s="310"/>
      <c r="D63" s="311" t="s">
        <v>153</v>
      </c>
      <c r="E63" s="311"/>
      <c r="F63" s="312">
        <v>0.91</v>
      </c>
      <c r="G63" s="313"/>
      <c r="H63" s="313" t="s">
        <v>150</v>
      </c>
      <c r="I63" s="135">
        <f t="shared" ref="I63:I65" si="7">J63*F43-J63</f>
        <v>40.5</v>
      </c>
      <c r="J63">
        <v>1350</v>
      </c>
    </row>
    <row r="64" customHeight="1" spans="1:14">
      <c r="A64" s="309"/>
      <c r="B64" s="70"/>
      <c r="C64" s="310" t="s">
        <v>154</v>
      </c>
      <c r="D64" s="311" t="s">
        <v>155</v>
      </c>
      <c r="E64" s="311"/>
      <c r="F64" s="312">
        <v>1.045</v>
      </c>
      <c r="G64" s="313" t="s">
        <v>156</v>
      </c>
      <c r="H64" s="313" t="s">
        <v>150</v>
      </c>
      <c r="I64" s="135">
        <f t="shared" si="7"/>
        <v>0</v>
      </c>
      <c r="J64">
        <v>1350</v>
      </c>
    </row>
    <row r="65" customHeight="1" spans="1:14">
      <c r="A65" s="309"/>
      <c r="B65" s="70"/>
      <c r="C65" s="310"/>
      <c r="D65" s="311" t="s">
        <v>157</v>
      </c>
      <c r="E65" s="311"/>
      <c r="F65" s="312">
        <v>1.02</v>
      </c>
      <c r="G65" s="313" t="s">
        <v>158</v>
      </c>
      <c r="H65" s="313" t="s">
        <v>150</v>
      </c>
      <c r="I65" s="135">
        <f t="shared" si="7"/>
        <v>-54</v>
      </c>
      <c r="J65">
        <v>1350</v>
      </c>
      <c r="K65" s="314"/>
      <c r="L65" s="252"/>
      <c r="M65" s="252"/>
      <c r="N65" s="252"/>
    </row>
    <row r="66" customHeight="1" spans="1:14">
      <c r="A66" s="309"/>
      <c r="B66" s="70"/>
      <c r="C66" s="310"/>
      <c r="D66" s="311" t="s">
        <v>63</v>
      </c>
      <c r="E66" s="311"/>
      <c r="F66" s="312">
        <v>1</v>
      </c>
      <c r="G66" s="313" t="s">
        <v>159</v>
      </c>
      <c r="H66" s="313" t="s">
        <v>150</v>
      </c>
      <c r="K66" s="314"/>
      <c r="L66" s="252"/>
      <c r="M66" s="252"/>
      <c r="N66" s="252"/>
    </row>
    <row r="67" s="252" customFormat="1" customHeight="1" spans="1:14">
      <c r="A67" s="309"/>
      <c r="B67" s="70"/>
      <c r="C67" s="310"/>
      <c r="D67" s="311" t="s">
        <v>160</v>
      </c>
      <c r="E67" s="311"/>
      <c r="F67" s="312">
        <v>0.95</v>
      </c>
      <c r="G67" s="313" t="s">
        <v>161</v>
      </c>
      <c r="H67" s="313" t="s">
        <v>150</v>
      </c>
      <c r="I67" s="315">
        <f>J67*F48-J67</f>
        <v>-58</v>
      </c>
      <c r="J67" s="252">
        <v>1450</v>
      </c>
      <c r="K67" s="314"/>
    </row>
    <row r="68" s="252" customFormat="1" customHeight="1" spans="1:14">
      <c r="A68" s="309"/>
      <c r="B68" s="70"/>
      <c r="C68" s="310" t="s">
        <v>162</v>
      </c>
      <c r="D68" s="311" t="s">
        <v>54</v>
      </c>
      <c r="E68" s="311"/>
      <c r="F68" s="312">
        <v>1</v>
      </c>
      <c r="G68" s="316" t="s">
        <v>163</v>
      </c>
      <c r="H68" s="313" t="s">
        <v>150</v>
      </c>
      <c r="I68" s="315">
        <f>J68*F49-J68</f>
        <v>-29</v>
      </c>
      <c r="J68" s="252">
        <v>1450</v>
      </c>
      <c r="K68" s="314"/>
    </row>
    <row r="69" s="252" customFormat="1" customHeight="1" spans="1:14">
      <c r="A69" s="309"/>
      <c r="B69" s="70"/>
      <c r="C69" s="310"/>
      <c r="D69" s="311" t="s">
        <v>164</v>
      </c>
      <c r="E69" s="311"/>
      <c r="F69" s="312">
        <v>0.975</v>
      </c>
      <c r="G69" s="316"/>
      <c r="H69" s="313" t="s">
        <v>150</v>
      </c>
      <c r="I69" s="315">
        <f>J69*F50-J69</f>
        <v>0</v>
      </c>
      <c r="J69" s="252">
        <v>1450</v>
      </c>
      <c r="K69" s="314"/>
    </row>
    <row r="70" s="252" customFormat="1" customHeight="1" spans="1:14">
      <c r="A70" s="309"/>
      <c r="B70" s="70"/>
      <c r="C70" s="310"/>
      <c r="D70" s="311" t="s">
        <v>165</v>
      </c>
      <c r="E70" s="311"/>
      <c r="F70" s="312">
        <v>0.95</v>
      </c>
      <c r="G70" s="316"/>
      <c r="H70" s="313" t="s">
        <v>150</v>
      </c>
      <c r="I70" s="315"/>
      <c r="K70" s="314"/>
    </row>
    <row r="71" s="252" customFormat="1" customHeight="1" spans="1:14">
      <c r="A71" s="309"/>
      <c r="B71" s="70"/>
      <c r="C71" s="310"/>
      <c r="D71" s="311" t="s">
        <v>166</v>
      </c>
      <c r="E71" s="311"/>
      <c r="F71" s="312">
        <v>0.91</v>
      </c>
      <c r="G71" s="316"/>
      <c r="H71" s="313" t="s">
        <v>150</v>
      </c>
      <c r="I71" s="315"/>
      <c r="K71" s="2"/>
      <c r="L71"/>
      <c r="M71"/>
      <c r="N71"/>
    </row>
    <row r="72" s="252" customFormat="1" customHeight="1" spans="1:14">
      <c r="A72" s="309"/>
      <c r="B72" s="70"/>
      <c r="C72" s="310" t="s">
        <v>167</v>
      </c>
      <c r="D72" s="311" t="s">
        <v>54</v>
      </c>
      <c r="E72" s="311"/>
      <c r="F72" s="312">
        <v>1</v>
      </c>
      <c r="G72" s="316" t="s">
        <v>168</v>
      </c>
      <c r="H72" s="313" t="s">
        <v>150</v>
      </c>
      <c r="I72" s="315">
        <f>J72*F53-J72</f>
        <v>180</v>
      </c>
      <c r="J72" s="252">
        <v>3000</v>
      </c>
      <c r="K72" s="2"/>
      <c r="L72"/>
      <c r="M72"/>
      <c r="N72"/>
    </row>
    <row r="73" customHeight="1" spans="1:14">
      <c r="A73" s="309"/>
      <c r="B73" s="70"/>
      <c r="C73" s="310"/>
      <c r="D73" s="311" t="s">
        <v>164</v>
      </c>
      <c r="E73" s="311"/>
      <c r="F73" s="312">
        <v>0.975</v>
      </c>
      <c r="G73" s="316"/>
      <c r="H73" s="313" t="s">
        <v>150</v>
      </c>
    </row>
    <row r="74" customHeight="1" spans="1:14">
      <c r="A74" s="309"/>
      <c r="B74" s="70"/>
      <c r="C74" s="310"/>
      <c r="D74" s="311" t="s">
        <v>165</v>
      </c>
      <c r="E74" s="311"/>
      <c r="F74" s="312">
        <v>0.945</v>
      </c>
      <c r="G74" s="316"/>
      <c r="H74" s="313" t="s">
        <v>150</v>
      </c>
    </row>
    <row r="75" customHeight="1" spans="1:14">
      <c r="A75" s="309"/>
      <c r="B75" s="70"/>
      <c r="C75" s="310"/>
      <c r="D75" s="311" t="s">
        <v>166</v>
      </c>
      <c r="E75" s="311"/>
      <c r="F75" s="312">
        <v>0.9</v>
      </c>
      <c r="G75" s="316"/>
      <c r="H75" s="313" t="s">
        <v>150</v>
      </c>
    </row>
    <row r="79" customHeight="1" spans="1:14">
      <c r="A79" s="138"/>
    </row>
    <row r="81" customHeight="1" spans="9:9">
      <c r="I81" s="135">
        <f t="shared" ref="I81:I88" si="8">J81*F68-J81</f>
        <v>0</v>
      </c>
    </row>
    <row r="82" customHeight="1" spans="9:9">
      <c r="I82" s="135">
        <f t="shared" si="8"/>
        <v>0</v>
      </c>
    </row>
    <row r="83" customHeight="1" spans="9:9">
      <c r="I83" s="135">
        <f t="shared" si="8"/>
        <v>0</v>
      </c>
    </row>
    <row r="84" customHeight="1" spans="9:9">
      <c r="I84" s="135">
        <f t="shared" si="8"/>
        <v>0</v>
      </c>
    </row>
    <row r="85" customHeight="1" spans="9:9">
      <c r="I85" s="135">
        <f t="shared" si="8"/>
        <v>0</v>
      </c>
    </row>
    <row r="86" customHeight="1" spans="9:9">
      <c r="I86" s="135">
        <f t="shared" si="8"/>
        <v>0</v>
      </c>
    </row>
    <row r="87" customHeight="1" spans="9:9">
      <c r="I87" s="135">
        <f t="shared" si="8"/>
        <v>0</v>
      </c>
    </row>
    <row r="88" customHeight="1" spans="9:9">
      <c r="I88" s="135">
        <f t="shared" si="8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workbookViewId="0">
      <selection activeCell="A2" sqref="A2"/>
    </sheetView>
  </sheetViews>
  <sheetFormatPr defaultColWidth="11" defaultRowHeight="13.8" outlineLevelCol="5"/>
  <cols>
    <col min="1" max="1" width="9.33333333333333" customWidth="1"/>
    <col min="2" max="2" width="5.66666666666667" customWidth="1"/>
    <col min="3" max="3" width="16" customWidth="1"/>
    <col min="4" max="5" width="8.77777777777778" customWidth="1"/>
    <col min="6" max="6" width="13" customWidth="1"/>
  </cols>
  <sheetData>
    <row r="1" ht="15.6" spans="1:6">
      <c r="A1" s="240" t="s">
        <v>169</v>
      </c>
      <c r="B1" s="240" t="s">
        <v>25</v>
      </c>
      <c r="C1" s="240" t="s">
        <v>170</v>
      </c>
      <c r="D1" s="241" t="s">
        <v>40</v>
      </c>
      <c r="E1" s="241" t="s">
        <v>43</v>
      </c>
      <c r="F1" s="240" t="s">
        <v>171</v>
      </c>
    </row>
    <row r="2" ht="16.2" spans="1:6">
      <c r="A2" s="242" t="s">
        <v>172</v>
      </c>
      <c r="B2" s="243">
        <v>1</v>
      </c>
      <c r="C2" s="242" t="s">
        <v>173</v>
      </c>
      <c r="D2" s="244">
        <v>2075.1</v>
      </c>
      <c r="E2" s="244">
        <v>2847.2</v>
      </c>
      <c r="F2" s="242" t="s">
        <v>174</v>
      </c>
    </row>
    <row r="3" ht="16.2" spans="1:6">
      <c r="A3" s="242" t="s">
        <v>172</v>
      </c>
      <c r="B3" s="243">
        <v>2</v>
      </c>
      <c r="C3" s="242" t="s">
        <v>175</v>
      </c>
      <c r="D3" s="244">
        <v>2080.7</v>
      </c>
      <c r="E3" s="244">
        <v>2851.9</v>
      </c>
      <c r="F3" s="242" t="s">
        <v>174</v>
      </c>
    </row>
    <row r="4" ht="16.2" spans="1:6">
      <c r="A4" s="242" t="s">
        <v>172</v>
      </c>
      <c r="B4" s="243">
        <v>3</v>
      </c>
      <c r="C4" s="242" t="s">
        <v>176</v>
      </c>
      <c r="D4" s="244">
        <v>2075.2</v>
      </c>
      <c r="E4" s="244">
        <v>2847.3</v>
      </c>
      <c r="F4" s="242" t="s">
        <v>174</v>
      </c>
    </row>
    <row r="5" ht="16.2" spans="1:6">
      <c r="A5" s="242" t="s">
        <v>177</v>
      </c>
      <c r="B5" s="243">
        <v>4</v>
      </c>
      <c r="C5" s="245" t="s">
        <v>178</v>
      </c>
      <c r="D5" s="244">
        <v>2200.7</v>
      </c>
      <c r="E5" s="244">
        <v>2945.6</v>
      </c>
      <c r="F5" s="242" t="s">
        <v>174</v>
      </c>
    </row>
    <row r="6" ht="16.2" spans="1:6">
      <c r="A6" s="242" t="s">
        <v>177</v>
      </c>
      <c r="B6" s="243">
        <v>5</v>
      </c>
      <c r="C6" s="242" t="s">
        <v>179</v>
      </c>
      <c r="D6" s="244">
        <v>1889.9</v>
      </c>
      <c r="E6" s="244">
        <v>2669.3</v>
      </c>
      <c r="F6" s="242" t="s">
        <v>174</v>
      </c>
    </row>
    <row r="7" ht="16.2" spans="1:6">
      <c r="A7" s="242" t="s">
        <v>177</v>
      </c>
      <c r="B7" s="243">
        <v>6</v>
      </c>
      <c r="C7" s="242" t="s">
        <v>180</v>
      </c>
      <c r="D7" s="244">
        <v>1585.3</v>
      </c>
      <c r="E7" s="244">
        <v>2353.9</v>
      </c>
      <c r="F7" s="242" t="s">
        <v>174</v>
      </c>
    </row>
    <row r="8" ht="16.2" spans="1:6">
      <c r="A8" s="242" t="s">
        <v>177</v>
      </c>
      <c r="B8" s="243">
        <v>7</v>
      </c>
      <c r="C8" s="242" t="s">
        <v>181</v>
      </c>
      <c r="D8" s="244">
        <v>1707.9</v>
      </c>
      <c r="E8" s="244">
        <v>2486.2</v>
      </c>
      <c r="F8" s="242" t="s">
        <v>174</v>
      </c>
    </row>
    <row r="9" ht="16.2" spans="1:6">
      <c r="A9" s="242" t="s">
        <v>177</v>
      </c>
      <c r="B9" s="243">
        <v>8</v>
      </c>
      <c r="C9" s="242" t="s">
        <v>182</v>
      </c>
      <c r="D9" s="244">
        <v>1943.3</v>
      </c>
      <c r="E9" s="244">
        <v>2720.1</v>
      </c>
      <c r="F9" s="242" t="s">
        <v>174</v>
      </c>
    </row>
    <row r="10" ht="16.2" spans="1:6">
      <c r="A10" s="242" t="s">
        <v>177</v>
      </c>
      <c r="B10" s="243">
        <v>9</v>
      </c>
      <c r="C10" s="242" t="s">
        <v>183</v>
      </c>
      <c r="D10" s="244">
        <v>1530.2</v>
      </c>
      <c r="E10" s="244">
        <v>2292.2</v>
      </c>
      <c r="F10" s="242" t="s">
        <v>174</v>
      </c>
    </row>
    <row r="11" ht="16.2" spans="1:6">
      <c r="A11" s="242" t="s">
        <v>177</v>
      </c>
      <c r="B11" s="243">
        <v>10</v>
      </c>
      <c r="C11" s="242" t="s">
        <v>184</v>
      </c>
      <c r="D11" s="244">
        <v>1530.7</v>
      </c>
      <c r="E11" s="244">
        <v>2292.8</v>
      </c>
      <c r="F11" s="242" t="s">
        <v>174</v>
      </c>
    </row>
    <row r="12" ht="16.2" spans="1:6">
      <c r="A12" s="242" t="s">
        <v>177</v>
      </c>
      <c r="B12" s="243">
        <v>11</v>
      </c>
      <c r="C12" s="242" t="s">
        <v>185</v>
      </c>
      <c r="D12" s="244">
        <v>1624.6</v>
      </c>
      <c r="E12" s="244">
        <v>2397.1</v>
      </c>
      <c r="F12" s="242" t="s">
        <v>174</v>
      </c>
    </row>
    <row r="13" ht="16.2" spans="1:6">
      <c r="A13" s="242" t="s">
        <v>177</v>
      </c>
      <c r="B13" s="243">
        <v>12</v>
      </c>
      <c r="C13" s="242" t="s">
        <v>186</v>
      </c>
      <c r="D13" s="244">
        <v>1748.1</v>
      </c>
      <c r="E13" s="244">
        <v>2528</v>
      </c>
      <c r="F13" s="242" t="s">
        <v>174</v>
      </c>
    </row>
    <row r="14" ht="16.2" spans="1:6">
      <c r="A14" s="242" t="s">
        <v>177</v>
      </c>
      <c r="B14" s="243">
        <v>13</v>
      </c>
      <c r="C14" s="242" t="s">
        <v>187</v>
      </c>
      <c r="D14" s="244">
        <v>1771.8</v>
      </c>
      <c r="E14" s="244">
        <v>2552.2</v>
      </c>
      <c r="F14" s="242" t="s">
        <v>174</v>
      </c>
    </row>
    <row r="15" ht="16.2" spans="1:6">
      <c r="A15" s="242" t="s">
        <v>177</v>
      </c>
      <c r="B15" s="243">
        <v>14</v>
      </c>
      <c r="C15" s="242" t="s">
        <v>188</v>
      </c>
      <c r="D15" s="244">
        <v>2149.8</v>
      </c>
      <c r="E15" s="244">
        <v>2903.4</v>
      </c>
      <c r="F15" s="242" t="s">
        <v>174</v>
      </c>
    </row>
    <row r="16" ht="16.2" spans="1:6">
      <c r="A16" s="242" t="s">
        <v>177</v>
      </c>
      <c r="B16" s="243">
        <v>15</v>
      </c>
      <c r="C16" s="242" t="s">
        <v>189</v>
      </c>
      <c r="D16" s="244">
        <v>2133.4</v>
      </c>
      <c r="E16" s="244">
        <v>2889.6</v>
      </c>
      <c r="F16" s="242" t="s">
        <v>174</v>
      </c>
    </row>
    <row r="17" ht="16.2" spans="1:6">
      <c r="A17" s="242" t="s">
        <v>177</v>
      </c>
      <c r="B17" s="243">
        <v>16</v>
      </c>
      <c r="C17" s="242" t="s">
        <v>190</v>
      </c>
      <c r="D17" s="244">
        <v>2287.2</v>
      </c>
      <c r="E17" s="244">
        <v>3014.3</v>
      </c>
      <c r="F17" s="242" t="s">
        <v>174</v>
      </c>
    </row>
    <row r="18" ht="16.2" spans="1:6">
      <c r="A18" s="242" t="s">
        <v>177</v>
      </c>
      <c r="B18" s="243">
        <v>17</v>
      </c>
      <c r="C18" s="242" t="s">
        <v>191</v>
      </c>
      <c r="D18" s="244">
        <v>2223.2</v>
      </c>
      <c r="E18" s="244">
        <v>2963.8</v>
      </c>
      <c r="F18" s="242" t="s">
        <v>174</v>
      </c>
    </row>
    <row r="19" ht="16.2" spans="1:6">
      <c r="A19" s="242" t="s">
        <v>192</v>
      </c>
      <c r="B19" s="243">
        <v>18</v>
      </c>
      <c r="C19" s="242" t="s">
        <v>193</v>
      </c>
      <c r="D19" s="244">
        <v>1612.1</v>
      </c>
      <c r="E19" s="244">
        <v>2402.5</v>
      </c>
      <c r="F19" s="242" t="s">
        <v>174</v>
      </c>
    </row>
    <row r="20" ht="16.2" spans="1:6">
      <c r="A20" s="242" t="s">
        <v>194</v>
      </c>
      <c r="B20" s="243">
        <v>19</v>
      </c>
      <c r="C20" s="242" t="s">
        <v>195</v>
      </c>
      <c r="D20" s="244">
        <v>1594.1</v>
      </c>
      <c r="E20" s="244">
        <v>2402.5</v>
      </c>
      <c r="F20" s="242" t="s">
        <v>174</v>
      </c>
    </row>
    <row r="21" ht="16.2" spans="1:6">
      <c r="A21" s="242" t="s">
        <v>196</v>
      </c>
      <c r="B21" s="243">
        <v>20</v>
      </c>
      <c r="C21" s="242" t="s">
        <v>197</v>
      </c>
      <c r="D21" s="244">
        <v>2755.7</v>
      </c>
      <c r="E21" s="244">
        <v>3302.1</v>
      </c>
      <c r="F21" s="242" t="s">
        <v>174</v>
      </c>
    </row>
    <row r="22" ht="16.2" spans="1:6">
      <c r="A22" s="242" t="s">
        <v>194</v>
      </c>
      <c r="B22" s="243">
        <v>21</v>
      </c>
      <c r="C22" s="242" t="s">
        <v>198</v>
      </c>
      <c r="D22" s="244">
        <v>1221.3</v>
      </c>
      <c r="E22" s="244">
        <v>1941.9</v>
      </c>
      <c r="F22" s="242" t="s">
        <v>174</v>
      </c>
    </row>
    <row r="23" ht="16.2" spans="1:6">
      <c r="A23" s="242" t="s">
        <v>192</v>
      </c>
      <c r="B23" s="243">
        <v>22</v>
      </c>
      <c r="C23" s="242" t="s">
        <v>199</v>
      </c>
      <c r="D23" s="244">
        <v>1634.8</v>
      </c>
      <c r="E23" s="244">
        <v>2426.1</v>
      </c>
      <c r="F23" s="242" t="s">
        <v>174</v>
      </c>
    </row>
    <row r="24" ht="16.2" spans="1:6">
      <c r="A24" s="242" t="s">
        <v>192</v>
      </c>
      <c r="B24" s="243">
        <v>23</v>
      </c>
      <c r="C24" s="242" t="s">
        <v>200</v>
      </c>
      <c r="D24" s="244">
        <v>1376.8</v>
      </c>
      <c r="E24" s="244">
        <v>2133.5</v>
      </c>
      <c r="F24" s="242" t="s">
        <v>174</v>
      </c>
    </row>
    <row r="25" ht="16.2" spans="1:6">
      <c r="A25" s="242" t="s">
        <v>194</v>
      </c>
      <c r="B25" s="243">
        <v>24</v>
      </c>
      <c r="C25" s="242" t="s">
        <v>201</v>
      </c>
      <c r="D25" s="244">
        <v>974.7</v>
      </c>
      <c r="E25" s="244">
        <v>1610.2</v>
      </c>
      <c r="F25" s="242" t="s">
        <v>174</v>
      </c>
    </row>
    <row r="26" ht="16.2" spans="1:6">
      <c r="A26" s="246" t="s">
        <v>196</v>
      </c>
      <c r="B26" s="243">
        <v>25</v>
      </c>
      <c r="C26" s="246" t="s">
        <v>202</v>
      </c>
      <c r="D26" s="247">
        <v>2522.7</v>
      </c>
      <c r="E26" s="247">
        <v>3173.7</v>
      </c>
      <c r="F26" s="242" t="s">
        <v>174</v>
      </c>
    </row>
    <row r="27" ht="16.2" spans="1:6">
      <c r="A27" s="242" t="s">
        <v>177</v>
      </c>
      <c r="B27" s="243">
        <v>26</v>
      </c>
      <c r="C27" s="242" t="s">
        <v>203</v>
      </c>
      <c r="D27" s="244">
        <v>1176.7</v>
      </c>
      <c r="E27" s="244">
        <v>1750.7</v>
      </c>
      <c r="F27" s="242" t="s">
        <v>174</v>
      </c>
    </row>
    <row r="28" ht="16.2" spans="1:6">
      <c r="A28" s="242" t="s">
        <v>192</v>
      </c>
      <c r="B28" s="243">
        <v>27</v>
      </c>
      <c r="C28" s="242" t="s">
        <v>204</v>
      </c>
      <c r="D28" s="244">
        <v>1450.9</v>
      </c>
      <c r="E28" s="244">
        <v>2202.1</v>
      </c>
      <c r="F28" s="242" t="s">
        <v>174</v>
      </c>
    </row>
    <row r="29" ht="16.2" spans="1:6">
      <c r="A29" s="242" t="s">
        <v>177</v>
      </c>
      <c r="B29" s="243">
        <v>28</v>
      </c>
      <c r="C29" s="242" t="s">
        <v>205</v>
      </c>
      <c r="D29" s="244">
        <v>1530.54435040042</v>
      </c>
      <c r="E29" s="244">
        <v>2292.5691359225</v>
      </c>
      <c r="F29" s="242" t="s">
        <v>174</v>
      </c>
    </row>
    <row r="30" ht="16.2" spans="1:6">
      <c r="A30" s="246" t="s">
        <v>196</v>
      </c>
      <c r="B30" s="243">
        <v>29</v>
      </c>
      <c r="C30" s="246" t="s">
        <v>206</v>
      </c>
      <c r="D30" s="248">
        <v>1789.4</v>
      </c>
      <c r="E30" s="248">
        <v>2576.7</v>
      </c>
      <c r="F30" s="242" t="s">
        <v>174</v>
      </c>
    </row>
    <row r="31" ht="16.2" spans="1:6">
      <c r="A31" s="242" t="s">
        <v>192</v>
      </c>
      <c r="B31" s="243">
        <v>30</v>
      </c>
      <c r="C31" s="242" t="s">
        <v>207</v>
      </c>
      <c r="D31" s="244">
        <v>1345.74572938574</v>
      </c>
      <c r="E31" s="244">
        <v>2076.96965590494</v>
      </c>
      <c r="F31" s="242" t="s">
        <v>174</v>
      </c>
    </row>
    <row r="32" ht="16.2" spans="1:6">
      <c r="A32" s="242" t="s">
        <v>192</v>
      </c>
      <c r="B32" s="243">
        <v>31</v>
      </c>
      <c r="C32" s="242" t="s">
        <v>208</v>
      </c>
      <c r="D32" s="244">
        <v>917.9373387016</v>
      </c>
      <c r="E32" s="244">
        <v>1510.1154822756</v>
      </c>
      <c r="F32" s="242" t="s">
        <v>174</v>
      </c>
    </row>
    <row r="33" ht="16.2" spans="1:6">
      <c r="A33" s="242" t="s">
        <v>192</v>
      </c>
      <c r="B33" s="243">
        <v>32</v>
      </c>
      <c r="C33" s="242" t="s">
        <v>209</v>
      </c>
      <c r="D33" s="244">
        <v>1383.87167941877</v>
      </c>
      <c r="E33" s="244">
        <v>2123.26186286188</v>
      </c>
      <c r="F33" s="242" t="s">
        <v>174</v>
      </c>
    </row>
    <row r="34" ht="16.2" spans="1:6">
      <c r="A34" s="242" t="s">
        <v>192</v>
      </c>
      <c r="B34" s="243">
        <v>33</v>
      </c>
      <c r="C34" s="242" t="s">
        <v>210</v>
      </c>
      <c r="D34" s="244">
        <v>1362.27653085428</v>
      </c>
      <c r="E34" s="244">
        <v>2097.12612819244</v>
      </c>
      <c r="F34" s="242" t="s">
        <v>174</v>
      </c>
    </row>
    <row r="35" ht="16.2" spans="1:6">
      <c r="A35" s="242" t="s">
        <v>192</v>
      </c>
      <c r="B35" s="243">
        <v>34</v>
      </c>
      <c r="C35" s="242" t="s">
        <v>211</v>
      </c>
      <c r="D35" s="244">
        <v>1454.93952128476</v>
      </c>
      <c r="E35" s="244">
        <v>2207.70600163055</v>
      </c>
      <c r="F35" s="242" t="s">
        <v>174</v>
      </c>
    </row>
    <row r="36" ht="16.2" spans="1:6">
      <c r="A36" s="242" t="s">
        <v>192</v>
      </c>
      <c r="B36" s="243">
        <v>35</v>
      </c>
      <c r="C36" s="242" t="s">
        <v>212</v>
      </c>
      <c r="D36" s="244">
        <v>1345.47211240266</v>
      </c>
      <c r="E36" s="244">
        <v>2076.63493332796</v>
      </c>
      <c r="F36" s="242" t="s">
        <v>174</v>
      </c>
    </row>
    <row r="37" ht="16.2" spans="1:6">
      <c r="A37" s="242" t="s">
        <v>192</v>
      </c>
      <c r="B37" s="243">
        <v>36</v>
      </c>
      <c r="C37" s="242" t="s">
        <v>213</v>
      </c>
      <c r="D37" s="244">
        <v>1450.13068582243</v>
      </c>
      <c r="E37" s="244">
        <v>2202.06784249969</v>
      </c>
      <c r="F37" s="242" t="s">
        <v>174</v>
      </c>
    </row>
    <row r="38" ht="16.2" spans="1:6">
      <c r="A38" s="242" t="s">
        <v>192</v>
      </c>
      <c r="B38" s="243">
        <v>37</v>
      </c>
      <c r="C38" s="242" t="s">
        <v>214</v>
      </c>
      <c r="D38" s="244">
        <v>1421.11138361406</v>
      </c>
      <c r="E38" s="244">
        <v>2167.8104202485</v>
      </c>
      <c r="F38" s="242" t="s">
        <v>174</v>
      </c>
    </row>
    <row r="39" ht="16.2" spans="1:6">
      <c r="A39" s="242" t="s">
        <v>215</v>
      </c>
      <c r="B39" s="243">
        <v>38</v>
      </c>
      <c r="C39" s="242" t="s">
        <v>216</v>
      </c>
      <c r="D39" s="244">
        <v>2919.3</v>
      </c>
      <c r="E39" s="244">
        <v>3649.1</v>
      </c>
      <c r="F39" s="242" t="s">
        <v>174</v>
      </c>
    </row>
    <row r="40" ht="16.2" spans="1:6">
      <c r="A40" s="242" t="s">
        <v>215</v>
      </c>
      <c r="B40" s="243">
        <v>39</v>
      </c>
      <c r="C40" s="242" t="s">
        <v>217</v>
      </c>
      <c r="D40" s="244">
        <v>2999.48548362201</v>
      </c>
      <c r="E40" s="244">
        <v>3749.35685452751</v>
      </c>
      <c r="F40" s="242" t="s">
        <v>174</v>
      </c>
    </row>
    <row r="41" ht="16.2" spans="1:6">
      <c r="A41" s="242" t="s">
        <v>215</v>
      </c>
      <c r="B41" s="243">
        <v>40</v>
      </c>
      <c r="C41" s="242" t="s">
        <v>218</v>
      </c>
      <c r="D41" s="244">
        <v>3072.62556170018</v>
      </c>
      <c r="E41" s="244">
        <v>3840.78195212522</v>
      </c>
      <c r="F41" s="242" t="s">
        <v>174</v>
      </c>
    </row>
    <row r="42" ht="16.2" spans="1:6">
      <c r="A42" s="242" t="s">
        <v>215</v>
      </c>
      <c r="B42" s="243">
        <v>41</v>
      </c>
      <c r="C42" s="242" t="s">
        <v>219</v>
      </c>
      <c r="D42" s="244">
        <v>2880.05277331946</v>
      </c>
      <c r="E42" s="244">
        <v>3600.06596664933</v>
      </c>
      <c r="F42" s="242" t="s">
        <v>174</v>
      </c>
    </row>
    <row r="43" ht="16.2" spans="1:6">
      <c r="A43" s="242" t="s">
        <v>215</v>
      </c>
      <c r="B43" s="243">
        <v>42</v>
      </c>
      <c r="C43" s="242" t="s">
        <v>220</v>
      </c>
      <c r="D43" s="244">
        <v>3075.26471292307</v>
      </c>
      <c r="E43" s="244">
        <v>3844.08089115384</v>
      </c>
      <c r="F43" s="242" t="s">
        <v>174</v>
      </c>
    </row>
    <row r="44" ht="16.2" spans="1:6">
      <c r="A44" s="242" t="s">
        <v>196</v>
      </c>
      <c r="B44" s="243">
        <v>43</v>
      </c>
      <c r="C44" s="242" t="s">
        <v>221</v>
      </c>
      <c r="D44" s="244">
        <v>2186.64882873455</v>
      </c>
      <c r="E44" s="244">
        <v>2937.4176816903</v>
      </c>
      <c r="F44" s="242" t="s">
        <v>174</v>
      </c>
    </row>
    <row r="45" ht="16.2" spans="1:6">
      <c r="A45" s="242" t="s">
        <v>177</v>
      </c>
      <c r="B45" s="243">
        <v>44</v>
      </c>
      <c r="C45" s="242" t="s">
        <v>222</v>
      </c>
      <c r="D45" s="244">
        <v>1549.94914057398</v>
      </c>
      <c r="E45" s="244">
        <v>2316.84502135192</v>
      </c>
      <c r="F45" s="242" t="s">
        <v>174</v>
      </c>
    </row>
    <row r="46" ht="16.2" spans="1:6">
      <c r="A46" s="242" t="s">
        <v>194</v>
      </c>
      <c r="B46" s="243">
        <v>45</v>
      </c>
      <c r="C46" s="242" t="s">
        <v>223</v>
      </c>
      <c r="D46" s="244">
        <v>1480.22995148625</v>
      </c>
      <c r="E46" s="244">
        <v>2237.17691205664</v>
      </c>
      <c r="F46" s="242" t="s">
        <v>174</v>
      </c>
    </row>
    <row r="47" ht="16.2" spans="1:6">
      <c r="A47" s="242" t="s">
        <v>194</v>
      </c>
      <c r="B47" s="243">
        <v>46</v>
      </c>
      <c r="C47" s="242" t="s">
        <v>224</v>
      </c>
      <c r="D47" s="244">
        <v>1155.65824991294</v>
      </c>
      <c r="E47" s="244">
        <v>1835.84854072861</v>
      </c>
      <c r="F47" s="242" t="s">
        <v>174</v>
      </c>
    </row>
    <row r="48" ht="16.2" spans="1:6">
      <c r="A48" s="242" t="s">
        <v>194</v>
      </c>
      <c r="B48" s="243">
        <v>47</v>
      </c>
      <c r="C48" s="242" t="s">
        <v>225</v>
      </c>
      <c r="D48" s="244">
        <v>1155.65824991294</v>
      </c>
      <c r="E48" s="244">
        <v>1835.84854072861</v>
      </c>
      <c r="F48" s="242" t="s">
        <v>174</v>
      </c>
    </row>
    <row r="49" ht="16.2" spans="1:6">
      <c r="A49" s="242" t="s">
        <v>172</v>
      </c>
      <c r="B49" s="243">
        <v>48</v>
      </c>
      <c r="C49" s="242" t="s">
        <v>226</v>
      </c>
      <c r="D49" s="244">
        <v>2244.04662132937</v>
      </c>
      <c r="E49" s="244">
        <v>2983.88536724303</v>
      </c>
      <c r="F49" s="242" t="s">
        <v>174</v>
      </c>
    </row>
    <row r="50" ht="16.2" spans="1:6">
      <c r="A50" s="242" t="s">
        <v>215</v>
      </c>
      <c r="B50" s="243">
        <v>49</v>
      </c>
      <c r="C50" s="242" t="s">
        <v>227</v>
      </c>
      <c r="D50" s="244">
        <v>2939.00592803019</v>
      </c>
      <c r="E50" s="244">
        <v>3673.75741003774</v>
      </c>
      <c r="F50" s="242" t="s">
        <v>174</v>
      </c>
    </row>
    <row r="51" ht="16.2" spans="1:6">
      <c r="A51" s="242" t="s">
        <v>215</v>
      </c>
      <c r="B51" s="243">
        <v>50</v>
      </c>
      <c r="C51" s="242" t="s">
        <v>228</v>
      </c>
      <c r="D51" s="244">
        <v>2907.56964071726</v>
      </c>
      <c r="E51" s="244">
        <v>3634.46205089657</v>
      </c>
      <c r="F51" s="242" t="s">
        <v>174</v>
      </c>
    </row>
    <row r="52" ht="16.2" spans="1:6">
      <c r="A52" s="242" t="s">
        <v>215</v>
      </c>
      <c r="B52" s="243">
        <v>51</v>
      </c>
      <c r="C52" s="242" t="s">
        <v>229</v>
      </c>
      <c r="D52" s="244">
        <v>3014.82619976101</v>
      </c>
      <c r="E52" s="244">
        <v>3768.53274970127</v>
      </c>
      <c r="F52" s="242" t="s">
        <v>174</v>
      </c>
    </row>
    <row r="53" ht="16.2" spans="1:6">
      <c r="A53" s="242" t="s">
        <v>215</v>
      </c>
      <c r="B53" s="243">
        <v>52</v>
      </c>
      <c r="C53" s="242" t="s">
        <v>230</v>
      </c>
      <c r="D53" s="244">
        <v>3010.64580560568</v>
      </c>
      <c r="E53" s="244">
        <v>3763.3072570071</v>
      </c>
      <c r="F53" s="242" t="s">
        <v>174</v>
      </c>
    </row>
    <row r="54" ht="16.2" spans="1:6">
      <c r="A54" s="242" t="s">
        <v>196</v>
      </c>
      <c r="B54" s="243">
        <v>53</v>
      </c>
      <c r="C54" s="242" t="s">
        <v>231</v>
      </c>
      <c r="D54" s="244">
        <v>1408.43390965085</v>
      </c>
      <c r="E54" s="244">
        <v>2152.71886755881</v>
      </c>
      <c r="F54" s="242" t="s">
        <v>174</v>
      </c>
    </row>
    <row r="55" ht="16.2" spans="1:6">
      <c r="A55" s="242" t="s">
        <v>196</v>
      </c>
      <c r="B55" s="243">
        <v>54</v>
      </c>
      <c r="C55" s="242" t="s">
        <v>232</v>
      </c>
      <c r="D55" s="244">
        <v>1514.92854799523</v>
      </c>
      <c r="E55" s="244">
        <v>2277.11603383402</v>
      </c>
      <c r="F55" s="242" t="s">
        <v>174</v>
      </c>
    </row>
    <row r="56" ht="16.2" spans="1:6">
      <c r="A56" s="242" t="s">
        <v>196</v>
      </c>
      <c r="B56" s="243">
        <v>55</v>
      </c>
      <c r="C56" s="242" t="s">
        <v>233</v>
      </c>
      <c r="D56" s="244">
        <v>2573.33502611194</v>
      </c>
      <c r="E56" s="244">
        <v>3220.18121591023</v>
      </c>
      <c r="F56" s="242" t="s">
        <v>174</v>
      </c>
    </row>
    <row r="57" ht="16.2" spans="1:6">
      <c r="A57" s="242" t="s">
        <v>196</v>
      </c>
      <c r="B57" s="243">
        <v>56</v>
      </c>
      <c r="C57" s="242" t="s">
        <v>234</v>
      </c>
      <c r="D57" s="244">
        <v>1391.8518876263</v>
      </c>
      <c r="E57" s="244">
        <v>2132.86384682774</v>
      </c>
      <c r="F57" s="242" t="s">
        <v>174</v>
      </c>
    </row>
    <row r="58" ht="16.2" spans="1:6">
      <c r="A58" s="246" t="s">
        <v>215</v>
      </c>
      <c r="B58" s="243">
        <v>57</v>
      </c>
      <c r="C58" s="246" t="s">
        <v>235</v>
      </c>
      <c r="D58" s="247">
        <v>2829.07598044249</v>
      </c>
      <c r="E58" s="244">
        <v>3536.34497555311</v>
      </c>
      <c r="F58" s="242" t="s">
        <v>174</v>
      </c>
    </row>
    <row r="59" ht="16.2" spans="1:6">
      <c r="A59" s="242" t="s">
        <v>215</v>
      </c>
      <c r="B59" s="243">
        <v>58</v>
      </c>
      <c r="C59" s="242" t="s">
        <v>236</v>
      </c>
      <c r="D59" s="244">
        <v>2783.47404182446</v>
      </c>
      <c r="E59" s="244">
        <v>3479.34255228057</v>
      </c>
      <c r="F59" s="242" t="s">
        <v>174</v>
      </c>
    </row>
    <row r="60" ht="16.2" spans="1:6">
      <c r="A60" s="242" t="s">
        <v>194</v>
      </c>
      <c r="B60" s="243">
        <v>59</v>
      </c>
      <c r="C60" s="242" t="s">
        <v>237</v>
      </c>
      <c r="D60" s="249">
        <v>1318.6</v>
      </c>
      <c r="E60" s="244">
        <v>2043.6</v>
      </c>
      <c r="F60" s="242" t="s">
        <v>174</v>
      </c>
    </row>
    <row r="61" ht="16.2" spans="1:6">
      <c r="A61" s="242" t="s">
        <v>177</v>
      </c>
      <c r="B61" s="243">
        <v>60</v>
      </c>
      <c r="C61" s="242" t="s">
        <v>238</v>
      </c>
      <c r="D61" s="244">
        <v>1701.1</v>
      </c>
      <c r="E61" s="244">
        <v>2479.02980766755</v>
      </c>
      <c r="F61" s="242" t="s">
        <v>174</v>
      </c>
    </row>
    <row r="62" ht="16.2" spans="1:6">
      <c r="A62" s="242" t="s">
        <v>177</v>
      </c>
      <c r="B62" s="243">
        <v>61</v>
      </c>
      <c r="C62" s="242" t="s">
        <v>239</v>
      </c>
      <c r="D62" s="244">
        <v>1521.59999999999</v>
      </c>
      <c r="E62" s="244">
        <v>2282.40879518824</v>
      </c>
      <c r="F62" s="242" t="s">
        <v>174</v>
      </c>
    </row>
    <row r="63" ht="16.2" spans="1:6">
      <c r="A63" s="242" t="s">
        <v>177</v>
      </c>
      <c r="B63" s="243">
        <v>62</v>
      </c>
      <c r="C63" s="242" t="s">
        <v>240</v>
      </c>
      <c r="D63" s="244">
        <v>2109.52895986243</v>
      </c>
      <c r="E63" s="244">
        <v>2869.29868756391</v>
      </c>
      <c r="F63" s="242" t="s">
        <v>174</v>
      </c>
    </row>
    <row r="64" ht="16.2" spans="1:6">
      <c r="A64" s="242" t="s">
        <v>177</v>
      </c>
      <c r="B64" s="243">
        <v>63</v>
      </c>
      <c r="C64" s="242" t="s">
        <v>241</v>
      </c>
      <c r="D64" s="244">
        <v>1866.4</v>
      </c>
      <c r="E64" s="244">
        <v>2646.53944981253</v>
      </c>
      <c r="F64" s="242" t="s">
        <v>174</v>
      </c>
    </row>
    <row r="65" ht="16.2" spans="1:6">
      <c r="A65" s="242" t="s">
        <v>196</v>
      </c>
      <c r="B65" s="243">
        <v>64</v>
      </c>
      <c r="C65" s="242" t="s">
        <v>242</v>
      </c>
      <c r="D65" s="244">
        <v>1485.7</v>
      </c>
      <c r="E65" s="244">
        <v>2243.5</v>
      </c>
      <c r="F65" s="242" t="s">
        <v>174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38"/>
  <sheetViews>
    <sheetView workbookViewId="0">
      <selection activeCell="C5" sqref="C5"/>
    </sheetView>
  </sheetViews>
  <sheetFormatPr defaultColWidth="8.66666666666667" defaultRowHeight="13.8" outlineLevelCol="7"/>
  <cols>
    <col min="2" max="2" width="18.4444444444444" customWidth="1"/>
    <col min="3" max="5" width="19.7777777777778" customWidth="1"/>
    <col min="6" max="6" width="13.4444444444444" customWidth="1"/>
    <col min="8" max="8" width="10.5555555555556"/>
    <col min="9" max="9" width="12.6666666666667"/>
  </cols>
  <sheetData>
    <row r="3" ht="15.6" spans="2:8">
      <c r="B3" s="230"/>
      <c r="C3" s="231" t="s">
        <v>243</v>
      </c>
      <c r="D3" s="231"/>
      <c r="E3" s="232" t="s">
        <v>244</v>
      </c>
      <c r="F3" s="232"/>
      <c r="G3" s="70"/>
      <c r="H3" s="70"/>
    </row>
    <row r="4" ht="16.2" spans="2:8">
      <c r="B4" s="233" t="s">
        <v>170</v>
      </c>
      <c r="C4" s="234" t="s">
        <v>245</v>
      </c>
      <c r="D4" s="235" t="s">
        <v>246</v>
      </c>
      <c r="E4" s="236" t="s">
        <v>247</v>
      </c>
      <c r="F4" s="236" t="s">
        <v>248</v>
      </c>
      <c r="G4" s="237" t="s">
        <v>249</v>
      </c>
      <c r="H4" s="70"/>
    </row>
    <row r="5" ht="15.6" spans="2:8">
      <c r="B5" s="13" t="s">
        <v>197</v>
      </c>
      <c r="C5" s="238">
        <v>76.4885649998321</v>
      </c>
      <c r="D5" s="239">
        <v>84.3937277113488</v>
      </c>
      <c r="E5" s="238">
        <v>114.570529827272</v>
      </c>
      <c r="F5" s="232"/>
      <c r="G5" s="238">
        <v>893.31</v>
      </c>
      <c r="H5" s="238">
        <f>C5*G5</f>
        <v>68328</v>
      </c>
    </row>
    <row r="6" ht="15.6" spans="2:8">
      <c r="B6" s="13" t="s">
        <v>226</v>
      </c>
      <c r="C6" s="238">
        <v>62.2623439988709</v>
      </c>
      <c r="D6" s="239">
        <v>104.988888888889</v>
      </c>
      <c r="E6" s="238">
        <v>95.1228855420472</v>
      </c>
      <c r="F6" s="232"/>
      <c r="G6" s="238">
        <v>4959.9</v>
      </c>
      <c r="H6" s="238">
        <f t="shared" ref="H6:H38" si="0">C6*G6</f>
        <v>308815</v>
      </c>
    </row>
    <row r="7" ht="15.6" spans="2:8">
      <c r="B7" s="13" t="s">
        <v>191</v>
      </c>
      <c r="C7" s="238">
        <v>59.7621050102127</v>
      </c>
      <c r="D7" s="239">
        <v>79.9555555555556</v>
      </c>
      <c r="E7" s="238">
        <v>102.006488045176</v>
      </c>
      <c r="F7" s="232"/>
      <c r="G7" s="238">
        <v>832.3</v>
      </c>
      <c r="H7" s="238">
        <f t="shared" si="0"/>
        <v>49740</v>
      </c>
    </row>
    <row r="8" ht="15.6" spans="2:8">
      <c r="B8" s="13" t="s">
        <v>178</v>
      </c>
      <c r="C8" s="238">
        <v>58.7240334322711</v>
      </c>
      <c r="D8" s="239">
        <v>79.2</v>
      </c>
      <c r="E8" s="238">
        <v>91.1367632149686</v>
      </c>
      <c r="F8" s="232"/>
      <c r="G8" s="238">
        <v>10909.22</v>
      </c>
      <c r="H8" s="238">
        <f t="shared" si="0"/>
        <v>640633.4</v>
      </c>
    </row>
    <row r="9" spans="2:8">
      <c r="B9" s="13" t="s">
        <v>190</v>
      </c>
      <c r="C9" s="238">
        <v>60.2008360596147</v>
      </c>
      <c r="D9" s="238"/>
      <c r="E9" s="238">
        <v>109.891857506361</v>
      </c>
      <c r="F9" s="238"/>
      <c r="G9" s="238">
        <v>1100.4</v>
      </c>
      <c r="H9" s="238">
        <f t="shared" si="0"/>
        <v>66245</v>
      </c>
    </row>
    <row r="10" spans="2:8">
      <c r="B10" s="13" t="s">
        <v>250</v>
      </c>
      <c r="C10" s="238">
        <v>86.9969008264463</v>
      </c>
      <c r="D10" s="238"/>
      <c r="E10" s="238">
        <v>118.246900826446</v>
      </c>
      <c r="F10" s="238"/>
      <c r="G10" s="238">
        <v>968</v>
      </c>
      <c r="H10" s="238">
        <f t="shared" si="0"/>
        <v>84213</v>
      </c>
    </row>
    <row r="11" spans="2:8">
      <c r="B11" s="13" t="s">
        <v>251</v>
      </c>
      <c r="C11" s="238">
        <v>47.8292794860028</v>
      </c>
      <c r="D11" s="238"/>
      <c r="E11" s="238">
        <v>82.2900413033502</v>
      </c>
      <c r="F11" s="238"/>
      <c r="G11" s="238">
        <v>1089.5</v>
      </c>
      <c r="H11" s="238">
        <f t="shared" si="0"/>
        <v>52110</v>
      </c>
    </row>
    <row r="12" spans="2:8">
      <c r="B12" s="13" t="s">
        <v>252</v>
      </c>
      <c r="C12" s="238">
        <v>31.947912602419</v>
      </c>
      <c r="D12" s="238"/>
      <c r="E12" s="238">
        <v>60.0936402653141</v>
      </c>
      <c r="F12" s="238"/>
      <c r="G12" s="238">
        <v>1025.2</v>
      </c>
      <c r="H12" s="238">
        <f t="shared" si="0"/>
        <v>32753</v>
      </c>
    </row>
    <row r="13" spans="2:8">
      <c r="B13" s="13" t="s">
        <v>179</v>
      </c>
      <c r="C13" s="238">
        <v>59.7116014856893</v>
      </c>
      <c r="D13" s="238"/>
      <c r="E13" s="238">
        <v>91.0203189862355</v>
      </c>
      <c r="F13" s="238"/>
      <c r="G13" s="238">
        <v>915.4</v>
      </c>
      <c r="H13" s="238">
        <f t="shared" si="0"/>
        <v>54660</v>
      </c>
    </row>
    <row r="14" spans="2:8">
      <c r="B14" s="13" t="s">
        <v>201</v>
      </c>
      <c r="C14" s="238">
        <v>28.0623482692648</v>
      </c>
      <c r="D14" s="238"/>
      <c r="E14" s="238">
        <v>52.0370102413222</v>
      </c>
      <c r="F14" s="238"/>
      <c r="G14" s="238">
        <v>2487.96</v>
      </c>
      <c r="H14" s="238">
        <f t="shared" si="0"/>
        <v>69818</v>
      </c>
    </row>
    <row r="15" spans="2:8">
      <c r="B15" s="13" t="s">
        <v>193</v>
      </c>
      <c r="C15" s="238">
        <v>51.9406451105032</v>
      </c>
      <c r="D15" s="238"/>
      <c r="E15" s="238">
        <v>77.358156377305</v>
      </c>
      <c r="F15" s="238"/>
      <c r="G15" s="238">
        <v>2540.65</v>
      </c>
      <c r="H15" s="238">
        <f t="shared" si="0"/>
        <v>131963</v>
      </c>
    </row>
    <row r="16" spans="2:8">
      <c r="B16" s="13" t="s">
        <v>204</v>
      </c>
      <c r="C16" s="238">
        <v>46.0776229690945</v>
      </c>
      <c r="D16" s="238"/>
      <c r="E16" s="238">
        <v>73.4126998170371</v>
      </c>
      <c r="F16" s="238"/>
      <c r="G16" s="238">
        <v>2825.71</v>
      </c>
      <c r="H16" s="238">
        <f t="shared" si="0"/>
        <v>130202</v>
      </c>
    </row>
    <row r="17" spans="2:8">
      <c r="B17" s="13" t="s">
        <v>187</v>
      </c>
      <c r="C17" s="238">
        <v>44.8384666889856</v>
      </c>
      <c r="D17" s="238"/>
      <c r="E17" s="238">
        <v>79.8766878696574</v>
      </c>
      <c r="F17" s="238"/>
      <c r="G17" s="238">
        <v>3584.4</v>
      </c>
      <c r="H17" s="238">
        <f t="shared" si="0"/>
        <v>160719</v>
      </c>
    </row>
    <row r="18" spans="2:8">
      <c r="B18" s="13" t="s">
        <v>225</v>
      </c>
      <c r="C18" s="238">
        <v>38.9745082815735</v>
      </c>
      <c r="D18" s="238"/>
      <c r="E18" s="238">
        <v>64.7612577639752</v>
      </c>
      <c r="F18" s="238"/>
      <c r="G18" s="238">
        <v>1545.6</v>
      </c>
      <c r="H18" s="238">
        <f t="shared" si="0"/>
        <v>60239</v>
      </c>
    </row>
    <row r="19" spans="2:8">
      <c r="B19" s="13" t="s">
        <v>206</v>
      </c>
      <c r="C19" s="238">
        <v>53.2721044238379</v>
      </c>
      <c r="D19" s="238"/>
      <c r="E19" s="238">
        <v>83.7133069517453</v>
      </c>
      <c r="F19" s="238"/>
      <c r="G19" s="238">
        <v>338.62</v>
      </c>
      <c r="H19" s="238">
        <f t="shared" si="0"/>
        <v>18039</v>
      </c>
    </row>
    <row r="20" spans="2:8">
      <c r="B20" s="13" t="s">
        <v>198</v>
      </c>
      <c r="C20" s="238">
        <v>32.113960867266</v>
      </c>
      <c r="D20" s="238"/>
      <c r="E20" s="238">
        <v>63.0691433104178</v>
      </c>
      <c r="F20" s="238"/>
      <c r="G20" s="238">
        <v>1512.8</v>
      </c>
      <c r="H20" s="238">
        <f t="shared" si="0"/>
        <v>48582</v>
      </c>
    </row>
    <row r="21" spans="2:8">
      <c r="B21" s="13" t="s">
        <v>221</v>
      </c>
      <c r="C21" s="238">
        <v>63.0059948615472</v>
      </c>
      <c r="D21" s="238"/>
      <c r="E21" s="238">
        <v>90.23598820059</v>
      </c>
      <c r="F21" s="238"/>
      <c r="G21" s="238">
        <v>1050.9</v>
      </c>
      <c r="H21" s="238">
        <f t="shared" si="0"/>
        <v>66213</v>
      </c>
    </row>
    <row r="22" spans="2:8">
      <c r="B22" s="13" t="s">
        <v>200</v>
      </c>
      <c r="C22" s="238">
        <v>41.7996678266371</v>
      </c>
      <c r="D22" s="238"/>
      <c r="E22" s="238">
        <v>66.8933881683012</v>
      </c>
      <c r="F22" s="238"/>
      <c r="G22" s="238">
        <v>1264.4</v>
      </c>
      <c r="H22" s="238">
        <f t="shared" si="0"/>
        <v>52851.4999999999</v>
      </c>
    </row>
    <row r="23" spans="2:8">
      <c r="B23" s="13" t="s">
        <v>173</v>
      </c>
      <c r="C23" s="238">
        <v>62.4010444301712</v>
      </c>
      <c r="D23" s="238"/>
      <c r="E23" s="238">
        <v>94.9437292300818</v>
      </c>
      <c r="F23" s="238"/>
      <c r="G23" s="238">
        <v>17904.5</v>
      </c>
      <c r="H23" s="238">
        <f t="shared" si="0"/>
        <v>1117259.5</v>
      </c>
    </row>
    <row r="24" spans="2:8">
      <c r="B24" s="13" t="s">
        <v>253</v>
      </c>
      <c r="C24" s="238">
        <v>43.5750932835821</v>
      </c>
      <c r="D24" s="238"/>
      <c r="E24" s="238">
        <v>71.1753731343284</v>
      </c>
      <c r="F24" s="238"/>
      <c r="G24" s="238">
        <v>428.8</v>
      </c>
      <c r="H24" s="238">
        <f t="shared" si="0"/>
        <v>18685</v>
      </c>
    </row>
    <row r="25" spans="2:8">
      <c r="B25" s="13" t="s">
        <v>223</v>
      </c>
      <c r="C25" s="238">
        <v>43.6043360433604</v>
      </c>
      <c r="D25" s="238"/>
      <c r="E25" s="238">
        <v>71.0414246999613</v>
      </c>
      <c r="F25" s="238"/>
      <c r="G25" s="238">
        <v>516.6</v>
      </c>
      <c r="H25" s="238">
        <f t="shared" si="0"/>
        <v>22526</v>
      </c>
    </row>
    <row r="26" spans="2:8">
      <c r="B26" s="13" t="s">
        <v>222</v>
      </c>
      <c r="C26" s="238">
        <v>42.2454439901055</v>
      </c>
      <c r="D26" s="238"/>
      <c r="E26" s="238">
        <v>70.3526174970973</v>
      </c>
      <c r="F26" s="238"/>
      <c r="G26" s="238">
        <v>3961.8</v>
      </c>
      <c r="H26" s="238">
        <f t="shared" si="0"/>
        <v>167368</v>
      </c>
    </row>
    <row r="27" spans="2:8">
      <c r="B27" s="13" t="s">
        <v>205</v>
      </c>
      <c r="C27" s="238">
        <v>41.6918429003021</v>
      </c>
      <c r="D27" s="238"/>
      <c r="E27" s="238">
        <v>76.348726801899</v>
      </c>
      <c r="F27" s="238"/>
      <c r="G27" s="238">
        <v>463.4</v>
      </c>
      <c r="H27" s="238">
        <f t="shared" si="0"/>
        <v>19320</v>
      </c>
    </row>
    <row r="28" spans="2:8">
      <c r="B28" s="13" t="s">
        <v>216</v>
      </c>
      <c r="C28" s="238">
        <v>88.7350095918095</v>
      </c>
      <c r="D28" s="238"/>
      <c r="E28" s="238">
        <v>118.620420808584</v>
      </c>
      <c r="F28" s="238"/>
      <c r="G28" s="238">
        <v>974.79</v>
      </c>
      <c r="H28" s="238">
        <f t="shared" si="0"/>
        <v>86498</v>
      </c>
    </row>
    <row r="29" spans="2:8">
      <c r="B29" s="13" t="s">
        <v>220</v>
      </c>
      <c r="C29" s="238">
        <v>88.9981617647059</v>
      </c>
      <c r="D29" s="238"/>
      <c r="E29" s="238">
        <v>124.852941176471</v>
      </c>
      <c r="F29" s="238"/>
      <c r="G29" s="238">
        <v>544</v>
      </c>
      <c r="H29" s="238">
        <f t="shared" si="0"/>
        <v>48415</v>
      </c>
    </row>
    <row r="30" spans="2:8">
      <c r="B30" s="13" t="s">
        <v>219</v>
      </c>
      <c r="C30" s="238">
        <v>90.5917089878351</v>
      </c>
      <c r="D30" s="238"/>
      <c r="E30" s="238">
        <v>122.097555214362</v>
      </c>
      <c r="F30" s="238"/>
      <c r="G30" s="238">
        <v>846.7</v>
      </c>
      <c r="H30" s="238">
        <f t="shared" si="0"/>
        <v>76704</v>
      </c>
    </row>
    <row r="31" spans="2:8">
      <c r="B31" s="13" t="s">
        <v>184</v>
      </c>
      <c r="C31" s="238">
        <v>43.0648104077423</v>
      </c>
      <c r="D31" s="238"/>
      <c r="E31" s="238">
        <v>78.5974932571791</v>
      </c>
      <c r="F31" s="238"/>
      <c r="G31" s="238">
        <v>1260.6</v>
      </c>
      <c r="H31" s="238">
        <f t="shared" si="0"/>
        <v>54287.4999999999</v>
      </c>
    </row>
    <row r="32" spans="2:8">
      <c r="B32" s="13" t="s">
        <v>180</v>
      </c>
      <c r="C32" s="238">
        <v>42.8466128466128</v>
      </c>
      <c r="D32" s="238"/>
      <c r="E32" s="238">
        <v>76.4244764244764</v>
      </c>
      <c r="F32" s="238"/>
      <c r="G32" s="238">
        <v>854.7</v>
      </c>
      <c r="H32" s="238">
        <f t="shared" si="0"/>
        <v>36621</v>
      </c>
    </row>
    <row r="33" spans="2:8">
      <c r="B33" s="13" t="s">
        <v>203</v>
      </c>
      <c r="C33" s="238">
        <v>37.345793224153</v>
      </c>
      <c r="D33" s="238"/>
      <c r="E33" s="238">
        <v>62.4328041005126</v>
      </c>
      <c r="F33" s="238"/>
      <c r="G33" s="238">
        <v>3199.6</v>
      </c>
      <c r="H33" s="238">
        <f t="shared" si="0"/>
        <v>119491.6</v>
      </c>
    </row>
    <row r="34" spans="2:8">
      <c r="B34" s="13" t="s">
        <v>185</v>
      </c>
      <c r="C34" s="238">
        <v>44.097985685826</v>
      </c>
      <c r="D34" s="238"/>
      <c r="E34" s="238">
        <v>74.5960303991736</v>
      </c>
      <c r="F34" s="238"/>
      <c r="G34" s="238">
        <v>1355.3</v>
      </c>
      <c r="H34" s="238">
        <f t="shared" si="0"/>
        <v>59766</v>
      </c>
    </row>
    <row r="35" spans="2:8">
      <c r="B35" s="13" t="s">
        <v>195</v>
      </c>
      <c r="C35" s="238">
        <v>50.453727463081</v>
      </c>
      <c r="D35" s="238"/>
      <c r="E35" s="238">
        <v>78.2425418548256</v>
      </c>
      <c r="F35" s="238"/>
      <c r="G35" s="238">
        <v>6523.74</v>
      </c>
      <c r="H35" s="238">
        <f t="shared" si="0"/>
        <v>329147</v>
      </c>
    </row>
    <row r="36" spans="2:8">
      <c r="B36" s="13" t="s">
        <v>218</v>
      </c>
      <c r="C36" s="238">
        <v>92.3106490783611</v>
      </c>
      <c r="D36" s="238"/>
      <c r="E36" s="238">
        <v>146.527474447453</v>
      </c>
      <c r="F36" s="238"/>
      <c r="G36" s="238">
        <v>1144.7</v>
      </c>
      <c r="H36" s="238">
        <f t="shared" si="0"/>
        <v>105668</v>
      </c>
    </row>
    <row r="37" spans="2:8">
      <c r="B37" s="13" t="s">
        <v>199</v>
      </c>
      <c r="C37" s="238">
        <v>50.5743096363407</v>
      </c>
      <c r="D37" s="238"/>
      <c r="E37" s="238">
        <v>81.7244716211099</v>
      </c>
      <c r="F37" s="238"/>
      <c r="G37" s="238">
        <v>1426.06</v>
      </c>
      <c r="H37" s="238">
        <f t="shared" si="0"/>
        <v>72122</v>
      </c>
    </row>
    <row r="38" spans="2:8">
      <c r="B38" s="13" t="s">
        <v>254</v>
      </c>
      <c r="C38" s="238">
        <v>43.5669707153145</v>
      </c>
      <c r="D38" s="238"/>
      <c r="E38" s="238">
        <v>86.4298287726036</v>
      </c>
      <c r="F38" s="238"/>
      <c r="G38" s="238">
        <v>624.9</v>
      </c>
      <c r="H38" s="238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showGridLines="0" zoomScale="70" zoomScaleNormal="70" workbookViewId="0">
      <selection activeCell="F26" sqref="F26:G26"/>
    </sheetView>
  </sheetViews>
  <sheetFormatPr defaultColWidth="8.66666666666667" defaultRowHeight="13.8"/>
  <cols>
    <col min="1" max="1" width="6" customWidth="1"/>
    <col min="2" max="2" width="18.7777777777778" customWidth="1"/>
    <col min="3" max="3" width="19" style="2" customWidth="1"/>
    <col min="4" max="4" width="15.1111111111111" style="2" customWidth="1"/>
    <col min="5" max="5" width="21.1111111111111" style="2" customWidth="1"/>
    <col min="6" max="6" width="19.1111111111111" style="2" customWidth="1"/>
    <col min="7" max="7" width="17.3333333333333" style="2" customWidth="1"/>
    <col min="8" max="8" width="15.1111111111111" customWidth="1"/>
    <col min="9" max="9" width="13.7777777777778" customWidth="1"/>
    <col min="10" max="11" width="11.1111111111111" customWidth="1"/>
    <col min="12" max="12" width="20" customWidth="1"/>
    <col min="13" max="13" width="14.1111111111111" customWidth="1"/>
    <col min="14" max="14" width="20.7777777777778" customWidth="1"/>
    <col min="15" max="15" width="16.4444444444444" customWidth="1"/>
    <col min="16" max="16" width="10.6666666666667" hidden="1" customWidth="1"/>
    <col min="17" max="17" width="12.6666666666667"/>
  </cols>
  <sheetData>
    <row r="1" ht="16.35" spans="1:16">
      <c r="A1" s="30"/>
      <c r="B1" s="165"/>
      <c r="C1" s="166"/>
      <c r="D1" s="166"/>
      <c r="E1" s="166"/>
    </row>
    <row r="2" ht="24" customHeight="1" spans="1:16">
      <c r="A2" s="30"/>
      <c r="B2" s="167" t="s">
        <v>255</v>
      </c>
      <c r="C2" s="168" t="s">
        <v>193</v>
      </c>
      <c r="D2" s="169" t="s">
        <v>256</v>
      </c>
      <c r="E2" s="170" t="str">
        <f>户型资产表!C10</f>
        <v>1-51栋</v>
      </c>
      <c r="F2"/>
      <c r="G2"/>
    </row>
    <row r="3" ht="16.35" spans="1:16">
      <c r="A3" s="30"/>
      <c r="B3" s="171" t="s">
        <v>257</v>
      </c>
      <c r="C3" s="172" t="s">
        <v>258</v>
      </c>
      <c r="D3" s="173" t="s">
        <v>259</v>
      </c>
      <c r="E3" s="74" t="s">
        <v>260</v>
      </c>
      <c r="F3" s="168" t="s">
        <v>261</v>
      </c>
      <c r="G3" s="168" t="s">
        <v>262</v>
      </c>
      <c r="H3" s="170" t="s">
        <v>263</v>
      </c>
      <c r="I3" s="174" t="s">
        <v>264</v>
      </c>
      <c r="J3" s="168" t="s">
        <v>265</v>
      </c>
      <c r="K3" s="175" t="s">
        <v>266</v>
      </c>
      <c r="L3" s="176" t="s">
        <v>267</v>
      </c>
      <c r="M3" s="168" t="s">
        <v>268</v>
      </c>
      <c r="N3" s="170" t="s">
        <v>269</v>
      </c>
      <c r="O3" s="177" t="s">
        <v>270</v>
      </c>
      <c r="P3" t="s">
        <v>271</v>
      </c>
    </row>
    <row r="4" ht="16.35" spans="1:16">
      <c r="A4" s="30"/>
      <c r="B4" s="178"/>
      <c r="C4" s="179" t="s">
        <v>272</v>
      </c>
      <c r="D4" s="179" t="s">
        <v>273</v>
      </c>
      <c r="E4" s="180" t="str">
        <f t="array" ref="E4">_xlfn.TEXTJOIN("&amp;",TRUE,_xlfn._xlws.FILTER('【3-2】大区&amp;运营中心填-房间模型价'!K2:K10,'【3-2】大区&amp;运营中心填-房间模型价'!K2:K10&lt;&gt;""))</f>
        <v>开间&amp;一居室</v>
      </c>
      <c r="F4" s="180">
        <f t="array" ref="F4">INT(LOOKUP(2,1/(NOT(ISBLANK('【3-2】大区&amp;运营中心填-房间模型价'!H:H))),'【3-2】大区&amp;运营中心填-房间模型价'!H:H)/100)</f>
        <v>7</v>
      </c>
      <c r="G4" s="181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30.5</v>
      </c>
      <c r="H4" s="182">
        <f>'【3-2】大区&amp;运营中心填-房间模型价'!G2</f>
        <v>5</v>
      </c>
      <c r="I4" s="183">
        <f>AVERAGEIF('【3-2】大区&amp;运营中心填-房间模型价'!J:J,"开间",'【3-2】大区&amp;运营中心填-房间模型价'!AM:AM)</f>
        <v>1298.55172413793</v>
      </c>
      <c r="J4" s="181">
        <f>AVERAGEIF('【3-2】大区&amp;运营中心填-房间模型价'!J:J,"一居室",'【3-2】大区&amp;运营中心填-房间模型价'!AM:AM)</f>
        <v>1400</v>
      </c>
      <c r="K4" s="184">
        <f>SUMIF('【3-2】大区&amp;运营中心填-房间模型价'!A:A,E2,'【3-2】大区&amp;运营中心填-房间模型价'!AM:AM)/G4</f>
        <v>1280.59016393443</v>
      </c>
      <c r="L4" s="185">
        <f>AVERAGEIF('【3-2】大区&amp;运营中心填-房间模型价'!J:J,"开间",'【3-2】大区&amp;运营中心填-房间模型价'!N:N)</f>
        <v>14.5789655172414</v>
      </c>
      <c r="M4" s="181">
        <f>AVERAGEIF('【3-2】大区&amp;运营中心填-房间模型价'!J:J,"一居室",'【3-2】大区&amp;运营中心填-房间模型价'!N:N)</f>
        <v>20.63</v>
      </c>
      <c r="N4" s="186">
        <v>102.34</v>
      </c>
      <c r="O4" s="187">
        <v>626</v>
      </c>
      <c r="P4">
        <f>VLOOKUP(C2,piovt_各村均价!B:G,6,0)</f>
        <v>2540.65</v>
      </c>
    </row>
    <row r="5" ht="14.55" spans="1:16">
      <c r="A5" s="30"/>
    </row>
    <row r="6" ht="14.55" spans="1:16">
      <c r="A6" s="30"/>
      <c r="O6" s="2"/>
    </row>
    <row r="7" ht="22.95" customHeight="1" spans="1:16">
      <c r="A7" s="30"/>
      <c r="B7" s="188" t="s">
        <v>274</v>
      </c>
      <c r="C7" s="189"/>
      <c r="D7" s="189"/>
      <c r="E7" s="190"/>
      <c r="O7" s="191"/>
    </row>
    <row r="8" ht="16.95" spans="1:16">
      <c r="A8" s="30"/>
      <c r="B8" s="192" t="s">
        <v>275</v>
      </c>
      <c r="C8" s="176" t="s">
        <v>276</v>
      </c>
      <c r="D8" s="168" t="s">
        <v>277</v>
      </c>
      <c r="E8" s="168" t="s">
        <v>278</v>
      </c>
      <c r="F8" s="168" t="s">
        <v>279</v>
      </c>
      <c r="G8" s="168" t="s">
        <v>280</v>
      </c>
      <c r="H8" s="168" t="s">
        <v>281</v>
      </c>
      <c r="I8" s="193" t="s">
        <v>282</v>
      </c>
    </row>
    <row r="9" ht="18" customHeight="1" spans="1:16">
      <c r="A9" s="30"/>
      <c r="B9" s="194"/>
      <c r="C9" s="195"/>
      <c r="D9" s="23">
        <v>53.09</v>
      </c>
      <c r="E9" s="23">
        <f>(D9+18)/0.9</f>
        <v>78.9888888888889</v>
      </c>
      <c r="F9" s="23">
        <f>SUMIF('【3-2】大区&amp;运营中心填-房间模型价'!A:A,E2,'【3-2】大区&amp;运营中心填-房间模型价'!AM:AM)/O4</f>
        <v>62.3929712460064</v>
      </c>
      <c r="G9" s="156">
        <f>F9/D9</f>
        <v>1.17523019864393</v>
      </c>
      <c r="H9" s="156">
        <f>F9/E9</f>
        <v>0.789895542571469</v>
      </c>
      <c r="I9" s="196" t="str">
        <f>IF(H9&lt;1,"不通过","通过")</f>
        <v>不通过</v>
      </c>
    </row>
    <row r="10" ht="6" customHeight="1" spans="1:16">
      <c r="A10" s="30"/>
      <c r="B10" s="194"/>
      <c r="C10" s="195"/>
      <c r="D10" s="4"/>
      <c r="E10" s="4"/>
      <c r="F10" s="4"/>
      <c r="G10" s="4"/>
      <c r="H10" s="4"/>
      <c r="I10" s="197"/>
    </row>
    <row r="11" ht="16.2" spans="1:16">
      <c r="A11" s="30"/>
      <c r="B11" s="194"/>
      <c r="C11" s="195" t="s">
        <v>283</v>
      </c>
      <c r="D11" s="23" t="s">
        <v>284</v>
      </c>
      <c r="E11" s="23" t="s">
        <v>285</v>
      </c>
      <c r="F11" s="23" t="s">
        <v>286</v>
      </c>
      <c r="G11" s="4" t="s">
        <v>280</v>
      </c>
      <c r="H11" s="4" t="s">
        <v>281</v>
      </c>
      <c r="I11" s="196" t="s">
        <v>282</v>
      </c>
    </row>
    <row r="12" ht="21" customHeight="1" spans="1:16">
      <c r="A12" s="30"/>
      <c r="B12" s="198"/>
      <c r="C12" s="199"/>
      <c r="D12" s="181">
        <f>D9</f>
        <v>53.09</v>
      </c>
      <c r="E12" s="181">
        <f>(D12+18)/0.9</f>
        <v>78.9888888888889</v>
      </c>
      <c r="F12" s="181">
        <f>F9</f>
        <v>62.3929712460064</v>
      </c>
      <c r="G12" s="200">
        <f>F12/D12</f>
        <v>1.17523019864393</v>
      </c>
      <c r="H12" s="200">
        <f>F12/E12</f>
        <v>0.789895542571469</v>
      </c>
      <c r="I12" s="201" t="str">
        <f>IF(H12&lt;1.05,"不通过","通过")</f>
        <v>不通过</v>
      </c>
    </row>
    <row r="13" ht="13.05" customHeight="1" spans="1:16">
      <c r="A13" s="30"/>
      <c r="B13" s="202"/>
    </row>
    <row r="14" ht="12" customHeight="1" spans="1:16">
      <c r="A14" s="30"/>
      <c r="B14" s="203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</row>
    <row r="15" ht="14.55" spans="1:16">
      <c r="A15" s="30"/>
      <c r="B15" s="204" t="s">
        <v>287</v>
      </c>
      <c r="C15" s="205" t="s">
        <v>288</v>
      </c>
      <c r="D15" s="168" t="s">
        <v>289</v>
      </c>
      <c r="E15" s="168" t="s">
        <v>290</v>
      </c>
      <c r="F15" s="168"/>
      <c r="G15" s="168"/>
      <c r="H15" s="168"/>
      <c r="I15" s="168"/>
      <c r="J15" s="168" t="s">
        <v>291</v>
      </c>
      <c r="K15" s="168" t="s">
        <v>292</v>
      </c>
      <c r="L15" s="206" t="s">
        <v>293</v>
      </c>
      <c r="M15" s="193" t="s">
        <v>282</v>
      </c>
    </row>
    <row r="16" spans="1:16">
      <c r="A16" s="30"/>
      <c r="B16" s="207"/>
      <c r="C16" s="208"/>
      <c r="D16" s="4"/>
      <c r="E16" s="4"/>
      <c r="F16" s="4"/>
      <c r="G16" s="4"/>
      <c r="H16" s="4"/>
      <c r="I16" s="4"/>
      <c r="J16" s="4"/>
      <c r="K16" s="4"/>
      <c r="L16" s="209"/>
      <c r="M16" s="196"/>
    </row>
    <row r="17" ht="19.05" customHeight="1" spans="1:15">
      <c r="A17" s="30"/>
      <c r="B17" s="207"/>
      <c r="C17" s="208"/>
      <c r="D17" s="4"/>
      <c r="E17" s="4"/>
      <c r="F17" s="4"/>
      <c r="G17" s="4"/>
      <c r="H17" s="4"/>
      <c r="I17" s="4"/>
      <c r="J17" s="4"/>
      <c r="K17" s="4"/>
      <c r="L17" s="73"/>
      <c r="M17" s="210" t="e">
        <f>L17/J17</f>
        <v>#DIV/0!</v>
      </c>
    </row>
    <row r="18" ht="15.6" spans="1:15">
      <c r="A18" s="30"/>
      <c r="B18" s="207"/>
      <c r="C18" s="208"/>
      <c r="D18" s="4"/>
      <c r="E18" s="4"/>
      <c r="F18" s="4"/>
      <c r="G18" s="4"/>
      <c r="H18" s="4"/>
      <c r="I18" s="4"/>
      <c r="J18" s="4"/>
      <c r="K18" s="4"/>
      <c r="L18" s="73"/>
      <c r="M18" s="210" t="e">
        <f>L18/J18</f>
        <v>#DIV/0!</v>
      </c>
    </row>
    <row r="19" ht="16.35" spans="1:15">
      <c r="A19" s="30"/>
      <c r="B19" s="211"/>
      <c r="C19" s="212"/>
      <c r="D19" s="180"/>
      <c r="E19" s="180"/>
      <c r="F19" s="180"/>
      <c r="G19" s="180"/>
      <c r="H19" s="180"/>
      <c r="I19" s="180"/>
      <c r="J19" s="180"/>
      <c r="K19" s="180"/>
      <c r="L19" s="213"/>
      <c r="M19" s="214" t="e">
        <f>L19/J19</f>
        <v>#DIV/0!</v>
      </c>
    </row>
    <row r="20" ht="15.3" spans="1:15">
      <c r="B20" s="215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ht="16.95" spans="1:15">
      <c r="B21" s="192" t="s">
        <v>294</v>
      </c>
      <c r="C21" s="176" t="s">
        <v>295</v>
      </c>
      <c r="D21" s="216" t="s">
        <v>296</v>
      </c>
      <c r="E21" s="216" t="s">
        <v>297</v>
      </c>
      <c r="F21" s="217" t="s">
        <v>282</v>
      </c>
      <c r="G21" s="193"/>
    </row>
    <row r="22" spans="1:15">
      <c r="B22" s="194"/>
      <c r="C22" s="195"/>
      <c r="D22" s="218">
        <f>MIN('【3-2】大区&amp;运营中心填-房间模型价'!AN:AN)</f>
        <v>-0.31076787351212</v>
      </c>
      <c r="E22" s="218">
        <f>MAX('【3-2】大区&amp;运营中心填-房间模型价'!AN:AN)</f>
        <v>-0.0127192990702535</v>
      </c>
      <c r="F22" s="13" t="str">
        <f>IF(OR(D22&lt;-10%,E22&gt;10%),"不通过","通过")</f>
        <v>不通过</v>
      </c>
      <c r="G22" s="219"/>
      <c r="I22" s="30"/>
    </row>
    <row r="23" ht="14.55" spans="1:15">
      <c r="B23" s="194"/>
      <c r="C23" s="199"/>
      <c r="D23" s="220"/>
      <c r="E23" s="220"/>
      <c r="F23" s="221"/>
      <c r="G23" s="222"/>
      <c r="I23" s="30"/>
    </row>
    <row r="24" ht="15.3" spans="1:15">
      <c r="B24" s="194"/>
      <c r="C24" s="223"/>
      <c r="D24" s="3"/>
      <c r="E24" s="3"/>
      <c r="F24" s="3"/>
      <c r="G24" s="224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194"/>
      <c r="C25" s="225" t="s">
        <v>298</v>
      </c>
      <c r="D25" s="216" t="s">
        <v>299</v>
      </c>
      <c r="E25" s="216" t="s">
        <v>300</v>
      </c>
      <c r="F25" s="217" t="s">
        <v>282</v>
      </c>
      <c r="G25" s="193"/>
      <c r="I25" s="30"/>
    </row>
    <row r="26" ht="34.05" customHeight="1" spans="1:15">
      <c r="B26" s="198"/>
      <c r="C26" s="226"/>
      <c r="D26" s="227">
        <f>AVERAGE('【3-2】大区&amp;运营中心填-房间模型价'!AL:AL)</f>
        <v>1549.06691123333</v>
      </c>
      <c r="E26" s="227">
        <f>AVERAGE('【3-2】大区&amp;运营中心填-房间模型价'!AM:AM)</f>
        <v>1301.93333333333</v>
      </c>
      <c r="F26" s="228">
        <f>E26/D26</f>
        <v>0.840462941847209</v>
      </c>
      <c r="G26" s="229"/>
      <c r="I26" s="30"/>
    </row>
    <row r="30" spans="1:15">
      <c r="H30" t="s">
        <v>301</v>
      </c>
    </row>
    <row r="35" spans="8:8">
      <c r="H35" s="2"/>
    </row>
    <row r="36" spans="8:8">
      <c r="H36" s="2"/>
    </row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9"/>
  <sheetViews>
    <sheetView workbookViewId="0">
      <selection activeCell="A70" sqref="A70"/>
    </sheetView>
  </sheetViews>
  <sheetFormatPr defaultColWidth="8.44444444444444" defaultRowHeight="13.8"/>
  <cols>
    <col min="1" max="1" width="1.33333333333333" customWidth="1"/>
    <col min="2" max="2" width="12.4444444444444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444444444444" style="2" hidden="1" customWidth="1"/>
    <col min="11" max="11" width="12.1111111111111" customWidth="1"/>
  </cols>
  <sheetData>
    <row r="1" ht="9.75" customHeight="1"/>
    <row r="2" ht="15.6" spans="2:11">
      <c r="B2" s="4" t="s">
        <v>302</v>
      </c>
      <c r="C2" s="13" t="s">
        <v>303</v>
      </c>
      <c r="D2" s="2"/>
      <c r="E2" s="2"/>
      <c r="F2" s="2"/>
      <c r="G2" s="2"/>
      <c r="H2" s="2"/>
      <c r="I2" s="2"/>
    </row>
    <row r="3" spans="2:11">
      <c r="B3" s="4" t="s">
        <v>304</v>
      </c>
      <c r="C3" s="145" t="s">
        <v>258</v>
      </c>
      <c r="D3" s="146" t="s">
        <v>305</v>
      </c>
      <c r="E3" s="147" t="s">
        <v>260</v>
      </c>
      <c r="F3" s="2"/>
      <c r="G3" s="2"/>
      <c r="H3" s="2"/>
      <c r="I3" s="2"/>
    </row>
    <row r="4" ht="25.2" customHeight="1" spans="2:11">
      <c r="B4" s="4"/>
      <c r="C4" s="13" t="s">
        <v>54</v>
      </c>
      <c r="D4" s="148" t="s">
        <v>54</v>
      </c>
      <c r="E4" s="13" t="s">
        <v>306</v>
      </c>
      <c r="F4" s="2"/>
      <c r="G4" s="2"/>
      <c r="H4" s="2"/>
      <c r="I4" s="2"/>
    </row>
    <row r="5" ht="22.95" customHeight="1" spans="2:11">
      <c r="B5" s="2"/>
      <c r="C5" s="2"/>
      <c r="D5" s="2"/>
      <c r="E5" s="2"/>
      <c r="F5" s="2"/>
      <c r="G5" s="2"/>
      <c r="H5" s="2"/>
      <c r="I5" s="2"/>
    </row>
    <row r="6" ht="21.75" customHeight="1" spans="2:11">
      <c r="B6" s="6" t="s">
        <v>261</v>
      </c>
      <c r="C6" s="6" t="s">
        <v>262</v>
      </c>
      <c r="D6" s="6" t="s">
        <v>263</v>
      </c>
      <c r="E6" s="6" t="s">
        <v>264</v>
      </c>
      <c r="F6" s="6" t="s">
        <v>265</v>
      </c>
      <c r="G6" s="6" t="s">
        <v>266</v>
      </c>
      <c r="H6" s="6" t="s">
        <v>269</v>
      </c>
      <c r="I6" s="6" t="s">
        <v>270</v>
      </c>
      <c r="J6" s="149" t="s">
        <v>299</v>
      </c>
    </row>
    <row r="7" ht="24" customHeight="1" spans="2:11">
      <c r="B7" s="4">
        <v>5</v>
      </c>
      <c r="C7" s="23">
        <v>34</v>
      </c>
      <c r="D7" s="23">
        <v>7.5</v>
      </c>
      <c r="E7" s="23">
        <f>AVERAGEIF('【3-2】大区&amp;运营中心填-房间模型价'!J:J,"开间",'【3-2】大区&amp;运营中心填-房间模型价'!AM:AM)</f>
        <v>1298.55172413793</v>
      </c>
      <c r="F7" s="23">
        <f>AVERAGEIF('【3-2】大区&amp;运营中心填-房间模型价'!J:J,"一居室",'【3-2】大区&amp;运营中心填-房间模型价'!AM:AM)</f>
        <v>1400</v>
      </c>
      <c r="G7" s="23">
        <v>1681.05882352941</v>
      </c>
      <c r="H7" s="150">
        <v>135.73</v>
      </c>
      <c r="I7" s="150">
        <v>662</v>
      </c>
      <c r="J7" s="23">
        <f>SUMIF('【3-2】大区&amp;运营中心填-房间模型价'!A:A,C2,'【3-2】大区&amp;运营中心填-房间模型价'!AL:AL)/C7</f>
        <v>0</v>
      </c>
    </row>
    <row r="8" ht="25.95" customHeight="1" spans="2:11">
      <c r="B8" s="2"/>
      <c r="C8" s="2"/>
      <c r="D8" s="2"/>
      <c r="E8" s="2"/>
      <c r="F8" s="2"/>
      <c r="G8" s="2"/>
      <c r="H8" s="2"/>
      <c r="I8" s="2"/>
    </row>
    <row r="9" s="2" customFormat="1" ht="24" customHeight="1" spans="2:11">
      <c r="B9" s="4"/>
      <c r="C9" s="151" t="s">
        <v>307</v>
      </c>
      <c r="D9" s="151" t="s">
        <v>308</v>
      </c>
      <c r="E9" s="152" t="s">
        <v>309</v>
      </c>
      <c r="F9" s="153" t="s">
        <v>279</v>
      </c>
      <c r="G9" s="153" t="s">
        <v>280</v>
      </c>
      <c r="H9" s="153" t="s">
        <v>281</v>
      </c>
    </row>
    <row r="10" ht="28.95" customHeight="1" spans="2:11">
      <c r="B10" s="4" t="s">
        <v>310</v>
      </c>
      <c r="C10" s="154">
        <v>45</v>
      </c>
      <c r="D10" s="154">
        <v>55</v>
      </c>
      <c r="E10" s="155">
        <f>(C10+21)/0.96</f>
        <v>68.75</v>
      </c>
      <c r="F10" s="155">
        <f>SUMIF('【3-2】大区&amp;运营中心填-房间模型价'!A:A,C2,'【3-2】大区&amp;运营中心填-房间模型价'!AM:AM)/I7</f>
        <v>0</v>
      </c>
      <c r="G10" s="156">
        <f>F10/C10</f>
        <v>0</v>
      </c>
      <c r="H10" s="157">
        <f>F10/E10</f>
        <v>0</v>
      </c>
      <c r="K10" s="2"/>
    </row>
    <row r="11" ht="18" customHeight="1" spans="2:11">
      <c r="B11" s="158" t="s">
        <v>30</v>
      </c>
      <c r="C11" s="158" t="s">
        <v>311</v>
      </c>
      <c r="D11" s="158"/>
    </row>
    <row r="12" ht="19.2" customHeight="1" spans="2:11">
      <c r="B12" s="159" t="s">
        <v>289</v>
      </c>
      <c r="C12" s="160" t="s">
        <v>312</v>
      </c>
      <c r="D12" s="161"/>
      <c r="E12" s="161"/>
      <c r="F12" s="162"/>
      <c r="G12" s="159" t="s">
        <v>313</v>
      </c>
      <c r="H12" s="4" t="s">
        <v>314</v>
      </c>
      <c r="I12" s="2"/>
      <c r="J12"/>
    </row>
    <row r="13" ht="21" customHeight="1" spans="2:11">
      <c r="B13" s="4" t="s">
        <v>254</v>
      </c>
      <c r="C13" s="4" t="s">
        <v>315</v>
      </c>
      <c r="D13" s="4" t="s">
        <v>316</v>
      </c>
      <c r="E13" s="4" t="s">
        <v>317</v>
      </c>
      <c r="F13" s="4" t="s">
        <v>318</v>
      </c>
      <c r="G13" s="4">
        <v>1533</v>
      </c>
      <c r="H13" s="156">
        <f>E7/G13</f>
        <v>0.847065703938637</v>
      </c>
      <c r="I13" s="2"/>
      <c r="J13"/>
    </row>
    <row r="14" ht="15.6" spans="2:11">
      <c r="B14" s="4" t="s">
        <v>254</v>
      </c>
      <c r="C14" s="4" t="s">
        <v>319</v>
      </c>
      <c r="D14" s="4" t="s">
        <v>316</v>
      </c>
      <c r="E14" s="4" t="s">
        <v>317</v>
      </c>
      <c r="F14" s="4" t="s">
        <v>318</v>
      </c>
      <c r="G14" s="4">
        <v>1619</v>
      </c>
      <c r="H14" s="156">
        <f>E7/G14</f>
        <v>0.802070243445294</v>
      </c>
      <c r="I14" s="2"/>
      <c r="J14"/>
    </row>
    <row r="15" ht="19.95" customHeight="1" spans="2:11">
      <c r="B15" s="163" t="s">
        <v>254</v>
      </c>
      <c r="C15" s="163" t="s">
        <v>320</v>
      </c>
      <c r="D15" s="163" t="s">
        <v>316</v>
      </c>
      <c r="E15" s="163" t="s">
        <v>317</v>
      </c>
      <c r="F15" s="163" t="s">
        <v>318</v>
      </c>
      <c r="G15" s="163">
        <v>2202</v>
      </c>
      <c r="H15" s="156">
        <f>F7/G15</f>
        <v>0.635785649409628</v>
      </c>
      <c r="I15" s="2"/>
      <c r="J15"/>
    </row>
    <row r="21" ht="15.6" spans="3:5">
      <c r="C21" s="71" t="s">
        <v>321</v>
      </c>
      <c r="D21" s="163" t="s">
        <v>322</v>
      </c>
      <c r="E21" s="30"/>
    </row>
    <row r="22" ht="15.6" spans="3:5">
      <c r="C22" s="74"/>
      <c r="D22" s="163" t="s">
        <v>323</v>
      </c>
      <c r="E22" s="30"/>
    </row>
    <row r="23" ht="15.6" spans="3:5">
      <c r="C23" s="163"/>
      <c r="D23" s="163"/>
      <c r="E23" s="30"/>
    </row>
    <row r="24" ht="15.6" spans="3:5">
      <c r="C24" s="163"/>
      <c r="D24" s="163"/>
      <c r="E24" s="30"/>
    </row>
    <row r="25" ht="15.6" spans="3:5">
      <c r="C25" s="163"/>
      <c r="D25" s="163"/>
      <c r="E25" s="30"/>
    </row>
    <row r="26" ht="15.6" spans="3:5">
      <c r="C26" s="163"/>
      <c r="D26" s="163"/>
      <c r="E26" s="30"/>
    </row>
    <row r="27" ht="15.6" spans="3:5">
      <c r="C27" s="164"/>
      <c r="D27" s="164"/>
    </row>
    <row r="28" ht="15.6" spans="3:5">
      <c r="C28" s="164"/>
      <c r="D28" s="164"/>
    </row>
    <row r="29" ht="15.6" spans="3:5">
      <c r="C29" s="164"/>
      <c r="D29" s="164"/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A70" sqref="A70"/>
    </sheetView>
  </sheetViews>
  <sheetFormatPr defaultColWidth="9" defaultRowHeight="13.8"/>
  <cols>
    <col min="1" max="1" width="21.1111111111111" customWidth="1"/>
    <col min="2" max="2" width="9.66666666666667" customWidth="1"/>
    <col min="3" max="3" width="9" style="135" customWidth="1"/>
    <col min="4" max="4" width="8.44444444444444" customWidth="1"/>
    <col min="5" max="5" width="9" customWidth="1"/>
    <col min="6" max="9" width="7.66666666666667" customWidth="1"/>
    <col min="10" max="11" width="4.44444444444444" customWidth="1"/>
    <col min="12" max="12" width="7.33333333333333" customWidth="1"/>
    <col min="13" max="13" width="6.11111111111111" customWidth="1"/>
    <col min="14" max="15" width="7.66666666666667" customWidth="1"/>
    <col min="16" max="17" width="4.44444444444444" customWidth="1"/>
    <col min="18" max="18" width="7.66666666666667" customWidth="1"/>
    <col min="19" max="21" width="4.44444444444444" customWidth="1"/>
  </cols>
  <sheetData>
    <row r="1" s="134" customFormat="1" spans="1:21">
      <c r="A1" s="134" t="s">
        <v>289</v>
      </c>
      <c r="B1" s="134" t="s">
        <v>324</v>
      </c>
      <c r="C1" s="136" t="s">
        <v>325</v>
      </c>
    </row>
    <row r="2" spans="1:21">
      <c r="A2" t="s">
        <v>326</v>
      </c>
      <c r="B2" t="s">
        <v>327</v>
      </c>
      <c r="C2" s="137">
        <v>46.3</v>
      </c>
    </row>
    <row r="3" spans="1:21">
      <c r="A3" t="s">
        <v>328</v>
      </c>
      <c r="B3" t="s">
        <v>329</v>
      </c>
      <c r="C3" s="137">
        <v>18.9</v>
      </c>
    </row>
    <row r="4" spans="1:21">
      <c r="A4" t="s">
        <v>330</v>
      </c>
      <c r="B4" t="s">
        <v>331</v>
      </c>
      <c r="C4" s="135">
        <v>2500</v>
      </c>
    </row>
    <row r="5" spans="1:21">
      <c r="A5" t="s">
        <v>332</v>
      </c>
      <c r="B5" t="s">
        <v>333</v>
      </c>
      <c r="C5" s="135">
        <v>10</v>
      </c>
    </row>
    <row r="6" spans="1:21">
      <c r="A6" t="s">
        <v>334</v>
      </c>
      <c r="B6" t="s">
        <v>335</v>
      </c>
      <c r="C6" s="138">
        <v>0.98</v>
      </c>
    </row>
    <row r="7" spans="1:21">
      <c r="A7" t="s">
        <v>336</v>
      </c>
      <c r="B7" t="s">
        <v>337</v>
      </c>
      <c r="C7" s="135">
        <f>(C2*C3+C4*C3/C5/12)/C6</f>
        <v>1294.71428571429</v>
      </c>
    </row>
    <row r="8" spans="1:21">
      <c r="A8" t="s">
        <v>338</v>
      </c>
      <c r="B8" t="s">
        <v>335</v>
      </c>
      <c r="C8" s="138">
        <v>1</v>
      </c>
    </row>
    <row r="9" spans="1:21">
      <c r="A9" t="s">
        <v>339</v>
      </c>
      <c r="B9" t="s">
        <v>337</v>
      </c>
      <c r="C9" s="139"/>
    </row>
    <row r="10" spans="1:21">
      <c r="A10" t="s">
        <v>340</v>
      </c>
      <c r="B10" t="s">
        <v>335</v>
      </c>
      <c r="C10" s="135">
        <f>1-C8</f>
        <v>0</v>
      </c>
    </row>
    <row r="11" s="134" customFormat="1" spans="1:21">
      <c r="A11" s="134" t="s">
        <v>31</v>
      </c>
      <c r="B11" t="s">
        <v>337</v>
      </c>
      <c r="C11" s="136">
        <f>C7*C8+C9*C10</f>
        <v>1294.71428571429</v>
      </c>
    </row>
    <row r="12" ht="45" spans="1:21">
      <c r="C12" s="135" t="s">
        <v>37</v>
      </c>
      <c r="D12" t="s">
        <v>266</v>
      </c>
      <c r="F12" s="140" t="s">
        <v>341</v>
      </c>
      <c r="G12" s="141" t="s">
        <v>342</v>
      </c>
      <c r="H12" s="141" t="s">
        <v>148</v>
      </c>
      <c r="I12" s="141" t="s">
        <v>343</v>
      </c>
      <c r="J12" s="141" t="s">
        <v>344</v>
      </c>
      <c r="K12" s="141" t="s">
        <v>167</v>
      </c>
      <c r="L12" s="141" t="s">
        <v>345</v>
      </c>
      <c r="M12" s="141" t="s">
        <v>346</v>
      </c>
      <c r="N12" s="141" t="s">
        <v>347</v>
      </c>
      <c r="O12" s="141" t="s">
        <v>57</v>
      </c>
      <c r="P12" s="141" t="s">
        <v>348</v>
      </c>
      <c r="Q12" s="141" t="s">
        <v>67</v>
      </c>
      <c r="R12" s="141" t="s">
        <v>68</v>
      </c>
      <c r="S12" s="141" t="s">
        <v>349</v>
      </c>
      <c r="T12" s="141" t="s">
        <v>119</v>
      </c>
      <c r="U12" s="141" t="s">
        <v>154</v>
      </c>
    </row>
    <row r="13" ht="26.4" spans="1:21">
      <c r="A13" s="85" t="s">
        <v>350</v>
      </c>
      <c r="B13" t="s">
        <v>351</v>
      </c>
      <c r="C13" s="135">
        <v>1325</v>
      </c>
      <c r="D13" s="142">
        <f>C13/1</f>
        <v>1325</v>
      </c>
      <c r="E13" s="143"/>
      <c r="F13" s="102" t="s">
        <v>27</v>
      </c>
      <c r="G13" s="100" t="s">
        <v>152</v>
      </c>
      <c r="H13" s="100" t="s">
        <v>149</v>
      </c>
      <c r="I13" s="100" t="s">
        <v>352</v>
      </c>
      <c r="J13" s="100" t="s">
        <v>54</v>
      </c>
      <c r="K13" s="100" t="s">
        <v>54</v>
      </c>
      <c r="L13" s="100" t="s">
        <v>54</v>
      </c>
      <c r="M13" s="100" t="s">
        <v>353</v>
      </c>
      <c r="N13" s="100" t="s">
        <v>63</v>
      </c>
      <c r="O13" s="100" t="s">
        <v>63</v>
      </c>
      <c r="P13" s="101" t="s">
        <v>63</v>
      </c>
      <c r="Q13" s="100" t="s">
        <v>54</v>
      </c>
      <c r="R13" s="100" t="s">
        <v>354</v>
      </c>
      <c r="S13" s="100" t="s">
        <v>63</v>
      </c>
      <c r="T13" s="100" t="s">
        <v>63</v>
      </c>
      <c r="U13" s="100" t="s">
        <v>63</v>
      </c>
    </row>
    <row r="14" spans="1:21">
      <c r="A14" s="85" t="s">
        <v>355</v>
      </c>
      <c r="B14" t="s">
        <v>351</v>
      </c>
      <c r="C14" s="135">
        <v>1200</v>
      </c>
      <c r="D14" s="142">
        <f t="shared" ref="D14" si="0">C14/1</f>
        <v>1200</v>
      </c>
      <c r="F14" s="144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</row>
    <row r="15" spans="1:21">
      <c r="A15" s="85" t="s">
        <v>356</v>
      </c>
      <c r="B15" t="s">
        <v>351</v>
      </c>
      <c r="C15" s="139">
        <v>1850</v>
      </c>
      <c r="D15" s="142">
        <f>C15/1.5</f>
        <v>1233.33333333333</v>
      </c>
    </row>
    <row r="16" spans="1:21">
      <c r="A16" s="85" t="s">
        <v>357</v>
      </c>
      <c r="B16" t="s">
        <v>351</v>
      </c>
      <c r="C16" s="139">
        <v>1650</v>
      </c>
      <c r="D16" s="142">
        <f>C16/1.5</f>
        <v>1100</v>
      </c>
      <c r="E16" s="143"/>
    </row>
    <row r="17" spans="1:4">
      <c r="A17" s="85" t="s">
        <v>358</v>
      </c>
      <c r="B17" t="s">
        <v>351</v>
      </c>
      <c r="D17" s="142">
        <f t="shared" ref="D17" si="1">C17/1.5</f>
        <v>0</v>
      </c>
    </row>
    <row r="18" spans="1:4">
      <c r="A18" s="85" t="s">
        <v>359</v>
      </c>
      <c r="B18" t="s">
        <v>351</v>
      </c>
      <c r="D18" s="142">
        <f>C18/2</f>
        <v>0</v>
      </c>
    </row>
    <row r="19" spans="1:4">
      <c r="A19" s="85" t="s">
        <v>360</v>
      </c>
      <c r="B19" t="s">
        <v>351</v>
      </c>
      <c r="D19" s="142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4444444444444" defaultRowHeight="13.2"/>
  <cols>
    <col min="1" max="1" width="11.6666666666667" style="87" customWidth="1"/>
    <col min="2" max="2" width="19" style="87" customWidth="1"/>
    <col min="3" max="3" width="19" style="88" customWidth="1"/>
    <col min="4" max="4" width="7.44444444444444" style="87" customWidth="1"/>
    <col min="5" max="5" width="7.44444444444444" style="89" customWidth="1"/>
    <col min="6" max="6" width="9.44444444444444" style="87" customWidth="1"/>
    <col min="7" max="7" width="7.66666666666667" style="87" customWidth="1"/>
    <col min="8" max="8" width="9" style="87" customWidth="1"/>
    <col min="9" max="10" width="6.33333333333333" style="87" customWidth="1"/>
    <col min="11" max="11" width="7.33333333333333" style="87" customWidth="1"/>
    <col min="12" max="12" width="6.33333333333333" style="87" customWidth="1"/>
    <col min="13" max="14" width="7.66666666666667" style="87" customWidth="1"/>
    <col min="15" max="15" width="7" style="87" customWidth="1"/>
    <col min="16" max="16" width="6.33333333333333" style="87" customWidth="1"/>
    <col min="17" max="17" width="7.66666666666667" style="87" customWidth="1"/>
    <col min="18" max="18" width="8.44444444444444" style="87" customWidth="1"/>
    <col min="19" max="19" width="7" style="87" customWidth="1"/>
    <col min="20" max="20" width="6.44444444444444" style="87" customWidth="1"/>
    <col min="21" max="22" width="8.44444444444444" style="87"/>
    <col min="23" max="23" width="13.1111111111111" style="87" customWidth="1"/>
    <col min="24" max="24" width="19.1111111111111" style="87" customWidth="1"/>
    <col min="25" max="25" width="12.1111111111111" style="87" customWidth="1"/>
    <col min="26" max="26" width="15.6666666666667" style="87" customWidth="1"/>
    <col min="27" max="16384" width="8.44444444444444" style="87"/>
  </cols>
  <sheetData>
    <row r="1" ht="16.35" spans="2:21">
      <c r="F1" s="90" t="s">
        <v>361</v>
      </c>
      <c r="G1" s="90"/>
      <c r="H1" s="90"/>
      <c r="I1" s="90"/>
      <c r="J1" s="90"/>
      <c r="K1" s="90"/>
      <c r="L1" s="90"/>
      <c r="M1" s="90"/>
      <c r="N1" s="90" t="s">
        <v>362</v>
      </c>
      <c r="O1" s="90"/>
      <c r="P1" s="90"/>
      <c r="Q1" s="90"/>
      <c r="R1" s="90"/>
      <c r="S1" s="90"/>
      <c r="T1" s="90"/>
    </row>
    <row r="2" ht="36" spans="2:21">
      <c r="B2" s="91"/>
      <c r="C2" s="92"/>
      <c r="D2" s="93"/>
      <c r="E2" s="94" t="e">
        <f>MEDIAN(E8:E54)</f>
        <v>#REF!</v>
      </c>
      <c r="F2" s="95" t="s">
        <v>342</v>
      </c>
      <c r="G2" s="95" t="s">
        <v>148</v>
      </c>
      <c r="H2" s="95" t="s">
        <v>343</v>
      </c>
      <c r="I2" s="95" t="s">
        <v>344</v>
      </c>
      <c r="J2" s="95" t="s">
        <v>167</v>
      </c>
      <c r="K2" s="95" t="s">
        <v>363</v>
      </c>
      <c r="L2" s="95" t="s">
        <v>346</v>
      </c>
      <c r="M2" s="95" t="s">
        <v>347</v>
      </c>
      <c r="N2" s="96" t="s">
        <v>57</v>
      </c>
      <c r="O2" s="96" t="s">
        <v>348</v>
      </c>
      <c r="P2" s="96" t="s">
        <v>67</v>
      </c>
      <c r="Q2" s="96" t="s">
        <v>68</v>
      </c>
      <c r="R2" s="96" t="s">
        <v>349</v>
      </c>
      <c r="S2" s="96" t="s">
        <v>119</v>
      </c>
      <c r="T2" s="96" t="s">
        <v>154</v>
      </c>
    </row>
    <row r="3" spans="2:21">
      <c r="B3" s="97" t="s">
        <v>364</v>
      </c>
      <c r="C3" s="98"/>
      <c r="D3" s="97"/>
      <c r="E3" s="99"/>
      <c r="F3" s="100" t="s">
        <v>152</v>
      </c>
      <c r="G3" s="100" t="s">
        <v>149</v>
      </c>
      <c r="H3" s="100" t="s">
        <v>352</v>
      </c>
      <c r="I3" s="100" t="s">
        <v>54</v>
      </c>
      <c r="J3" s="100" t="s">
        <v>54</v>
      </c>
      <c r="K3" s="100" t="s">
        <v>54</v>
      </c>
      <c r="L3" s="100" t="s">
        <v>353</v>
      </c>
      <c r="M3" s="100" t="s">
        <v>63</v>
      </c>
      <c r="N3" s="100" t="s">
        <v>63</v>
      </c>
      <c r="O3" s="101" t="s">
        <v>63</v>
      </c>
      <c r="P3" s="100" t="s">
        <v>54</v>
      </c>
      <c r="Q3" s="100" t="s">
        <v>354</v>
      </c>
      <c r="R3" s="100" t="s">
        <v>63</v>
      </c>
      <c r="S3" s="100" t="s">
        <v>63</v>
      </c>
      <c r="T3" s="100" t="s">
        <v>63</v>
      </c>
    </row>
    <row r="4" spans="2:21">
      <c r="B4" s="102" t="s">
        <v>365</v>
      </c>
      <c r="C4" s="103"/>
      <c r="D4" s="102"/>
      <c r="E4" s="104"/>
      <c r="F4" s="100" t="s">
        <v>151</v>
      </c>
      <c r="G4" s="100" t="s">
        <v>149</v>
      </c>
      <c r="H4" s="100" t="s">
        <v>352</v>
      </c>
      <c r="I4" s="100" t="s">
        <v>54</v>
      </c>
      <c r="J4" s="100" t="s">
        <v>54</v>
      </c>
      <c r="K4" s="100" t="s">
        <v>54</v>
      </c>
      <c r="L4" s="100" t="s">
        <v>353</v>
      </c>
      <c r="M4" s="100" t="s">
        <v>366</v>
      </c>
      <c r="N4" s="100" t="s">
        <v>367</v>
      </c>
      <c r="O4" s="100" t="s">
        <v>63</v>
      </c>
      <c r="P4" s="100" t="s">
        <v>164</v>
      </c>
      <c r="Q4" s="100" t="s">
        <v>354</v>
      </c>
      <c r="R4" s="100" t="s">
        <v>134</v>
      </c>
      <c r="S4" s="101" t="s">
        <v>155</v>
      </c>
      <c r="T4" s="100" t="s">
        <v>366</v>
      </c>
    </row>
    <row r="5" s="85" customFormat="1" ht="26.4" spans="2:21">
      <c r="B5" s="102" t="s">
        <v>368</v>
      </c>
      <c r="C5" s="103"/>
      <c r="D5" s="102"/>
      <c r="E5" s="104" t="s">
        <v>369</v>
      </c>
      <c r="F5" s="100" t="s">
        <v>152</v>
      </c>
      <c r="G5" s="100" t="s">
        <v>151</v>
      </c>
      <c r="H5" s="100" t="s">
        <v>370</v>
      </c>
      <c r="I5" s="100" t="s">
        <v>165</v>
      </c>
      <c r="J5" s="100" t="s">
        <v>165</v>
      </c>
      <c r="K5" s="100" t="s">
        <v>51</v>
      </c>
      <c r="L5" s="100" t="s">
        <v>371</v>
      </c>
      <c r="M5" s="100" t="s">
        <v>63</v>
      </c>
      <c r="N5" s="100" t="s">
        <v>63</v>
      </c>
      <c r="O5" s="101" t="s">
        <v>160</v>
      </c>
      <c r="P5" s="100" t="s">
        <v>54</v>
      </c>
      <c r="Q5" s="100" t="s">
        <v>372</v>
      </c>
      <c r="R5" s="100" t="s">
        <v>63</v>
      </c>
      <c r="S5" s="100" t="s">
        <v>63</v>
      </c>
      <c r="T5" s="100" t="s">
        <v>63</v>
      </c>
    </row>
    <row r="6" s="85" customFormat="1" spans="2:21">
      <c r="B6" s="105"/>
      <c r="C6" s="106"/>
      <c r="D6" s="105"/>
      <c r="E6" s="107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</row>
    <row r="7" s="85" customFormat="1" spans="2:21">
      <c r="B7" s="105" t="s">
        <v>373</v>
      </c>
      <c r="C7" s="106" t="s">
        <v>374</v>
      </c>
      <c r="D7" s="109">
        <v>1419</v>
      </c>
      <c r="E7" s="107"/>
      <c r="F7" s="100" t="s">
        <v>152</v>
      </c>
      <c r="G7" s="100" t="s">
        <v>149</v>
      </c>
      <c r="H7" s="100" t="s">
        <v>352</v>
      </c>
      <c r="I7" s="100" t="s">
        <v>54</v>
      </c>
      <c r="J7" s="100" t="s">
        <v>54</v>
      </c>
      <c r="K7" s="100" t="s">
        <v>54</v>
      </c>
      <c r="L7" s="100" t="s">
        <v>353</v>
      </c>
      <c r="M7" s="100" t="s">
        <v>63</v>
      </c>
      <c r="N7" s="100" t="s">
        <v>367</v>
      </c>
      <c r="O7" s="101" t="s">
        <v>63</v>
      </c>
      <c r="P7" s="100" t="s">
        <v>54</v>
      </c>
      <c r="Q7" s="100" t="s">
        <v>354</v>
      </c>
      <c r="R7" s="100" t="s">
        <v>63</v>
      </c>
      <c r="S7" s="101" t="s">
        <v>375</v>
      </c>
      <c r="T7" s="100" t="s">
        <v>63</v>
      </c>
    </row>
    <row r="8" s="86" customFormat="1" spans="2:21">
      <c r="B8" s="110"/>
      <c r="C8" s="106" t="s">
        <v>376</v>
      </c>
      <c r="D8" s="109" t="e">
        <f>项目基准价!C13*PRODUCT(赋权表!F8:T8)</f>
        <v>#REF!</v>
      </c>
      <c r="E8" s="107" t="e">
        <f>D7/D8-1</f>
        <v>#REF!</v>
      </c>
      <c r="F8" s="111" t="e">
        <f>【1】定价因子!#REF!</f>
        <v>#REF!</v>
      </c>
      <c r="G8" s="111">
        <f>【1】定价因子!F60</f>
        <v>1</v>
      </c>
      <c r="H8" s="111">
        <f>【1】定价因子!F6</f>
        <v>0.96</v>
      </c>
      <c r="I8" s="111">
        <f>【1】定价因子!F68</f>
        <v>1</v>
      </c>
      <c r="J8" s="111">
        <f>【1】定价因子!F72</f>
        <v>1</v>
      </c>
      <c r="K8" s="111">
        <f>【1】定价因子!F8</f>
        <v>1</v>
      </c>
      <c r="L8" s="111" t="e">
        <f>【1】定价因子!#REF!</f>
        <v>#REF!</v>
      </c>
      <c r="M8" s="111" t="e">
        <f>【1】定价因子!#REF!</f>
        <v>#REF!</v>
      </c>
      <c r="N8" s="111">
        <f>【1】定价因子!F10</f>
        <v>1.06</v>
      </c>
      <c r="O8" s="111" t="e">
        <f>【1】定价因子!#REF!</f>
        <v>#REF!</v>
      </c>
      <c r="P8" s="111" t="e">
        <f>【1】定价因子!#REF!</f>
        <v>#REF!</v>
      </c>
      <c r="Q8" s="111">
        <f>【1】定价因子!F20</f>
        <v>1</v>
      </c>
      <c r="R8" s="111">
        <f>【1】定价因子!F38</f>
        <v>1</v>
      </c>
      <c r="S8" s="111">
        <f>【1】定价因子!F44</f>
        <v>1</v>
      </c>
      <c r="T8" s="111">
        <f>【1】定价因子!F66</f>
        <v>1</v>
      </c>
    </row>
    <row r="9" s="85" customFormat="1" ht="26.4" spans="2:21">
      <c r="B9" s="105" t="s">
        <v>377</v>
      </c>
      <c r="C9" s="106" t="s">
        <v>374</v>
      </c>
      <c r="D9" s="109">
        <v>1469</v>
      </c>
      <c r="E9" s="107"/>
      <c r="F9" s="108" t="s">
        <v>153</v>
      </c>
      <c r="G9" s="100" t="s">
        <v>149</v>
      </c>
      <c r="H9" s="100" t="s">
        <v>370</v>
      </c>
      <c r="I9" s="100" t="s">
        <v>54</v>
      </c>
      <c r="J9" s="100" t="s">
        <v>54</v>
      </c>
      <c r="K9" s="100" t="s">
        <v>54</v>
      </c>
      <c r="L9" s="100" t="s">
        <v>353</v>
      </c>
      <c r="M9" s="100" t="s">
        <v>63</v>
      </c>
      <c r="N9" s="100" t="s">
        <v>367</v>
      </c>
      <c r="O9" s="101" t="s">
        <v>63</v>
      </c>
      <c r="P9" s="100" t="s">
        <v>54</v>
      </c>
      <c r="Q9" s="100" t="s">
        <v>378</v>
      </c>
      <c r="R9" s="100" t="s">
        <v>134</v>
      </c>
      <c r="S9" s="101" t="s">
        <v>379</v>
      </c>
      <c r="T9" s="101" t="s">
        <v>366</v>
      </c>
    </row>
    <row r="10" s="86" customFormat="1" spans="2:21">
      <c r="B10" s="110"/>
      <c r="C10" s="106" t="s">
        <v>376</v>
      </c>
      <c r="D10" s="109" t="e">
        <f>项目基准价!C13*PRODUCT(赋权表!F10:T10)</f>
        <v>#REF!</v>
      </c>
      <c r="E10" s="107" t="e">
        <f>D9/D10-1</f>
        <v>#REF!</v>
      </c>
      <c r="F10" s="111" t="e">
        <f>【1】定价因子!#REF!</f>
        <v>#REF!</v>
      </c>
      <c r="G10" s="111">
        <f>【1】定价因子!F60</f>
        <v>1</v>
      </c>
      <c r="H10" s="111" t="e">
        <f>【1】定价因子!#REF!</f>
        <v>#REF!</v>
      </c>
      <c r="I10" s="111">
        <f>I8</f>
        <v>1</v>
      </c>
      <c r="J10" s="111">
        <f t="shared" ref="J10:P10" si="0">J8</f>
        <v>1</v>
      </c>
      <c r="K10" s="111">
        <f t="shared" si="0"/>
        <v>1</v>
      </c>
      <c r="L10" s="111" t="e">
        <f t="shared" si="0"/>
        <v>#REF!</v>
      </c>
      <c r="M10" s="111" t="e">
        <f t="shared" si="0"/>
        <v>#REF!</v>
      </c>
      <c r="N10" s="111">
        <f t="shared" si="0"/>
        <v>1.06</v>
      </c>
      <c r="O10" s="111" t="e">
        <f t="shared" si="0"/>
        <v>#REF!</v>
      </c>
      <c r="P10" s="111" t="e">
        <f t="shared" si="0"/>
        <v>#REF!</v>
      </c>
      <c r="Q10" s="111">
        <f>【1】定价因子!F19</f>
        <v>1.01</v>
      </c>
      <c r="R10" s="111">
        <f>【1】定价因子!F39</f>
        <v>1.04</v>
      </c>
      <c r="S10" s="111">
        <f>【1】定价因子!F42</f>
        <v>1.06</v>
      </c>
      <c r="T10" s="111">
        <f>【1】定价因子!F64</f>
        <v>1.045</v>
      </c>
    </row>
    <row r="11" s="86" customFormat="1" ht="13.8" spans="2:21">
      <c r="B11" s="110" t="s">
        <v>380</v>
      </c>
      <c r="C11" s="106" t="s">
        <v>374</v>
      </c>
      <c r="D11" s="109">
        <v>1470</v>
      </c>
      <c r="E11" s="107"/>
      <c r="F11" s="100" t="s">
        <v>152</v>
      </c>
      <c r="G11" s="100" t="s">
        <v>149</v>
      </c>
      <c r="H11" s="112" t="s">
        <v>381</v>
      </c>
      <c r="I11" s="100" t="s">
        <v>54</v>
      </c>
      <c r="J11" s="100" t="s">
        <v>54</v>
      </c>
      <c r="K11" s="112" t="s">
        <v>51</v>
      </c>
      <c r="L11" s="100" t="s">
        <v>371</v>
      </c>
      <c r="M11" s="100" t="s">
        <v>63</v>
      </c>
      <c r="N11" s="101" t="s">
        <v>63</v>
      </c>
      <c r="O11" s="101" t="s">
        <v>63</v>
      </c>
      <c r="P11" s="100" t="s">
        <v>164</v>
      </c>
      <c r="Q11" s="113" t="s">
        <v>382</v>
      </c>
      <c r="R11" s="100" t="s">
        <v>63</v>
      </c>
      <c r="S11" s="114" t="s">
        <v>379</v>
      </c>
      <c r="T11" s="115" t="s">
        <v>63</v>
      </c>
    </row>
    <row r="12" s="86" customFormat="1" ht="13.8" spans="2:21">
      <c r="B12" s="110"/>
      <c r="C12" s="106" t="s">
        <v>376</v>
      </c>
      <c r="D12" s="109" t="e">
        <f>项目基准价!$C$13*PRODUCT(赋权表!F12:T12)</f>
        <v>#REF!</v>
      </c>
      <c r="E12" s="107" t="e">
        <f>D11/D12-1</f>
        <v>#REF!</v>
      </c>
      <c r="F12" s="116" t="e">
        <f>F8</f>
        <v>#REF!</v>
      </c>
      <c r="G12" s="116">
        <f>G8</f>
        <v>1</v>
      </c>
      <c r="H12" s="117">
        <f>【1】定价因子!F2</f>
        <v>1.04</v>
      </c>
      <c r="I12" s="116">
        <f>I8</f>
        <v>1</v>
      </c>
      <c r="J12" s="116">
        <f>J8</f>
        <v>1</v>
      </c>
      <c r="K12" s="117">
        <f>【1】定价因子!F7</f>
        <v>1.05</v>
      </c>
      <c r="L12" s="108" t="e">
        <f>【1】定价因子!#REF!</f>
        <v>#REF!</v>
      </c>
      <c r="M12" s="116" t="e">
        <f>M8</f>
        <v>#REF!</v>
      </c>
      <c r="N12" s="116">
        <v>1</v>
      </c>
      <c r="O12" s="118" t="e">
        <f>O8</f>
        <v>#REF!</v>
      </c>
      <c r="P12" s="108" t="e">
        <f>【1】定价因子!#REF!</f>
        <v>#REF!</v>
      </c>
      <c r="Q12" s="111">
        <f>【1】定价因子!F32</f>
        <v>1.03</v>
      </c>
      <c r="R12" s="116">
        <f>R8</f>
        <v>1</v>
      </c>
      <c r="S12" s="117">
        <f>【1】定价因子!F42</f>
        <v>1.06</v>
      </c>
      <c r="T12" s="119">
        <f>T8</f>
        <v>1</v>
      </c>
    </row>
    <row r="13" s="85" customFormat="1" spans="2:21">
      <c r="B13" s="105" t="s">
        <v>383</v>
      </c>
      <c r="C13" s="106" t="s">
        <v>374</v>
      </c>
      <c r="D13" s="109">
        <v>1509</v>
      </c>
      <c r="E13" s="107"/>
      <c r="F13" s="100" t="s">
        <v>152</v>
      </c>
      <c r="G13" s="100" t="s">
        <v>149</v>
      </c>
      <c r="H13" s="100" t="s">
        <v>352</v>
      </c>
      <c r="I13" s="100" t="s">
        <v>54</v>
      </c>
      <c r="J13" s="100" t="s">
        <v>54</v>
      </c>
      <c r="K13" s="100" t="s">
        <v>54</v>
      </c>
      <c r="L13" s="100" t="s">
        <v>371</v>
      </c>
      <c r="M13" s="100" t="s">
        <v>63</v>
      </c>
      <c r="N13" s="108" t="s">
        <v>58</v>
      </c>
      <c r="O13" s="101" t="s">
        <v>63</v>
      </c>
      <c r="P13" s="100" t="s">
        <v>54</v>
      </c>
      <c r="Q13" s="100" t="s">
        <v>354</v>
      </c>
      <c r="R13" s="100" t="s">
        <v>134</v>
      </c>
      <c r="S13" s="101" t="s">
        <v>379</v>
      </c>
      <c r="T13" s="100" t="s">
        <v>63</v>
      </c>
      <c r="U13" s="85">
        <f>70/1300</f>
        <v>0.0538461538461538</v>
      </c>
    </row>
    <row r="14" s="85" customFormat="1" spans="2:21">
      <c r="B14" s="105"/>
      <c r="C14" s="106" t="s">
        <v>376</v>
      </c>
      <c r="D14" s="109" t="e">
        <f>项目基准价!$C$13*PRODUCT(赋权表!F14:T14)</f>
        <v>#REF!</v>
      </c>
      <c r="E14" s="107" t="e">
        <f>D13/D14-1</f>
        <v>#REF!</v>
      </c>
      <c r="F14" s="116" t="e">
        <f t="shared" ref="F14:K14" si="1">F8</f>
        <v>#REF!</v>
      </c>
      <c r="G14" s="116">
        <f t="shared" si="1"/>
        <v>1</v>
      </c>
      <c r="H14" s="116">
        <f t="shared" si="1"/>
        <v>0.96</v>
      </c>
      <c r="I14" s="116">
        <f t="shared" si="1"/>
        <v>1</v>
      </c>
      <c r="J14" s="116">
        <f t="shared" si="1"/>
        <v>1</v>
      </c>
      <c r="K14" s="116">
        <f t="shared" si="1"/>
        <v>1</v>
      </c>
      <c r="L14" s="108" t="e">
        <f>L12</f>
        <v>#REF!</v>
      </c>
      <c r="M14" s="116" t="e">
        <f>M8</f>
        <v>#REF!</v>
      </c>
      <c r="N14" s="108">
        <f>【1】定价因子!F9</f>
        <v>1.1</v>
      </c>
      <c r="O14" s="116" t="e">
        <f>O8</f>
        <v>#REF!</v>
      </c>
      <c r="P14" s="116" t="e">
        <f>P8</f>
        <v>#REF!</v>
      </c>
      <c r="Q14" s="116">
        <f>Q8</f>
        <v>1</v>
      </c>
      <c r="R14" s="116">
        <f>R10</f>
        <v>1.04</v>
      </c>
      <c r="S14" s="116">
        <f>S10</f>
        <v>1.06</v>
      </c>
      <c r="T14" s="116">
        <f>T8</f>
        <v>1</v>
      </c>
    </row>
    <row r="15" s="85" customFormat="1" ht="26.4" spans="2:21">
      <c r="B15" s="105" t="s">
        <v>384</v>
      </c>
      <c r="C15" s="106" t="s">
        <v>374</v>
      </c>
      <c r="D15" s="120">
        <v>1519</v>
      </c>
      <c r="E15" s="107"/>
      <c r="F15" s="100" t="s">
        <v>152</v>
      </c>
      <c r="G15" s="100" t="s">
        <v>149</v>
      </c>
      <c r="H15" s="100" t="s">
        <v>370</v>
      </c>
      <c r="I15" s="100" t="s">
        <v>54</v>
      </c>
      <c r="J15" s="100" t="s">
        <v>54</v>
      </c>
      <c r="K15" s="100" t="s">
        <v>54</v>
      </c>
      <c r="L15" s="100" t="s">
        <v>353</v>
      </c>
      <c r="M15" s="100" t="s">
        <v>63</v>
      </c>
      <c r="N15" s="100" t="s">
        <v>367</v>
      </c>
      <c r="O15" s="100" t="s">
        <v>63</v>
      </c>
      <c r="P15" s="100" t="s">
        <v>54</v>
      </c>
      <c r="Q15" s="121" t="s">
        <v>385</v>
      </c>
      <c r="R15" s="100" t="s">
        <v>63</v>
      </c>
      <c r="S15" s="118" t="s">
        <v>386</v>
      </c>
      <c r="T15" s="100" t="s">
        <v>63</v>
      </c>
    </row>
    <row r="16" s="85" customFormat="1" spans="2:21">
      <c r="B16" s="105"/>
      <c r="C16" s="106" t="s">
        <v>376</v>
      </c>
      <c r="D16" s="109" t="e">
        <f>项目基准价!$C$15*PRODUCT(赋权表!F16:T16)</f>
        <v>#REF!</v>
      </c>
      <c r="E16" s="122" t="e">
        <f>D15/D16-1</f>
        <v>#REF!</v>
      </c>
      <c r="F16" s="116" t="e">
        <f>F14</f>
        <v>#REF!</v>
      </c>
      <c r="G16" s="116">
        <f>G14</f>
        <v>1</v>
      </c>
      <c r="H16" s="116" t="e">
        <f t="shared" ref="H16:P16" si="2">H10</f>
        <v>#REF!</v>
      </c>
      <c r="I16" s="116">
        <f t="shared" si="2"/>
        <v>1</v>
      </c>
      <c r="J16" s="116">
        <f t="shared" si="2"/>
        <v>1</v>
      </c>
      <c r="K16" s="116">
        <f t="shared" si="2"/>
        <v>1</v>
      </c>
      <c r="L16" s="116" t="e">
        <f t="shared" si="2"/>
        <v>#REF!</v>
      </c>
      <c r="M16" s="116" t="e">
        <f t="shared" si="2"/>
        <v>#REF!</v>
      </c>
      <c r="N16" s="116">
        <f t="shared" si="2"/>
        <v>1.06</v>
      </c>
      <c r="O16" s="116" t="e">
        <f t="shared" si="2"/>
        <v>#REF!</v>
      </c>
      <c r="P16" s="116" t="e">
        <f t="shared" si="2"/>
        <v>#REF!</v>
      </c>
      <c r="Q16" s="116">
        <f>【1】定价因子!F27</f>
        <v>0.87</v>
      </c>
      <c r="R16" s="116">
        <f>R8</f>
        <v>1</v>
      </c>
      <c r="S16" s="118">
        <f>【1】定价因子!F45</f>
        <v>0.96</v>
      </c>
      <c r="T16" s="116">
        <f>T8</f>
        <v>1</v>
      </c>
    </row>
    <row r="17" s="85" customFormat="1" ht="26.4" spans="1:20">
      <c r="B17" s="105" t="s">
        <v>387</v>
      </c>
      <c r="C17" s="106" t="s">
        <v>374</v>
      </c>
      <c r="D17" s="109">
        <v>1099</v>
      </c>
      <c r="E17" s="107"/>
      <c r="F17" s="100" t="s">
        <v>152</v>
      </c>
      <c r="G17" s="100" t="s">
        <v>149</v>
      </c>
      <c r="H17" s="100" t="s">
        <v>370</v>
      </c>
      <c r="I17" s="100" t="s">
        <v>54</v>
      </c>
      <c r="J17" s="100" t="s">
        <v>54</v>
      </c>
      <c r="K17" s="100" t="s">
        <v>54</v>
      </c>
      <c r="L17" s="100" t="s">
        <v>353</v>
      </c>
      <c r="M17" s="100" t="s">
        <v>63</v>
      </c>
      <c r="N17" s="116" t="s">
        <v>65</v>
      </c>
      <c r="O17" s="100" t="s">
        <v>63</v>
      </c>
      <c r="P17" s="100" t="s">
        <v>54</v>
      </c>
      <c r="Q17" s="121" t="s">
        <v>385</v>
      </c>
      <c r="R17" s="100" t="s">
        <v>63</v>
      </c>
      <c r="S17" s="118" t="s">
        <v>386</v>
      </c>
      <c r="T17" s="100" t="s">
        <v>63</v>
      </c>
    </row>
    <row r="18" s="85" customFormat="1" spans="1:20">
      <c r="B18" s="105"/>
      <c r="C18" s="106" t="s">
        <v>376</v>
      </c>
      <c r="D18" s="109" t="e">
        <f>项目基准价!$C$13*PRODUCT(赋权表!F18:T18)</f>
        <v>#REF!</v>
      </c>
      <c r="E18" s="122" t="e">
        <f>D17/D18-1</f>
        <v>#REF!</v>
      </c>
      <c r="F18" s="116" t="e">
        <f>F16</f>
        <v>#REF!</v>
      </c>
      <c r="G18" s="116">
        <f t="shared" ref="G18:M18" si="3">G16</f>
        <v>1</v>
      </c>
      <c r="H18" s="116" t="e">
        <f t="shared" si="3"/>
        <v>#REF!</v>
      </c>
      <c r="I18" s="116">
        <f t="shared" si="3"/>
        <v>1</v>
      </c>
      <c r="J18" s="116">
        <f t="shared" si="3"/>
        <v>1</v>
      </c>
      <c r="K18" s="116">
        <f t="shared" si="3"/>
        <v>1</v>
      </c>
      <c r="L18" s="116" t="e">
        <f t="shared" si="3"/>
        <v>#REF!</v>
      </c>
      <c r="M18" s="116" t="e">
        <f t="shared" si="3"/>
        <v>#REF!</v>
      </c>
      <c r="N18" s="116">
        <f>【1】定价因子!F12</f>
        <v>0.95</v>
      </c>
      <c r="O18" s="116" t="e">
        <f>O16</f>
        <v>#REF!</v>
      </c>
      <c r="P18" s="116" t="e">
        <f t="shared" ref="P18:T18" si="4">P16</f>
        <v>#REF!</v>
      </c>
      <c r="Q18" s="116">
        <f t="shared" si="4"/>
        <v>0.87</v>
      </c>
      <c r="R18" s="116">
        <f t="shared" si="4"/>
        <v>1</v>
      </c>
      <c r="S18" s="116">
        <f t="shared" si="4"/>
        <v>0.96</v>
      </c>
      <c r="T18" s="116">
        <f t="shared" si="4"/>
        <v>1</v>
      </c>
    </row>
    <row r="19" s="85" customFormat="1" spans="1:20">
      <c r="B19" s="105" t="s">
        <v>388</v>
      </c>
      <c r="C19" s="106" t="s">
        <v>374</v>
      </c>
      <c r="D19" s="109">
        <v>2199</v>
      </c>
      <c r="E19" s="107"/>
      <c r="F19" s="100" t="s">
        <v>152</v>
      </c>
      <c r="G19" s="100" t="s">
        <v>149</v>
      </c>
      <c r="H19" s="116" t="s">
        <v>389</v>
      </c>
      <c r="I19" s="100" t="s">
        <v>54</v>
      </c>
      <c r="J19" s="100" t="s">
        <v>54</v>
      </c>
      <c r="K19" s="118" t="s">
        <v>51</v>
      </c>
      <c r="L19" s="100" t="s">
        <v>371</v>
      </c>
      <c r="M19" s="100" t="s">
        <v>63</v>
      </c>
      <c r="N19" s="108" t="s">
        <v>58</v>
      </c>
      <c r="O19" s="101" t="s">
        <v>63</v>
      </c>
      <c r="P19" s="100" t="s">
        <v>54</v>
      </c>
      <c r="Q19" s="121" t="s">
        <v>390</v>
      </c>
      <c r="R19" s="100" t="s">
        <v>63</v>
      </c>
      <c r="S19" s="123" t="s">
        <v>379</v>
      </c>
      <c r="T19" s="101" t="s">
        <v>157</v>
      </c>
    </row>
    <row r="20" s="85" customFormat="1" spans="1:20">
      <c r="B20" s="105"/>
      <c r="C20" s="106" t="s">
        <v>376</v>
      </c>
      <c r="D20" s="109" t="e">
        <f>项目基准价!$C$15*PRODUCT(赋权表!F20:T20)</f>
        <v>#REF!</v>
      </c>
      <c r="E20" s="107" t="e">
        <f>D19/D20-1</f>
        <v>#REF!</v>
      </c>
      <c r="F20" s="116" t="e">
        <f>F18</f>
        <v>#REF!</v>
      </c>
      <c r="G20" s="116">
        <f>G18</f>
        <v>1</v>
      </c>
      <c r="H20" s="116" t="e">
        <f>【1】定价因子!#REF!</f>
        <v>#REF!</v>
      </c>
      <c r="I20" s="116">
        <f>I12</f>
        <v>1</v>
      </c>
      <c r="J20" s="116">
        <f>J12</f>
        <v>1</v>
      </c>
      <c r="K20" s="116">
        <f>K12</f>
        <v>1.05</v>
      </c>
      <c r="L20" s="116" t="e">
        <f>L12</f>
        <v>#REF!</v>
      </c>
      <c r="M20" s="116" t="e">
        <f>M12</f>
        <v>#REF!</v>
      </c>
      <c r="N20" s="116">
        <f>N14</f>
        <v>1.1</v>
      </c>
      <c r="O20" s="116" t="e">
        <f t="shared" ref="O20:P20" si="5">O14</f>
        <v>#REF!</v>
      </c>
      <c r="P20" s="116" t="e">
        <f t="shared" si="5"/>
        <v>#REF!</v>
      </c>
      <c r="Q20" s="116">
        <f>Q12</f>
        <v>1.03</v>
      </c>
      <c r="R20" s="116">
        <f>R12</f>
        <v>1</v>
      </c>
      <c r="S20" s="116">
        <f>S14</f>
        <v>1.06</v>
      </c>
      <c r="T20" s="116">
        <f>【1】定价因子!F65</f>
        <v>1.02</v>
      </c>
    </row>
    <row r="21" s="85" customFormat="1" ht="13.8" spans="1:20">
      <c r="B21" s="124" t="s">
        <v>391</v>
      </c>
      <c r="C21" s="106" t="s">
        <v>374</v>
      </c>
      <c r="D21" s="109">
        <v>839</v>
      </c>
      <c r="E21" s="107"/>
      <c r="F21" s="100" t="s">
        <v>152</v>
      </c>
      <c r="G21" s="100" t="s">
        <v>149</v>
      </c>
      <c r="H21" s="116" t="s">
        <v>389</v>
      </c>
      <c r="I21" s="100" t="s">
        <v>54</v>
      </c>
      <c r="J21" s="100" t="s">
        <v>54</v>
      </c>
      <c r="K21" s="118" t="s">
        <v>51</v>
      </c>
      <c r="L21" s="100" t="s">
        <v>371</v>
      </c>
      <c r="M21" s="100" t="s">
        <v>63</v>
      </c>
      <c r="N21" s="125" t="s">
        <v>392</v>
      </c>
      <c r="O21" s="101" t="s">
        <v>63</v>
      </c>
      <c r="P21" s="100" t="s">
        <v>54</v>
      </c>
      <c r="Q21" s="121" t="s">
        <v>390</v>
      </c>
      <c r="R21" s="125" t="s">
        <v>393</v>
      </c>
      <c r="S21" s="123" t="s">
        <v>379</v>
      </c>
      <c r="T21" s="101" t="s">
        <v>157</v>
      </c>
    </row>
    <row r="22" s="85" customFormat="1" spans="1:20">
      <c r="B22" s="105"/>
      <c r="C22" s="106" t="s">
        <v>376</v>
      </c>
      <c r="D22" s="120" t="e">
        <f>项目基准价!$C$14*PRODUCT(赋权表!F22:T22)</f>
        <v>#REF!</v>
      </c>
      <c r="E22" s="122" t="e">
        <f>D21/D22-1</f>
        <v>#REF!</v>
      </c>
      <c r="F22" s="116" t="e">
        <f>F20</f>
        <v>#REF!</v>
      </c>
      <c r="G22" s="116">
        <f t="shared" ref="G22:M22" si="6">G20</f>
        <v>1</v>
      </c>
      <c r="H22" s="116" t="e">
        <f t="shared" si="6"/>
        <v>#REF!</v>
      </c>
      <c r="I22" s="116">
        <f t="shared" si="6"/>
        <v>1</v>
      </c>
      <c r="J22" s="116">
        <f t="shared" si="6"/>
        <v>1</v>
      </c>
      <c r="K22" s="116">
        <f t="shared" si="6"/>
        <v>1.05</v>
      </c>
      <c r="L22" s="116" t="e">
        <f t="shared" si="6"/>
        <v>#REF!</v>
      </c>
      <c r="M22" s="116" t="e">
        <f t="shared" si="6"/>
        <v>#REF!</v>
      </c>
      <c r="N22" s="126">
        <v>0.86</v>
      </c>
      <c r="O22" s="116" t="e">
        <f>O20</f>
        <v>#REF!</v>
      </c>
      <c r="P22" s="116" t="e">
        <f>P20</f>
        <v>#REF!</v>
      </c>
      <c r="Q22" s="116">
        <f>Q20</f>
        <v>1.03</v>
      </c>
      <c r="R22" s="126">
        <v>0.9</v>
      </c>
      <c r="S22" s="116">
        <f>S20</f>
        <v>1.06</v>
      </c>
      <c r="T22" s="116">
        <f>T20</f>
        <v>1.02</v>
      </c>
    </row>
    <row r="23" s="85" customFormat="1" spans="1:20">
      <c r="B23" s="105" t="s">
        <v>394</v>
      </c>
      <c r="C23" s="106" t="s">
        <v>374</v>
      </c>
      <c r="D23" s="109">
        <v>1379</v>
      </c>
      <c r="E23" s="107"/>
      <c r="F23" s="100" t="s">
        <v>152</v>
      </c>
      <c r="G23" s="100" t="s">
        <v>149</v>
      </c>
      <c r="H23" s="112" t="s">
        <v>381</v>
      </c>
      <c r="I23" s="100" t="s">
        <v>54</v>
      </c>
      <c r="J23" s="100" t="s">
        <v>54</v>
      </c>
      <c r="K23" s="112" t="s">
        <v>51</v>
      </c>
      <c r="L23" s="100" t="s">
        <v>371</v>
      </c>
      <c r="M23" s="100" t="s">
        <v>63</v>
      </c>
      <c r="N23" s="100" t="s">
        <v>63</v>
      </c>
      <c r="O23" s="101" t="s">
        <v>63</v>
      </c>
      <c r="P23" s="100" t="s">
        <v>164</v>
      </c>
      <c r="Q23" s="121" t="s">
        <v>395</v>
      </c>
      <c r="R23" s="100" t="s">
        <v>63</v>
      </c>
      <c r="S23" s="123" t="s">
        <v>379</v>
      </c>
      <c r="T23" s="100" t="s">
        <v>63</v>
      </c>
    </row>
    <row r="24" s="85" customFormat="1" spans="1:20">
      <c r="B24" s="105"/>
      <c r="C24" s="106" t="s">
        <v>376</v>
      </c>
      <c r="D24" s="109" t="e">
        <f>项目基准价!$C$14*PRODUCT(赋权表!F24:T24)</f>
        <v>#REF!</v>
      </c>
      <c r="E24" s="107" t="e">
        <f>D23/D24-1</f>
        <v>#REF!</v>
      </c>
      <c r="F24" s="116" t="e">
        <f>F12</f>
        <v>#REF!</v>
      </c>
      <c r="G24" s="116">
        <f>G12</f>
        <v>1</v>
      </c>
      <c r="H24" s="116">
        <f t="shared" ref="H24:N24" si="7">H12</f>
        <v>1.04</v>
      </c>
      <c r="I24" s="116">
        <f t="shared" si="7"/>
        <v>1</v>
      </c>
      <c r="J24" s="116">
        <f t="shared" si="7"/>
        <v>1</v>
      </c>
      <c r="K24" s="116">
        <f t="shared" si="7"/>
        <v>1.05</v>
      </c>
      <c r="L24" s="116" t="e">
        <f t="shared" si="7"/>
        <v>#REF!</v>
      </c>
      <c r="M24" s="116" t="e">
        <f t="shared" si="7"/>
        <v>#REF!</v>
      </c>
      <c r="N24" s="116">
        <f t="shared" si="7"/>
        <v>1</v>
      </c>
      <c r="O24" s="118" t="e">
        <f>O22</f>
        <v>#REF!</v>
      </c>
      <c r="P24" s="108" t="e">
        <f>P12</f>
        <v>#REF!</v>
      </c>
      <c r="Q24" s="116">
        <f>【1】定价因子!F31</f>
        <v>1.02</v>
      </c>
      <c r="R24" s="116">
        <f>R12</f>
        <v>1</v>
      </c>
      <c r="S24" s="116">
        <f t="shared" ref="S24:T24" si="8">S12</f>
        <v>1.06</v>
      </c>
      <c r="T24" s="116">
        <f t="shared" si="8"/>
        <v>1</v>
      </c>
    </row>
    <row r="25" s="85" customFormat="1" spans="1:20">
      <c r="A25" s="85" t="s">
        <v>396</v>
      </c>
      <c r="B25" s="105" t="s">
        <v>397</v>
      </c>
      <c r="C25" s="106" t="s">
        <v>374</v>
      </c>
      <c r="D25" s="109">
        <v>1439</v>
      </c>
      <c r="E25" s="107"/>
      <c r="F25" s="100" t="s">
        <v>152</v>
      </c>
      <c r="G25" s="100" t="s">
        <v>149</v>
      </c>
      <c r="H25" s="100" t="s">
        <v>352</v>
      </c>
      <c r="I25" s="100" t="s">
        <v>54</v>
      </c>
      <c r="J25" s="100" t="s">
        <v>54</v>
      </c>
      <c r="K25" s="100" t="s">
        <v>54</v>
      </c>
      <c r="L25" s="100" t="s">
        <v>353</v>
      </c>
      <c r="M25" s="100" t="s">
        <v>63</v>
      </c>
      <c r="N25" s="100" t="s">
        <v>367</v>
      </c>
      <c r="O25" s="100" t="s">
        <v>63</v>
      </c>
      <c r="P25" s="127" t="s">
        <v>398</v>
      </c>
      <c r="Q25" s="116" t="s">
        <v>378</v>
      </c>
      <c r="R25" s="100" t="s">
        <v>63</v>
      </c>
      <c r="S25" s="123" t="s">
        <v>379</v>
      </c>
      <c r="T25" s="100" t="s">
        <v>63</v>
      </c>
    </row>
    <row r="26" s="85" customFormat="1" spans="1:20">
      <c r="B26" s="105"/>
      <c r="C26" s="106" t="s">
        <v>376</v>
      </c>
      <c r="D26" s="109" t="e">
        <f>项目基准价!$C$14*PRODUCT(赋权表!F26:T26)</f>
        <v>#REF!</v>
      </c>
      <c r="E26" s="107" t="e">
        <f>D25/D26-1</f>
        <v>#REF!</v>
      </c>
      <c r="F26" s="116" t="e">
        <f>F14</f>
        <v>#REF!</v>
      </c>
      <c r="G26" s="116">
        <f t="shared" ref="G26:M26" si="9">G14</f>
        <v>1</v>
      </c>
      <c r="H26" s="116">
        <f t="shared" si="9"/>
        <v>0.96</v>
      </c>
      <c r="I26" s="116">
        <f t="shared" si="9"/>
        <v>1</v>
      </c>
      <c r="J26" s="116">
        <f t="shared" si="9"/>
        <v>1</v>
      </c>
      <c r="K26" s="116">
        <f t="shared" si="9"/>
        <v>1</v>
      </c>
      <c r="L26" s="116" t="e">
        <f>L18</f>
        <v>#REF!</v>
      </c>
      <c r="M26" s="116" t="e">
        <f t="shared" si="9"/>
        <v>#REF!</v>
      </c>
      <c r="N26" s="116">
        <f>N16</f>
        <v>1.06</v>
      </c>
      <c r="O26" s="116" t="e">
        <f>O16</f>
        <v>#REF!</v>
      </c>
      <c r="P26" s="108">
        <f>【1】定价因子!F14</f>
        <v>1.07</v>
      </c>
      <c r="Q26" s="116">
        <f>【1】定价因子!F19</f>
        <v>1.01</v>
      </c>
      <c r="R26" s="116">
        <f>R24</f>
        <v>1</v>
      </c>
      <c r="S26" s="116">
        <f>S24</f>
        <v>1.06</v>
      </c>
      <c r="T26" s="116">
        <f t="shared" ref="T26" si="10">T24</f>
        <v>1</v>
      </c>
    </row>
    <row r="27" s="85" customFormat="1" spans="1:20">
      <c r="B27" s="105" t="s">
        <v>399</v>
      </c>
      <c r="C27" s="106" t="s">
        <v>374</v>
      </c>
      <c r="D27" s="109">
        <v>1799</v>
      </c>
      <c r="E27" s="107"/>
      <c r="F27" s="100" t="s">
        <v>152</v>
      </c>
      <c r="G27" s="100" t="s">
        <v>149</v>
      </c>
      <c r="H27" s="100" t="s">
        <v>352</v>
      </c>
      <c r="I27" s="100" t="s">
        <v>54</v>
      </c>
      <c r="J27" s="100" t="s">
        <v>54</v>
      </c>
      <c r="K27" s="100" t="s">
        <v>54</v>
      </c>
      <c r="L27" s="100" t="s">
        <v>353</v>
      </c>
      <c r="M27" s="100" t="s">
        <v>366</v>
      </c>
      <c r="N27" s="100" t="s">
        <v>63</v>
      </c>
      <c r="O27" s="101" t="s">
        <v>63</v>
      </c>
      <c r="P27" s="100" t="s">
        <v>54</v>
      </c>
      <c r="Q27" s="100" t="s">
        <v>400</v>
      </c>
      <c r="R27" s="100" t="s">
        <v>63</v>
      </c>
      <c r="S27" s="100" t="s">
        <v>63</v>
      </c>
      <c r="T27" s="100" t="s">
        <v>63</v>
      </c>
    </row>
    <row r="28" s="85" customFormat="1" spans="1:20">
      <c r="B28" s="105"/>
      <c r="C28" s="106" t="s">
        <v>376</v>
      </c>
      <c r="D28" s="109" t="e">
        <f>项目基准价!$C$15*PRODUCT(赋权表!F28:T28)</f>
        <v>#REF!</v>
      </c>
      <c r="E28" s="107" t="e">
        <f>D27/D28-1</f>
        <v>#REF!</v>
      </c>
      <c r="F28" s="116" t="e">
        <f>F26</f>
        <v>#REF!</v>
      </c>
      <c r="G28" s="116">
        <f t="shared" ref="G28:L28" si="11">G26</f>
        <v>1</v>
      </c>
      <c r="H28" s="116">
        <f t="shared" si="11"/>
        <v>0.96</v>
      </c>
      <c r="I28" s="116">
        <f t="shared" si="11"/>
        <v>1</v>
      </c>
      <c r="J28" s="116">
        <f t="shared" si="11"/>
        <v>1</v>
      </c>
      <c r="K28" s="116">
        <f t="shared" si="11"/>
        <v>1</v>
      </c>
      <c r="L28" s="116" t="e">
        <f t="shared" si="11"/>
        <v>#REF!</v>
      </c>
      <c r="M28" s="116" t="e">
        <f>【1】定价因子!#REF!</f>
        <v>#REF!</v>
      </c>
      <c r="N28" s="116">
        <f>N24</f>
        <v>1</v>
      </c>
      <c r="O28" s="116" t="e">
        <f t="shared" ref="O28" si="12">O24</f>
        <v>#REF!</v>
      </c>
      <c r="P28" s="116" t="e">
        <f>P22</f>
        <v>#REF!</v>
      </c>
      <c r="Q28" s="116">
        <f>【1】定价因子!F18</f>
        <v>1.02</v>
      </c>
      <c r="R28" s="116">
        <f>R26</f>
        <v>1</v>
      </c>
      <c r="S28" s="116">
        <f>【1】定价因子!F43</f>
        <v>1.03</v>
      </c>
      <c r="T28" s="116">
        <f>T26</f>
        <v>1</v>
      </c>
    </row>
    <row r="29" s="85" customFormat="1" spans="1:20">
      <c r="B29" s="105" t="s">
        <v>401</v>
      </c>
      <c r="C29" s="106" t="s">
        <v>374</v>
      </c>
      <c r="D29" s="109">
        <v>1999</v>
      </c>
      <c r="E29" s="107"/>
      <c r="F29" s="100" t="s">
        <v>152</v>
      </c>
      <c r="G29" s="100" t="s">
        <v>149</v>
      </c>
      <c r="H29" s="100" t="s">
        <v>352</v>
      </c>
      <c r="I29" s="100" t="s">
        <v>54</v>
      </c>
      <c r="J29" s="100" t="s">
        <v>54</v>
      </c>
      <c r="K29" s="100" t="s">
        <v>54</v>
      </c>
      <c r="L29" s="100" t="s">
        <v>353</v>
      </c>
      <c r="M29" s="100" t="s">
        <v>366</v>
      </c>
      <c r="N29" s="100" t="s">
        <v>63</v>
      </c>
      <c r="O29" s="101" t="s">
        <v>63</v>
      </c>
      <c r="P29" s="101" t="s">
        <v>166</v>
      </c>
      <c r="Q29" s="100" t="s">
        <v>400</v>
      </c>
      <c r="R29" s="100" t="s">
        <v>63</v>
      </c>
      <c r="S29" s="100" t="s">
        <v>63</v>
      </c>
      <c r="T29" s="101" t="s">
        <v>155</v>
      </c>
    </row>
    <row r="30" s="85" customFormat="1" spans="1:20">
      <c r="B30" s="105"/>
      <c r="C30" s="106" t="s">
        <v>376</v>
      </c>
      <c r="D30" s="109" t="e">
        <f>项目基准价!$C$15*PRODUCT(赋权表!F30:T30)</f>
        <v>#REF!</v>
      </c>
      <c r="E30" s="107" t="e">
        <f>D29/D30-1</f>
        <v>#REF!</v>
      </c>
      <c r="F30" s="116" t="e">
        <f>F28</f>
        <v>#REF!</v>
      </c>
      <c r="G30" s="116">
        <f t="shared" ref="G30:O30" si="13">G28</f>
        <v>1</v>
      </c>
      <c r="H30" s="116">
        <f t="shared" si="13"/>
        <v>0.96</v>
      </c>
      <c r="I30" s="116">
        <f t="shared" si="13"/>
        <v>1</v>
      </c>
      <c r="J30" s="116">
        <f t="shared" si="13"/>
        <v>1</v>
      </c>
      <c r="K30" s="116">
        <f t="shared" si="13"/>
        <v>1</v>
      </c>
      <c r="L30" s="116" t="e">
        <f t="shared" si="13"/>
        <v>#REF!</v>
      </c>
      <c r="M30" s="116" t="e">
        <f t="shared" si="13"/>
        <v>#REF!</v>
      </c>
      <c r="N30" s="116">
        <f t="shared" si="13"/>
        <v>1</v>
      </c>
      <c r="O30" s="116" t="e">
        <f t="shared" si="13"/>
        <v>#REF!</v>
      </c>
      <c r="P30" s="116">
        <f>【1】定价因子!F15</f>
        <v>1</v>
      </c>
      <c r="Q30" s="116">
        <f>Q28</f>
        <v>1.02</v>
      </c>
      <c r="R30" s="116">
        <f t="shared" ref="R30:S30" si="14">R28</f>
        <v>1</v>
      </c>
      <c r="S30" s="116">
        <f t="shared" si="14"/>
        <v>1.03</v>
      </c>
      <c r="T30" s="116">
        <f>【1】定价因子!F64</f>
        <v>1.045</v>
      </c>
    </row>
    <row r="31" s="85" customFormat="1" ht="26.4" spans="1:20">
      <c r="B31" s="105" t="s">
        <v>402</v>
      </c>
      <c r="C31" s="106" t="s">
        <v>374</v>
      </c>
      <c r="D31" s="120">
        <v>1569</v>
      </c>
      <c r="E31" s="107"/>
      <c r="F31" s="100" t="s">
        <v>152</v>
      </c>
      <c r="G31" s="100" t="s">
        <v>149</v>
      </c>
      <c r="H31" s="100" t="s">
        <v>370</v>
      </c>
      <c r="I31" s="100" t="s">
        <v>54</v>
      </c>
      <c r="J31" s="100" t="s">
        <v>54</v>
      </c>
      <c r="K31" s="100" t="s">
        <v>54</v>
      </c>
      <c r="L31" s="100" t="s">
        <v>353</v>
      </c>
      <c r="M31" s="100" t="s">
        <v>63</v>
      </c>
      <c r="N31" s="100" t="s">
        <v>63</v>
      </c>
      <c r="O31" s="101" t="s">
        <v>63</v>
      </c>
      <c r="P31" s="101" t="s">
        <v>166</v>
      </c>
      <c r="Q31" s="116" t="s">
        <v>378</v>
      </c>
      <c r="R31" s="123" t="s">
        <v>112</v>
      </c>
      <c r="S31" s="101" t="s">
        <v>375</v>
      </c>
      <c r="T31" s="100" t="s">
        <v>63</v>
      </c>
    </row>
    <row r="32" s="85" customFormat="1" spans="1:20">
      <c r="A32" s="85" t="s">
        <v>403</v>
      </c>
      <c r="B32" s="105"/>
      <c r="C32" s="106" t="s">
        <v>376</v>
      </c>
      <c r="D32" s="109" t="e">
        <f>项目基准价!$C$16*PRODUCT(赋权表!F32:T32)</f>
        <v>#REF!</v>
      </c>
      <c r="E32" s="122" t="e">
        <f>D31/D32-1</f>
        <v>#REF!</v>
      </c>
      <c r="F32" s="116" t="e">
        <f>F18</f>
        <v>#REF!</v>
      </c>
      <c r="G32" s="116">
        <f t="shared" ref="G32:M32" si="15">G18</f>
        <v>1</v>
      </c>
      <c r="H32" s="116" t="e">
        <f t="shared" si="15"/>
        <v>#REF!</v>
      </c>
      <c r="I32" s="116">
        <f t="shared" si="15"/>
        <v>1</v>
      </c>
      <c r="J32" s="116">
        <f t="shared" si="15"/>
        <v>1</v>
      </c>
      <c r="K32" s="116">
        <f t="shared" si="15"/>
        <v>1</v>
      </c>
      <c r="L32" s="116" t="e">
        <f t="shared" si="15"/>
        <v>#REF!</v>
      </c>
      <c r="M32" s="116" t="e">
        <f t="shared" si="15"/>
        <v>#REF!</v>
      </c>
      <c r="N32" s="116">
        <f>N30</f>
        <v>1</v>
      </c>
      <c r="O32" s="116" t="e">
        <f>O30</f>
        <v>#REF!</v>
      </c>
      <c r="P32" s="116">
        <f>P30</f>
        <v>1</v>
      </c>
      <c r="Q32" s="116">
        <f>Q30</f>
        <v>1.02</v>
      </c>
      <c r="R32" s="116"/>
      <c r="S32" s="116">
        <f>S8</f>
        <v>1</v>
      </c>
      <c r="T32" s="116">
        <f>T28</f>
        <v>1</v>
      </c>
    </row>
    <row r="33" s="85" customFormat="1" spans="1:20">
      <c r="B33" s="124" t="s">
        <v>404</v>
      </c>
      <c r="C33" s="106" t="s">
        <v>374</v>
      </c>
      <c r="D33" s="109">
        <v>2299</v>
      </c>
      <c r="E33" s="128"/>
      <c r="F33" s="100" t="s">
        <v>152</v>
      </c>
      <c r="G33" s="100" t="s">
        <v>149</v>
      </c>
      <c r="H33" s="112" t="s">
        <v>381</v>
      </c>
      <c r="I33" s="100" t="s">
        <v>54</v>
      </c>
      <c r="J33" s="100" t="s">
        <v>54</v>
      </c>
      <c r="K33" s="112" t="s">
        <v>51</v>
      </c>
      <c r="L33" s="100" t="s">
        <v>371</v>
      </c>
      <c r="M33" s="100" t="s">
        <v>63</v>
      </c>
      <c r="N33" s="100" t="s">
        <v>367</v>
      </c>
      <c r="O33" s="101" t="s">
        <v>63</v>
      </c>
      <c r="P33" s="100" t="s">
        <v>164</v>
      </c>
      <c r="Q33" s="116" t="s">
        <v>382</v>
      </c>
      <c r="R33" s="100" t="s">
        <v>63</v>
      </c>
      <c r="S33" s="123" t="s">
        <v>379</v>
      </c>
      <c r="T33" s="101" t="s">
        <v>157</v>
      </c>
    </row>
    <row r="34" s="85" customFormat="1" spans="1:20">
      <c r="B34" s="105"/>
      <c r="C34" s="106" t="s">
        <v>376</v>
      </c>
      <c r="D34" s="109" t="e">
        <f>项目基准价!$C$15*PRODUCT(赋权表!F34:T34)</f>
        <v>#REF!</v>
      </c>
      <c r="E34" s="107" t="e">
        <f>D33/D34-1</f>
        <v>#REF!</v>
      </c>
      <c r="F34" s="116" t="e">
        <f>F24</f>
        <v>#REF!</v>
      </c>
      <c r="G34" s="116">
        <f t="shared" ref="G34:M34" si="16">G24</f>
        <v>1</v>
      </c>
      <c r="H34" s="116">
        <f t="shared" si="16"/>
        <v>1.04</v>
      </c>
      <c r="I34" s="116">
        <f t="shared" si="16"/>
        <v>1</v>
      </c>
      <c r="J34" s="116">
        <f t="shared" si="16"/>
        <v>1</v>
      </c>
      <c r="K34" s="116">
        <f t="shared" si="16"/>
        <v>1.05</v>
      </c>
      <c r="L34" s="116" t="e">
        <f t="shared" si="16"/>
        <v>#REF!</v>
      </c>
      <c r="M34" s="116" t="e">
        <f t="shared" si="16"/>
        <v>#REF!</v>
      </c>
      <c r="N34" s="116">
        <f>N26</f>
        <v>1.06</v>
      </c>
      <c r="O34" s="116" t="e">
        <f>O26</f>
        <v>#REF!</v>
      </c>
      <c r="P34" s="116" t="e">
        <f>P24</f>
        <v>#REF!</v>
      </c>
      <c r="Q34" s="116">
        <f>【1】定价因子!F32</f>
        <v>1.03</v>
      </c>
      <c r="R34" s="116">
        <f>R30</f>
        <v>1</v>
      </c>
      <c r="S34" s="116">
        <f>S10</f>
        <v>1.06</v>
      </c>
      <c r="T34" s="116">
        <f>T20</f>
        <v>1.02</v>
      </c>
    </row>
    <row r="35" s="85" customFormat="1" spans="1:20">
      <c r="A35" s="85" t="s">
        <v>396</v>
      </c>
      <c r="B35" s="105" t="s">
        <v>405</v>
      </c>
      <c r="C35" s="106" t="s">
        <v>374</v>
      </c>
      <c r="D35" s="109">
        <v>1249</v>
      </c>
      <c r="E35" s="107"/>
      <c r="F35" s="100" t="s">
        <v>152</v>
      </c>
      <c r="G35" s="100" t="s">
        <v>149</v>
      </c>
      <c r="H35" s="100" t="s">
        <v>352</v>
      </c>
      <c r="I35" s="100" t="s">
        <v>54</v>
      </c>
      <c r="J35" s="100" t="s">
        <v>54</v>
      </c>
      <c r="K35" s="100" t="s">
        <v>54</v>
      </c>
      <c r="L35" s="100" t="s">
        <v>353</v>
      </c>
      <c r="M35" s="100" t="s">
        <v>366</v>
      </c>
      <c r="N35" s="100" t="s">
        <v>63</v>
      </c>
      <c r="O35" s="101" t="s">
        <v>63</v>
      </c>
      <c r="P35" s="100" t="s">
        <v>54</v>
      </c>
      <c r="Q35" s="116" t="s">
        <v>406</v>
      </c>
      <c r="R35" s="100" t="s">
        <v>63</v>
      </c>
      <c r="S35" s="123" t="s">
        <v>379</v>
      </c>
      <c r="T35" s="100" t="s">
        <v>63</v>
      </c>
    </row>
    <row r="36" s="85" customFormat="1" spans="1:20">
      <c r="B36" s="105"/>
      <c r="C36" s="106" t="s">
        <v>376</v>
      </c>
      <c r="D36" s="109" t="e">
        <f>项目基准价!$C$14*PRODUCT(赋权表!F36:T36)</f>
        <v>#REF!</v>
      </c>
      <c r="E36" s="107" t="e">
        <f>D35/D36-1</f>
        <v>#REF!</v>
      </c>
      <c r="F36" s="116" t="e">
        <f>F30</f>
        <v>#REF!</v>
      </c>
      <c r="G36" s="116">
        <f t="shared" ref="G36:N36" si="17">G30</f>
        <v>1</v>
      </c>
      <c r="H36" s="116">
        <f t="shared" si="17"/>
        <v>0.96</v>
      </c>
      <c r="I36" s="116">
        <f>I34</f>
        <v>1</v>
      </c>
      <c r="J36" s="116">
        <f t="shared" si="17"/>
        <v>1</v>
      </c>
      <c r="K36" s="116">
        <f t="shared" si="17"/>
        <v>1</v>
      </c>
      <c r="L36" s="116" t="e">
        <f>L32</f>
        <v>#REF!</v>
      </c>
      <c r="M36" s="116" t="e">
        <f t="shared" si="17"/>
        <v>#REF!</v>
      </c>
      <c r="N36" s="116">
        <f t="shared" si="17"/>
        <v>1</v>
      </c>
      <c r="O36" s="116" t="e">
        <f>O34</f>
        <v>#REF!</v>
      </c>
      <c r="P36" s="116" t="e">
        <f>P28</f>
        <v>#REF!</v>
      </c>
      <c r="Q36" s="116">
        <f>【1】定价因子!F22</f>
        <v>0.98</v>
      </c>
      <c r="R36" s="116">
        <f>R34</f>
        <v>1</v>
      </c>
      <c r="S36" s="116">
        <f>S34</f>
        <v>1.06</v>
      </c>
      <c r="T36" s="116">
        <f>T32</f>
        <v>1</v>
      </c>
    </row>
    <row r="37" s="85" customFormat="1" spans="1:20">
      <c r="A37" s="85" t="s">
        <v>396</v>
      </c>
      <c r="B37" s="105" t="s">
        <v>407</v>
      </c>
      <c r="C37" s="106" t="s">
        <v>374</v>
      </c>
      <c r="D37" s="109">
        <v>1299</v>
      </c>
      <c r="E37" s="107"/>
      <c r="F37" s="100" t="s">
        <v>152</v>
      </c>
      <c r="G37" s="100" t="s">
        <v>149</v>
      </c>
      <c r="H37" s="100" t="s">
        <v>352</v>
      </c>
      <c r="I37" s="100" t="s">
        <v>54</v>
      </c>
      <c r="J37" s="100" t="s">
        <v>54</v>
      </c>
      <c r="K37" s="100" t="s">
        <v>54</v>
      </c>
      <c r="L37" s="100" t="s">
        <v>353</v>
      </c>
      <c r="M37" s="100" t="s">
        <v>63</v>
      </c>
      <c r="N37" s="100" t="s">
        <v>63</v>
      </c>
      <c r="O37" s="101" t="s">
        <v>63</v>
      </c>
      <c r="P37" s="100" t="s">
        <v>54</v>
      </c>
      <c r="Q37" s="116" t="s">
        <v>372</v>
      </c>
      <c r="R37" s="100" t="s">
        <v>63</v>
      </c>
      <c r="S37" s="100" t="s">
        <v>63</v>
      </c>
      <c r="T37" s="100" t="s">
        <v>63</v>
      </c>
    </row>
    <row r="38" s="85" customFormat="1" spans="1:20">
      <c r="B38" s="105"/>
      <c r="C38" s="106" t="s">
        <v>376</v>
      </c>
      <c r="D38" s="109" t="e">
        <f>项目基准价!$C$14*PRODUCT(赋权表!F38:T38)</f>
        <v>#REF!</v>
      </c>
      <c r="E38" s="122" t="e">
        <f>D37/D38-1</f>
        <v>#REF!</v>
      </c>
      <c r="F38" s="116" t="e">
        <f>F8</f>
        <v>#REF!</v>
      </c>
      <c r="G38" s="116">
        <f t="shared" ref="G38:M38" si="18">G8</f>
        <v>1</v>
      </c>
      <c r="H38" s="116">
        <f t="shared" si="18"/>
        <v>0.96</v>
      </c>
      <c r="I38" s="116">
        <f>I36</f>
        <v>1</v>
      </c>
      <c r="J38" s="116">
        <f t="shared" si="18"/>
        <v>1</v>
      </c>
      <c r="K38" s="116">
        <f t="shared" si="18"/>
        <v>1</v>
      </c>
      <c r="L38" s="116" t="e">
        <f t="shared" si="18"/>
        <v>#REF!</v>
      </c>
      <c r="M38" s="116" t="e">
        <f t="shared" si="18"/>
        <v>#REF!</v>
      </c>
      <c r="N38" s="129">
        <f>N36</f>
        <v>1</v>
      </c>
      <c r="O38" s="129" t="e">
        <f t="shared" ref="O38:P38" si="19">O36</f>
        <v>#REF!</v>
      </c>
      <c r="P38" s="129" t="e">
        <f t="shared" si="19"/>
        <v>#REF!</v>
      </c>
      <c r="Q38" s="85">
        <f>【1】定价因子!F21</f>
        <v>0.99</v>
      </c>
      <c r="R38" s="129">
        <f>R36</f>
        <v>1</v>
      </c>
      <c r="S38" s="129">
        <f>S28</f>
        <v>1.03</v>
      </c>
      <c r="T38" s="129">
        <f>T28</f>
        <v>1</v>
      </c>
    </row>
    <row r="39" s="85" customFormat="1" ht="26.4" spans="1:20">
      <c r="B39" s="105" t="s">
        <v>408</v>
      </c>
      <c r="C39" s="106" t="s">
        <v>374</v>
      </c>
      <c r="D39" s="109">
        <v>1239</v>
      </c>
      <c r="E39" s="107"/>
      <c r="F39" s="100" t="s">
        <v>152</v>
      </c>
      <c r="G39" s="100" t="s">
        <v>149</v>
      </c>
      <c r="H39" s="100" t="s">
        <v>370</v>
      </c>
      <c r="I39" s="100" t="s">
        <v>54</v>
      </c>
      <c r="J39" s="100" t="s">
        <v>54</v>
      </c>
      <c r="K39" s="100" t="s">
        <v>54</v>
      </c>
      <c r="L39" s="100" t="s">
        <v>353</v>
      </c>
      <c r="M39" s="100" t="s">
        <v>63</v>
      </c>
      <c r="N39" s="100" t="s">
        <v>63</v>
      </c>
      <c r="O39" s="101" t="s">
        <v>63</v>
      </c>
      <c r="P39" s="100" t="s">
        <v>54</v>
      </c>
      <c r="Q39" s="116" t="s">
        <v>372</v>
      </c>
      <c r="R39" s="100" t="s">
        <v>134</v>
      </c>
      <c r="S39" s="101" t="s">
        <v>375</v>
      </c>
      <c r="T39" s="100" t="s">
        <v>63</v>
      </c>
    </row>
    <row r="40" s="85" customFormat="1" spans="1:20">
      <c r="B40" s="105"/>
      <c r="C40" s="106" t="s">
        <v>376</v>
      </c>
      <c r="D40" s="109" t="e">
        <f>项目基准价!$C$13*PRODUCT(赋权表!F40:T40)</f>
        <v>#REF!</v>
      </c>
      <c r="E40" s="107" t="e">
        <f>D39/D40-1</f>
        <v>#REF!</v>
      </c>
      <c r="F40" s="116" t="e">
        <f>F32</f>
        <v>#REF!</v>
      </c>
      <c r="G40" s="116">
        <f t="shared" ref="G40:M40" si="20">G32</f>
        <v>1</v>
      </c>
      <c r="H40" s="116" t="e">
        <f t="shared" si="20"/>
        <v>#REF!</v>
      </c>
      <c r="I40" s="116">
        <f>I38</f>
        <v>1</v>
      </c>
      <c r="J40" s="116">
        <f t="shared" si="20"/>
        <v>1</v>
      </c>
      <c r="K40" s="116">
        <f t="shared" si="20"/>
        <v>1</v>
      </c>
      <c r="L40" s="116" t="e">
        <f t="shared" si="20"/>
        <v>#REF!</v>
      </c>
      <c r="M40" s="116" t="e">
        <f t="shared" si="20"/>
        <v>#REF!</v>
      </c>
      <c r="N40" s="116">
        <f>N38</f>
        <v>1</v>
      </c>
      <c r="O40" s="116" t="e">
        <f>O38</f>
        <v>#REF!</v>
      </c>
      <c r="P40" s="116" t="e">
        <f>P38</f>
        <v>#REF!</v>
      </c>
      <c r="Q40" s="116">
        <f>Q38</f>
        <v>0.99</v>
      </c>
      <c r="R40" s="116">
        <f>R14</f>
        <v>1.04</v>
      </c>
      <c r="S40" s="116">
        <f>S32</f>
        <v>1</v>
      </c>
      <c r="T40" s="116">
        <f>T38</f>
        <v>1</v>
      </c>
    </row>
    <row r="41" s="85" customFormat="1" spans="1:20">
      <c r="A41" s="85" t="s">
        <v>403</v>
      </c>
      <c r="B41" s="105" t="s">
        <v>409</v>
      </c>
      <c r="C41" s="106" t="s">
        <v>374</v>
      </c>
      <c r="D41" s="109">
        <v>1699</v>
      </c>
      <c r="E41" s="107"/>
      <c r="F41" s="100" t="s">
        <v>152</v>
      </c>
      <c r="G41" s="100" t="s">
        <v>149</v>
      </c>
      <c r="H41" s="100" t="s">
        <v>352</v>
      </c>
      <c r="I41" s="100" t="s">
        <v>54</v>
      </c>
      <c r="J41" s="100" t="s">
        <v>54</v>
      </c>
      <c r="K41" s="100" t="s">
        <v>54</v>
      </c>
      <c r="L41" s="100" t="s">
        <v>353</v>
      </c>
      <c r="M41" s="100" t="s">
        <v>63</v>
      </c>
      <c r="N41" s="100" t="s">
        <v>63</v>
      </c>
      <c r="O41" s="101" t="s">
        <v>63</v>
      </c>
      <c r="P41" s="100" t="s">
        <v>54</v>
      </c>
      <c r="Q41" s="116" t="s">
        <v>378</v>
      </c>
      <c r="R41" s="123" t="s">
        <v>112</v>
      </c>
      <c r="S41" s="101" t="s">
        <v>63</v>
      </c>
      <c r="T41" s="100" t="s">
        <v>63</v>
      </c>
    </row>
    <row r="42" s="85" customFormat="1" spans="1:20">
      <c r="B42" s="105"/>
      <c r="C42" s="106" t="s">
        <v>376</v>
      </c>
      <c r="D42" s="109" t="e">
        <f>项目基准价!$C$16*PRODUCT(赋权表!F42:T42)</f>
        <v>#REF!</v>
      </c>
      <c r="E42" s="107" t="e">
        <f>D41/D42-1</f>
        <v>#REF!</v>
      </c>
      <c r="F42" s="116" t="e">
        <f>F38</f>
        <v>#REF!</v>
      </c>
      <c r="G42" s="116">
        <f t="shared" ref="G42:N42" si="21">G38</f>
        <v>1</v>
      </c>
      <c r="H42" s="116">
        <f t="shared" si="21"/>
        <v>0.96</v>
      </c>
      <c r="I42" s="116">
        <f t="shared" si="21"/>
        <v>1</v>
      </c>
      <c r="J42" s="116">
        <f t="shared" si="21"/>
        <v>1</v>
      </c>
      <c r="K42" s="116">
        <f t="shared" si="21"/>
        <v>1</v>
      </c>
      <c r="L42" s="116" t="e">
        <f t="shared" si="21"/>
        <v>#REF!</v>
      </c>
      <c r="M42" s="116" t="e">
        <f t="shared" si="21"/>
        <v>#REF!</v>
      </c>
      <c r="N42" s="129">
        <f t="shared" si="21"/>
        <v>1</v>
      </c>
      <c r="O42" s="116" t="e">
        <f>O40</f>
        <v>#REF!</v>
      </c>
      <c r="P42" s="116" t="e">
        <f>P40</f>
        <v>#REF!</v>
      </c>
      <c r="Q42" s="116">
        <f>Q32</f>
        <v>1.02</v>
      </c>
      <c r="R42" s="116"/>
      <c r="S42" s="116">
        <f>S38</f>
        <v>1.03</v>
      </c>
      <c r="T42" s="116">
        <f>T40</f>
        <v>1</v>
      </c>
    </row>
    <row r="43" s="85" customFormat="1" ht="26.4" spans="1:20">
      <c r="B43" s="105" t="s">
        <v>410</v>
      </c>
      <c r="C43" s="106" t="s">
        <v>374</v>
      </c>
      <c r="D43" s="120">
        <v>1239</v>
      </c>
      <c r="E43" s="107"/>
      <c r="F43" s="100" t="s">
        <v>152</v>
      </c>
      <c r="G43" s="100" t="s">
        <v>149</v>
      </c>
      <c r="H43" s="100" t="s">
        <v>370</v>
      </c>
      <c r="I43" s="101" t="s">
        <v>164</v>
      </c>
      <c r="J43" s="100" t="s">
        <v>54</v>
      </c>
      <c r="K43" s="100" t="s">
        <v>54</v>
      </c>
      <c r="L43" s="100" t="s">
        <v>353</v>
      </c>
      <c r="M43" s="100" t="s">
        <v>63</v>
      </c>
      <c r="N43" s="100" t="s">
        <v>367</v>
      </c>
      <c r="O43" s="101" t="s">
        <v>63</v>
      </c>
      <c r="P43" s="100" t="s">
        <v>54</v>
      </c>
      <c r="Q43" s="116" t="s">
        <v>372</v>
      </c>
      <c r="R43" s="100" t="s">
        <v>134</v>
      </c>
      <c r="S43" s="101" t="s">
        <v>375</v>
      </c>
      <c r="T43" s="100" t="s">
        <v>63</v>
      </c>
    </row>
    <row r="44" s="85" customFormat="1" spans="1:20">
      <c r="B44" s="105"/>
      <c r="C44" s="106" t="s">
        <v>376</v>
      </c>
      <c r="D44" s="109" t="e">
        <f>项目基准价!$C$13*PRODUCT(赋权表!F44:T44)</f>
        <v>#REF!</v>
      </c>
      <c r="E44" s="122" t="e">
        <f>D43/D44-1</f>
        <v>#REF!</v>
      </c>
      <c r="F44" s="116" t="e">
        <f>F42</f>
        <v>#REF!</v>
      </c>
      <c r="G44" s="116">
        <f>G42</f>
        <v>1</v>
      </c>
      <c r="H44" s="116" t="e">
        <f>H40</f>
        <v>#REF!</v>
      </c>
      <c r="I44" s="116">
        <f>【1】定价因子!F69</f>
        <v>0.975</v>
      </c>
      <c r="J44" s="116">
        <f t="shared" ref="J44:N44" si="22">J34</f>
        <v>1</v>
      </c>
      <c r="K44" s="116">
        <f>K38</f>
        <v>1</v>
      </c>
      <c r="L44" s="116" t="e">
        <f>L36</f>
        <v>#REF!</v>
      </c>
      <c r="M44" s="116" t="e">
        <f t="shared" si="22"/>
        <v>#REF!</v>
      </c>
      <c r="N44" s="116">
        <f t="shared" si="22"/>
        <v>1.06</v>
      </c>
      <c r="O44" s="116" t="e">
        <f>O40</f>
        <v>#REF!</v>
      </c>
      <c r="P44" s="116" t="e">
        <f t="shared" ref="P44:T44" si="23">P40</f>
        <v>#REF!</v>
      </c>
      <c r="Q44" s="116">
        <f t="shared" si="23"/>
        <v>0.99</v>
      </c>
      <c r="R44" s="116">
        <f t="shared" si="23"/>
        <v>1.04</v>
      </c>
      <c r="S44" s="116">
        <f>S32</f>
        <v>1</v>
      </c>
      <c r="T44" s="116">
        <f t="shared" si="23"/>
        <v>1</v>
      </c>
    </row>
    <row r="45" s="85" customFormat="1" ht="26.4" spans="1:20">
      <c r="B45" s="105" t="s">
        <v>411</v>
      </c>
      <c r="C45" s="106" t="s">
        <v>374</v>
      </c>
      <c r="D45" s="120">
        <v>1239</v>
      </c>
      <c r="E45" s="107"/>
      <c r="F45" s="108" t="s">
        <v>153</v>
      </c>
      <c r="G45" s="100" t="s">
        <v>149</v>
      </c>
      <c r="H45" s="100" t="s">
        <v>370</v>
      </c>
      <c r="I45" s="100" t="s">
        <v>54</v>
      </c>
      <c r="J45" s="100" t="s">
        <v>54</v>
      </c>
      <c r="K45" s="100" t="s">
        <v>54</v>
      </c>
      <c r="L45" s="100" t="s">
        <v>353</v>
      </c>
      <c r="M45" s="100" t="s">
        <v>63</v>
      </c>
      <c r="N45" s="100" t="s">
        <v>367</v>
      </c>
      <c r="O45" s="101" t="s">
        <v>63</v>
      </c>
      <c r="P45" s="100" t="s">
        <v>54</v>
      </c>
      <c r="Q45" s="116" t="s">
        <v>378</v>
      </c>
      <c r="R45" s="100" t="s">
        <v>134</v>
      </c>
      <c r="S45" s="100" t="s">
        <v>63</v>
      </c>
      <c r="T45" s="100" t="s">
        <v>63</v>
      </c>
    </row>
    <row r="46" s="85" customFormat="1" spans="1:20">
      <c r="B46" s="105"/>
      <c r="C46" s="106" t="s">
        <v>376</v>
      </c>
      <c r="D46" s="109" t="e">
        <f>项目基准价!$C$13*PRODUCT(赋权表!F46:T46)</f>
        <v>#REF!</v>
      </c>
      <c r="E46" s="122" t="e">
        <f>D45/D46-1</f>
        <v>#REF!</v>
      </c>
      <c r="F46" s="116" t="e">
        <f>F10</f>
        <v>#REF!</v>
      </c>
      <c r="G46" s="116">
        <f t="shared" ref="G46:M46" si="24">G10</f>
        <v>1</v>
      </c>
      <c r="H46" s="116" t="e">
        <f t="shared" si="24"/>
        <v>#REF!</v>
      </c>
      <c r="I46" s="116">
        <f t="shared" si="24"/>
        <v>1</v>
      </c>
      <c r="J46" s="116">
        <f t="shared" si="24"/>
        <v>1</v>
      </c>
      <c r="K46" s="116">
        <f t="shared" si="24"/>
        <v>1</v>
      </c>
      <c r="L46" s="116" t="e">
        <f t="shared" si="24"/>
        <v>#REF!</v>
      </c>
      <c r="M46" s="116" t="e">
        <f t="shared" si="24"/>
        <v>#REF!</v>
      </c>
      <c r="N46" s="116">
        <f>N34</f>
        <v>1.06</v>
      </c>
      <c r="O46" s="116" t="e">
        <f>O44</f>
        <v>#REF!</v>
      </c>
      <c r="P46" s="116" t="e">
        <f>P44</f>
        <v>#REF!</v>
      </c>
      <c r="Q46" s="116">
        <f>Q42</f>
        <v>1.02</v>
      </c>
      <c r="R46" s="116">
        <f>R44</f>
        <v>1.04</v>
      </c>
      <c r="S46" s="116">
        <f>S42</f>
        <v>1.03</v>
      </c>
      <c r="T46" s="116">
        <f>T44</f>
        <v>1</v>
      </c>
    </row>
    <row r="47" s="85" customFormat="1" spans="1:20">
      <c r="B47" s="105" t="s">
        <v>412</v>
      </c>
      <c r="C47" s="106" t="s">
        <v>374</v>
      </c>
      <c r="D47" s="120">
        <v>1629</v>
      </c>
      <c r="E47" s="107"/>
      <c r="F47" s="100" t="s">
        <v>152</v>
      </c>
      <c r="G47" s="100" t="s">
        <v>149</v>
      </c>
      <c r="H47" s="100" t="s">
        <v>352</v>
      </c>
      <c r="I47" s="100" t="s">
        <v>54</v>
      </c>
      <c r="J47" s="100" t="s">
        <v>54</v>
      </c>
      <c r="K47" s="112" t="s">
        <v>51</v>
      </c>
      <c r="L47" s="100" t="s">
        <v>353</v>
      </c>
      <c r="M47" s="100" t="s">
        <v>63</v>
      </c>
      <c r="N47" s="100" t="s">
        <v>63</v>
      </c>
      <c r="O47" s="101" t="s">
        <v>63</v>
      </c>
      <c r="P47" s="100" t="s">
        <v>54</v>
      </c>
      <c r="Q47" s="116" t="s">
        <v>413</v>
      </c>
      <c r="R47" s="100" t="s">
        <v>63</v>
      </c>
      <c r="S47" s="100" t="s">
        <v>63</v>
      </c>
      <c r="T47" s="101" t="s">
        <v>157</v>
      </c>
    </row>
    <row r="48" s="85" customFormat="1" spans="1:20">
      <c r="B48" s="105"/>
      <c r="C48" s="106" t="s">
        <v>376</v>
      </c>
      <c r="D48" s="109" t="e">
        <f>项目基准价!$C$13*PRODUCT(赋权表!F48:T48)</f>
        <v>#REF!</v>
      </c>
      <c r="E48" s="122" t="e">
        <f>D47/D48-1</f>
        <v>#REF!</v>
      </c>
      <c r="F48" s="116" t="e">
        <f>F34</f>
        <v>#REF!</v>
      </c>
      <c r="G48" s="116">
        <f>G34</f>
        <v>1</v>
      </c>
      <c r="H48" s="116">
        <f>H42</f>
        <v>0.96</v>
      </c>
      <c r="I48" s="116">
        <f>I34</f>
        <v>1</v>
      </c>
      <c r="J48" s="116">
        <f t="shared" ref="J48:M48" si="25">J34</f>
        <v>1</v>
      </c>
      <c r="K48" s="116">
        <f t="shared" si="25"/>
        <v>1.05</v>
      </c>
      <c r="L48" s="116" t="e">
        <f>L46</f>
        <v>#REF!</v>
      </c>
      <c r="M48" s="116" t="e">
        <f t="shared" si="25"/>
        <v>#REF!</v>
      </c>
      <c r="N48" s="116">
        <f>N40</f>
        <v>1</v>
      </c>
      <c r="O48" s="116" t="e">
        <f t="shared" ref="O48:P48" si="26">O40</f>
        <v>#REF!</v>
      </c>
      <c r="P48" s="116" t="e">
        <f t="shared" si="26"/>
        <v>#REF!</v>
      </c>
      <c r="Q48" s="116">
        <f>【1】定价因子!F32</f>
        <v>1.03</v>
      </c>
      <c r="R48" s="116">
        <f>R38</f>
        <v>1</v>
      </c>
      <c r="S48" s="116">
        <f t="shared" ref="S48" si="27">S38</f>
        <v>1.03</v>
      </c>
      <c r="T48" s="116">
        <f>T20</f>
        <v>1.02</v>
      </c>
    </row>
    <row r="49" s="85" customFormat="1" spans="1:20">
      <c r="A49" s="85" t="s">
        <v>414</v>
      </c>
      <c r="B49" s="105" t="s">
        <v>415</v>
      </c>
      <c r="C49" s="106" t="s">
        <v>374</v>
      </c>
      <c r="D49" s="109">
        <v>1449</v>
      </c>
      <c r="E49" s="107"/>
      <c r="F49" s="100" t="s">
        <v>152</v>
      </c>
      <c r="G49" s="100" t="s">
        <v>149</v>
      </c>
      <c r="H49" s="100" t="s">
        <v>352</v>
      </c>
      <c r="I49" s="100" t="s">
        <v>54</v>
      </c>
      <c r="J49" s="100" t="s">
        <v>54</v>
      </c>
      <c r="K49" s="112" t="s">
        <v>51</v>
      </c>
      <c r="L49" s="100" t="s">
        <v>353</v>
      </c>
      <c r="M49" s="100" t="s">
        <v>63</v>
      </c>
      <c r="N49" s="100" t="s">
        <v>63</v>
      </c>
      <c r="O49" s="101" t="s">
        <v>63</v>
      </c>
      <c r="P49" s="100" t="s">
        <v>54</v>
      </c>
      <c r="Q49" s="116" t="s">
        <v>378</v>
      </c>
      <c r="R49" s="100" t="s">
        <v>134</v>
      </c>
      <c r="S49" s="101" t="s">
        <v>375</v>
      </c>
      <c r="T49" s="100" t="s">
        <v>63</v>
      </c>
    </row>
    <row r="50" s="85" customFormat="1" spans="1:20">
      <c r="B50" s="105"/>
      <c r="C50" s="106" t="s">
        <v>376</v>
      </c>
      <c r="D50" s="109" t="e">
        <f>项目基准价!$C$13*PRODUCT(赋权表!F50:T50)</f>
        <v>#REF!</v>
      </c>
      <c r="E50" s="122" t="e">
        <f>D49/D50-1</f>
        <v>#REF!</v>
      </c>
      <c r="F50" s="116" t="e">
        <f>F26</f>
        <v>#REF!</v>
      </c>
      <c r="G50" s="116">
        <f t="shared" ref="G50:M50" si="28">G26</f>
        <v>1</v>
      </c>
      <c r="H50" s="116">
        <f t="shared" si="28"/>
        <v>0.96</v>
      </c>
      <c r="I50" s="116">
        <f t="shared" si="28"/>
        <v>1</v>
      </c>
      <c r="J50" s="116">
        <f t="shared" si="28"/>
        <v>1</v>
      </c>
      <c r="K50" s="116">
        <f t="shared" si="28"/>
        <v>1</v>
      </c>
      <c r="L50" s="116" t="e">
        <f t="shared" si="28"/>
        <v>#REF!</v>
      </c>
      <c r="M50" s="116" t="e">
        <f t="shared" si="28"/>
        <v>#REF!</v>
      </c>
      <c r="N50" s="116">
        <f>N48</f>
        <v>1</v>
      </c>
      <c r="O50" s="116" t="e">
        <f>O48</f>
        <v>#REF!</v>
      </c>
      <c r="P50" s="116" t="e">
        <f>P48</f>
        <v>#REF!</v>
      </c>
      <c r="Q50" s="116">
        <f>Q46</f>
        <v>1.02</v>
      </c>
      <c r="R50" s="116">
        <f>R46</f>
        <v>1.04</v>
      </c>
      <c r="S50" s="116">
        <f>S44</f>
        <v>1</v>
      </c>
      <c r="T50" s="116">
        <f>T46</f>
        <v>1</v>
      </c>
    </row>
    <row r="51" s="85" customFormat="1" spans="1:20">
      <c r="B51" s="105" t="s">
        <v>416</v>
      </c>
      <c r="C51" s="106" t="s">
        <v>374</v>
      </c>
      <c r="D51" s="109">
        <v>1449</v>
      </c>
      <c r="E51" s="107"/>
      <c r="F51" s="100" t="s">
        <v>152</v>
      </c>
      <c r="G51" s="100" t="s">
        <v>149</v>
      </c>
      <c r="H51" s="100" t="s">
        <v>352</v>
      </c>
      <c r="I51" s="100" t="s">
        <v>54</v>
      </c>
      <c r="J51" s="100" t="s">
        <v>54</v>
      </c>
      <c r="K51" s="100" t="s">
        <v>54</v>
      </c>
      <c r="L51" s="100" t="s">
        <v>371</v>
      </c>
      <c r="M51" s="100" t="s">
        <v>63</v>
      </c>
      <c r="N51" s="100" t="s">
        <v>63</v>
      </c>
      <c r="O51" s="101" t="s">
        <v>63</v>
      </c>
      <c r="P51" s="100" t="s">
        <v>54</v>
      </c>
      <c r="Q51" s="116" t="s">
        <v>354</v>
      </c>
      <c r="R51" s="100" t="s">
        <v>63</v>
      </c>
      <c r="S51" s="100" t="s">
        <v>63</v>
      </c>
      <c r="T51" s="100" t="s">
        <v>63</v>
      </c>
    </row>
    <row r="52" s="85" customFormat="1" spans="1:20">
      <c r="B52" s="105"/>
      <c r="C52" s="106" t="s">
        <v>376</v>
      </c>
      <c r="D52" s="109" t="e">
        <f>项目基准价!$C$13*PRODUCT(赋权表!F52:T52)</f>
        <v>#REF!</v>
      </c>
      <c r="E52" s="122" t="e">
        <f>D51/D52-1</f>
        <v>#REF!</v>
      </c>
      <c r="F52" s="116" t="e">
        <f>F14</f>
        <v>#REF!</v>
      </c>
      <c r="G52" s="116">
        <f t="shared" ref="G52:M52" si="29">G14</f>
        <v>1</v>
      </c>
      <c r="H52" s="116">
        <f t="shared" si="29"/>
        <v>0.96</v>
      </c>
      <c r="I52" s="116">
        <f t="shared" si="29"/>
        <v>1</v>
      </c>
      <c r="J52" s="116">
        <f t="shared" si="29"/>
        <v>1</v>
      </c>
      <c r="K52" s="116">
        <f t="shared" si="29"/>
        <v>1</v>
      </c>
      <c r="L52" s="116" t="e">
        <f t="shared" si="29"/>
        <v>#REF!</v>
      </c>
      <c r="M52" s="116" t="e">
        <f t="shared" si="29"/>
        <v>#REF!</v>
      </c>
      <c r="N52" s="116">
        <f>N50</f>
        <v>1</v>
      </c>
      <c r="O52" s="116" t="e">
        <f t="shared" ref="O52:P52" si="30">O50</f>
        <v>#REF!</v>
      </c>
      <c r="P52" s="116" t="e">
        <f t="shared" si="30"/>
        <v>#REF!</v>
      </c>
      <c r="Q52" s="116">
        <f>Q8</f>
        <v>1</v>
      </c>
      <c r="R52" s="116">
        <f>R48</f>
        <v>1</v>
      </c>
      <c r="S52" s="116">
        <f t="shared" ref="S52" si="31">S48</f>
        <v>1.03</v>
      </c>
      <c r="T52" s="116">
        <f>T46</f>
        <v>1</v>
      </c>
    </row>
    <row r="53" s="85" customFormat="1" spans="1:20">
      <c r="B53" s="105" t="s">
        <v>417</v>
      </c>
      <c r="C53" s="106"/>
      <c r="D53" s="105"/>
      <c r="E53" s="107"/>
      <c r="F53" s="108">
        <f>SUM(F55:F71)</f>
        <v>152</v>
      </c>
      <c r="G53" s="108">
        <f t="shared" ref="G53:T53" si="32">SUM(G55:G71)</f>
        <v>65</v>
      </c>
      <c r="H53" s="108">
        <f t="shared" si="32"/>
        <v>32</v>
      </c>
      <c r="I53" s="108">
        <f t="shared" si="32"/>
        <v>125</v>
      </c>
      <c r="J53" s="108">
        <f t="shared" si="32"/>
        <v>139</v>
      </c>
      <c r="K53" s="108">
        <f t="shared" si="32"/>
        <v>51</v>
      </c>
      <c r="L53" s="108">
        <f t="shared" si="32"/>
        <v>38</v>
      </c>
      <c r="M53" s="108">
        <f t="shared" si="32"/>
        <v>26</v>
      </c>
      <c r="N53" s="108">
        <f t="shared" si="32"/>
        <v>154</v>
      </c>
      <c r="O53" s="108">
        <f t="shared" si="32"/>
        <v>123</v>
      </c>
      <c r="P53" s="108">
        <f t="shared" si="32"/>
        <v>144</v>
      </c>
      <c r="Q53" s="108">
        <f t="shared" si="32"/>
        <v>74</v>
      </c>
      <c r="R53" s="108">
        <f t="shared" si="32"/>
        <v>86</v>
      </c>
      <c r="S53" s="108">
        <f t="shared" si="32"/>
        <v>161</v>
      </c>
      <c r="T53" s="108">
        <f t="shared" si="32"/>
        <v>100</v>
      </c>
    </row>
    <row r="54" s="85" customFormat="1" spans="1:20">
      <c r="A54" s="130">
        <f>6%/150</f>
        <v>0.0004</v>
      </c>
      <c r="B54" s="105" t="s">
        <v>418</v>
      </c>
      <c r="C54" s="106"/>
      <c r="D54" s="105"/>
      <c r="E54" s="107"/>
      <c r="F54" s="131">
        <v>0.06</v>
      </c>
      <c r="G54" s="131">
        <v>0.025</v>
      </c>
      <c r="H54" s="131">
        <v>0.015</v>
      </c>
      <c r="I54" s="131">
        <v>0.05</v>
      </c>
      <c r="J54" s="131">
        <v>0.055</v>
      </c>
      <c r="K54" s="131">
        <v>0.02</v>
      </c>
      <c r="L54" s="131">
        <v>0.015</v>
      </c>
      <c r="M54" s="131">
        <v>0.01</v>
      </c>
      <c r="N54" s="131">
        <v>0.06</v>
      </c>
      <c r="O54" s="131">
        <v>0.05</v>
      </c>
      <c r="P54" s="131">
        <v>0.06</v>
      </c>
      <c r="Q54" s="131">
        <v>0.015</v>
      </c>
      <c r="R54" s="131">
        <v>0.035</v>
      </c>
      <c r="S54" s="131">
        <v>0.065</v>
      </c>
      <c r="T54" s="131">
        <v>0.04</v>
      </c>
    </row>
    <row r="55" spans="1:20">
      <c r="A55" s="87" t="s">
        <v>419</v>
      </c>
      <c r="E55" s="132"/>
      <c r="F55" s="133">
        <v>20</v>
      </c>
      <c r="G55" s="87">
        <v>2</v>
      </c>
      <c r="H55" s="87">
        <v>12</v>
      </c>
      <c r="I55" s="87">
        <v>20</v>
      </c>
      <c r="J55" s="87">
        <v>10</v>
      </c>
      <c r="K55" s="87">
        <v>8</v>
      </c>
      <c r="L55" s="87">
        <v>12</v>
      </c>
      <c r="M55" s="87">
        <v>0</v>
      </c>
      <c r="N55" s="87">
        <v>26</v>
      </c>
      <c r="O55" s="87">
        <v>18</v>
      </c>
      <c r="P55" s="87">
        <v>26</v>
      </c>
      <c r="Q55" s="87">
        <v>10</v>
      </c>
      <c r="R55" s="87">
        <v>4</v>
      </c>
      <c r="S55" s="87">
        <v>26</v>
      </c>
      <c r="T55" s="87">
        <v>16</v>
      </c>
    </row>
    <row r="56" spans="1:20">
      <c r="A56" s="87" t="s">
        <v>420</v>
      </c>
      <c r="E56" s="132"/>
      <c r="F56" s="133">
        <v>13</v>
      </c>
      <c r="G56" s="87">
        <v>7</v>
      </c>
      <c r="H56" s="87">
        <v>1</v>
      </c>
      <c r="I56" s="87">
        <v>10</v>
      </c>
      <c r="J56" s="87">
        <v>14</v>
      </c>
      <c r="K56" s="87">
        <v>2</v>
      </c>
      <c r="L56" s="87">
        <v>3</v>
      </c>
      <c r="M56" s="87">
        <v>0</v>
      </c>
      <c r="N56" s="87">
        <v>9</v>
      </c>
      <c r="O56" s="87">
        <v>8</v>
      </c>
      <c r="P56" s="87">
        <v>11</v>
      </c>
      <c r="Q56" s="87">
        <v>4</v>
      </c>
      <c r="R56" s="87">
        <v>6</v>
      </c>
      <c r="S56" s="87">
        <v>11</v>
      </c>
      <c r="T56" s="87">
        <v>6</v>
      </c>
    </row>
    <row r="57" spans="1:20">
      <c r="A57" s="87" t="s">
        <v>421</v>
      </c>
      <c r="E57" s="132"/>
      <c r="F57" s="133">
        <v>20</v>
      </c>
      <c r="G57" s="87">
        <v>4</v>
      </c>
      <c r="H57" s="87">
        <v>8</v>
      </c>
      <c r="I57" s="87">
        <v>12</v>
      </c>
      <c r="J57" s="87">
        <v>18</v>
      </c>
      <c r="K57" s="87">
        <v>6</v>
      </c>
      <c r="L57" s="87">
        <v>0</v>
      </c>
      <c r="M57" s="87">
        <v>2</v>
      </c>
      <c r="N57" s="87">
        <v>26</v>
      </c>
      <c r="O57" s="87">
        <v>12</v>
      </c>
      <c r="P57" s="87">
        <v>24</v>
      </c>
      <c r="Q57" s="87">
        <v>20</v>
      </c>
      <c r="R57" s="87">
        <v>16</v>
      </c>
      <c r="S57" s="87">
        <v>28</v>
      </c>
      <c r="T57" s="87">
        <v>14</v>
      </c>
    </row>
    <row r="58" spans="1:20">
      <c r="A58" s="87" t="s">
        <v>422</v>
      </c>
      <c r="E58" s="132"/>
      <c r="F58" s="133">
        <v>14</v>
      </c>
      <c r="G58" s="87">
        <v>13</v>
      </c>
      <c r="H58" s="87">
        <v>4</v>
      </c>
      <c r="I58" s="87">
        <v>5</v>
      </c>
      <c r="J58" s="87">
        <v>5</v>
      </c>
      <c r="K58" s="87">
        <v>8</v>
      </c>
      <c r="L58" s="87">
        <v>1</v>
      </c>
      <c r="M58" s="87">
        <v>2</v>
      </c>
      <c r="N58" s="87">
        <v>4</v>
      </c>
      <c r="O58" s="87">
        <v>10</v>
      </c>
      <c r="P58" s="87">
        <v>12</v>
      </c>
      <c r="Q58" s="87">
        <v>0</v>
      </c>
      <c r="R58" s="87">
        <v>7</v>
      </c>
      <c r="S58" s="87">
        <v>11</v>
      </c>
      <c r="T58" s="87">
        <v>9</v>
      </c>
    </row>
    <row r="59" spans="1:20">
      <c r="A59" s="87" t="s">
        <v>423</v>
      </c>
      <c r="E59" s="132"/>
      <c r="F59" s="133">
        <v>13</v>
      </c>
      <c r="G59" s="87">
        <v>5</v>
      </c>
      <c r="H59" s="87">
        <v>3</v>
      </c>
      <c r="I59" s="87">
        <v>12</v>
      </c>
      <c r="J59" s="87">
        <v>14</v>
      </c>
      <c r="K59" s="87">
        <v>2</v>
      </c>
      <c r="L59" s="87">
        <v>0</v>
      </c>
      <c r="M59" s="87">
        <v>1</v>
      </c>
      <c r="N59" s="87">
        <v>7</v>
      </c>
      <c r="O59" s="87">
        <v>6</v>
      </c>
      <c r="P59" s="87">
        <v>9</v>
      </c>
      <c r="Q59" s="87">
        <v>4</v>
      </c>
      <c r="R59" s="87">
        <v>10</v>
      </c>
      <c r="S59" s="87">
        <v>10</v>
      </c>
      <c r="T59" s="87">
        <v>9</v>
      </c>
    </row>
    <row r="60" spans="1:20">
      <c r="A60" s="87" t="s">
        <v>424</v>
      </c>
      <c r="E60" s="132"/>
      <c r="F60" s="133">
        <v>24</v>
      </c>
      <c r="G60" s="87">
        <v>8</v>
      </c>
      <c r="H60" s="87">
        <v>0</v>
      </c>
      <c r="I60" s="87">
        <v>20</v>
      </c>
      <c r="J60" s="87">
        <v>26</v>
      </c>
      <c r="K60" s="87">
        <v>4</v>
      </c>
      <c r="L60" s="87">
        <v>8</v>
      </c>
      <c r="M60" s="87">
        <v>10</v>
      </c>
      <c r="N60" s="87">
        <v>18</v>
      </c>
      <c r="O60" s="87">
        <v>20</v>
      </c>
      <c r="P60" s="87">
        <v>16</v>
      </c>
      <c r="Q60" s="87">
        <v>8</v>
      </c>
      <c r="R60" s="87">
        <v>8</v>
      </c>
      <c r="S60" s="87">
        <v>24</v>
      </c>
      <c r="T60" s="87">
        <v>16</v>
      </c>
    </row>
    <row r="61" spans="1:20">
      <c r="A61" s="87" t="s">
        <v>425</v>
      </c>
      <c r="E61" s="132"/>
      <c r="F61" s="133">
        <v>22</v>
      </c>
      <c r="G61" s="87">
        <v>10</v>
      </c>
      <c r="H61" s="87">
        <v>2</v>
      </c>
      <c r="I61" s="87">
        <v>10</v>
      </c>
      <c r="J61" s="87">
        <v>10</v>
      </c>
      <c r="K61" s="87">
        <v>6</v>
      </c>
      <c r="L61" s="87">
        <v>4</v>
      </c>
      <c r="M61" s="87">
        <v>0</v>
      </c>
      <c r="N61" s="87">
        <v>26</v>
      </c>
      <c r="O61" s="87">
        <v>28</v>
      </c>
      <c r="P61" s="87">
        <v>22</v>
      </c>
      <c r="Q61" s="87">
        <v>14</v>
      </c>
      <c r="R61" s="87">
        <v>18</v>
      </c>
      <c r="S61" s="87">
        <v>22</v>
      </c>
      <c r="T61" s="87">
        <v>16</v>
      </c>
    </row>
    <row r="62" spans="1:20">
      <c r="A62" s="87" t="s">
        <v>426</v>
      </c>
      <c r="E62" s="132"/>
      <c r="F62" s="133">
        <v>8</v>
      </c>
      <c r="G62" s="87">
        <v>2</v>
      </c>
      <c r="H62" s="87">
        <v>0</v>
      </c>
      <c r="I62" s="87">
        <v>10</v>
      </c>
      <c r="J62" s="87">
        <v>14</v>
      </c>
      <c r="K62" s="87">
        <v>1</v>
      </c>
      <c r="L62" s="87">
        <v>4</v>
      </c>
      <c r="M62" s="87">
        <v>9</v>
      </c>
      <c r="N62" s="87">
        <v>6</v>
      </c>
      <c r="O62" s="87">
        <v>11</v>
      </c>
      <c r="P62" s="87">
        <v>6</v>
      </c>
      <c r="Q62" s="87">
        <v>4</v>
      </c>
      <c r="R62" s="87">
        <v>5</v>
      </c>
      <c r="S62" s="87">
        <v>13</v>
      </c>
      <c r="T62" s="87">
        <v>12</v>
      </c>
    </row>
    <row r="63" spans="1:20">
      <c r="A63" s="87" t="s">
        <v>427</v>
      </c>
      <c r="E63" s="132"/>
      <c r="F63" s="133">
        <v>18</v>
      </c>
      <c r="G63" s="87">
        <v>14</v>
      </c>
      <c r="H63" s="87">
        <v>2</v>
      </c>
      <c r="I63" s="87">
        <v>26</v>
      </c>
      <c r="J63" s="87">
        <v>28</v>
      </c>
      <c r="K63" s="87">
        <v>14</v>
      </c>
      <c r="L63" s="87">
        <v>6</v>
      </c>
      <c r="M63" s="87">
        <v>2</v>
      </c>
      <c r="N63" s="87">
        <v>32</v>
      </c>
      <c r="O63" s="87">
        <v>10</v>
      </c>
      <c r="P63" s="87">
        <v>18</v>
      </c>
      <c r="Q63" s="87">
        <v>10</v>
      </c>
      <c r="R63" s="87">
        <v>12</v>
      </c>
      <c r="S63" s="87">
        <v>16</v>
      </c>
      <c r="T63" s="87">
        <v>2</v>
      </c>
    </row>
    <row r="64" spans="1:20">
      <c r="E64" s="132"/>
      <c r="F64" s="133"/>
    </row>
    <row r="65" spans="5:6">
      <c r="E65" s="132"/>
      <c r="F65" s="133"/>
    </row>
    <row r="66" spans="5:6">
      <c r="E66" s="132"/>
      <c r="F66" s="133"/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"/>
  <sheetViews>
    <sheetView workbookViewId="0">
      <selection activeCell="A70" sqref="A70"/>
    </sheetView>
  </sheetViews>
  <sheetFormatPr defaultColWidth="8.44444444444444" defaultRowHeight="13.8"/>
  <cols>
    <col min="1" max="1" width="14.3333333333333" style="3" customWidth="1"/>
  </cols>
  <sheetData>
    <row r="1" spans="1:1">
      <c r="A1" s="81" t="s">
        <v>342</v>
      </c>
    </row>
    <row r="2" spans="1:1">
      <c r="A2" s="81" t="s">
        <v>148</v>
      </c>
    </row>
    <row r="3" spans="1:1">
      <c r="A3" s="81" t="s">
        <v>343</v>
      </c>
    </row>
    <row r="4" spans="1:1">
      <c r="A4" s="81" t="s">
        <v>162</v>
      </c>
    </row>
    <row r="5" spans="1:1">
      <c r="A5" s="81" t="s">
        <v>167</v>
      </c>
    </row>
    <row r="6" spans="1:1">
      <c r="A6" s="81" t="s">
        <v>428</v>
      </c>
    </row>
    <row r="7" spans="1:1">
      <c r="A7" s="81" t="s">
        <v>346</v>
      </c>
    </row>
    <row r="8" spans="1:1">
      <c r="A8" s="82" t="s">
        <v>347</v>
      </c>
    </row>
    <row r="9" spans="1:1">
      <c r="A9" s="83" t="s">
        <v>57</v>
      </c>
    </row>
    <row r="10" spans="1:1">
      <c r="A10" s="83" t="s">
        <v>348</v>
      </c>
    </row>
    <row r="11" spans="1:1">
      <c r="A11" s="83" t="s">
        <v>67</v>
      </c>
    </row>
    <row r="12" spans="1:1">
      <c r="A12" s="84" t="s">
        <v>68</v>
      </c>
    </row>
    <row r="13" spans="1:1">
      <c r="A13" s="84" t="s">
        <v>104</v>
      </c>
    </row>
    <row r="14" spans="1:1">
      <c r="A14" s="83" t="s">
        <v>349</v>
      </c>
    </row>
    <row r="15" spans="1:1">
      <c r="A15" s="83" t="s">
        <v>119</v>
      </c>
    </row>
    <row r="16" spans="1:1">
      <c r="A16" s="84" t="s">
        <v>154</v>
      </c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C39" sqref="C39"/>
    </sheetView>
  </sheetViews>
  <sheetFormatPr defaultColWidth="8.44444444444444" defaultRowHeight="13.8" outlineLevelCol="7"/>
  <cols>
    <col min="1" max="1" width="7.66666666666667" customWidth="1"/>
    <col min="2" max="2" width="16" customWidth="1"/>
    <col min="3" max="3" width="14.6666666666667" customWidth="1"/>
    <col min="4" max="4" width="11.7777777777778" style="30" customWidth="1" outlineLevel="1"/>
    <col min="5" max="5" width="9.66666666666667" hidden="1" customWidth="1" outlineLevel="1"/>
    <col min="6" max="6" width="12.6666666666667" customWidth="1" outlineLevel="1"/>
    <col min="7" max="7" width="9.66666666666667" hidden="1" customWidth="1" outlineLevel="1"/>
    <col min="8" max="8" width="14.6666666666667" style="76" customWidth="1"/>
  </cols>
  <sheetData>
    <row r="1" ht="16.2" customHeight="1" spans="1:8">
      <c r="A1" s="77" t="s">
        <v>429</v>
      </c>
      <c r="B1" s="77" t="s">
        <v>36</v>
      </c>
      <c r="C1" s="78" t="s">
        <v>430</v>
      </c>
      <c r="D1" s="77" t="s">
        <v>33</v>
      </c>
      <c r="E1" s="79" t="s">
        <v>431</v>
      </c>
      <c r="F1" s="77" t="s">
        <v>50</v>
      </c>
      <c r="G1" s="79" t="s">
        <v>432</v>
      </c>
      <c r="H1" s="80" t="s">
        <v>433</v>
      </c>
    </row>
    <row r="2" s="2" customFormat="1" ht="16.95" customHeight="1" spans="1:8">
      <c r="A2" s="2" t="str">
        <f>'【2】运营中心填-基本信息&amp;审核标准'!$E$2</f>
        <v>1-51栋</v>
      </c>
      <c r="B2" s="2" t="str">
        <f>'【3-2】大区&amp;运营中心填-房间模型价'!K2</f>
        <v>开间</v>
      </c>
      <c r="C2" s="32">
        <v>1612.1</v>
      </c>
      <c r="D2" s="30" t="s">
        <v>47</v>
      </c>
      <c r="E2" s="2">
        <f>VLOOKUP(D2,【1】定价因子!$D:$F,3,0)</f>
        <v>0.96</v>
      </c>
      <c r="F2" s="2" t="str">
        <f>IF('【2】运营中心填-基本信息&amp;审核标准'!$C$4="否","无",IF('【2】运营中心填-基本信息&amp;审核标准'!$C$4="是","有"))</f>
        <v>无</v>
      </c>
      <c r="G2" s="2">
        <f>VLOOKUP(F2,【1】定价因子!D:F,3,0)</f>
        <v>1</v>
      </c>
      <c r="H2" s="32">
        <v>1612.1</v>
      </c>
    </row>
    <row r="3" s="30" customFormat="1" spans="1:8">
      <c r="A3" s="2" t="str">
        <f>'【2】运营中心填-基本信息&amp;审核标准'!$E$2</f>
        <v>1-51栋</v>
      </c>
      <c r="B3" s="2" t="str">
        <f>'【3-2】大区&amp;运营中心填-房间模型价'!K3</f>
        <v>一居室</v>
      </c>
      <c r="C3" s="32">
        <v>2402.5</v>
      </c>
      <c r="D3" s="30" t="s">
        <v>47</v>
      </c>
      <c r="E3" s="2">
        <f>VLOOKUP(D3,【1】定价因子!$D:$F,3,0)</f>
        <v>0.96</v>
      </c>
      <c r="F3" s="2" t="str">
        <f>IF('【2】运营中心填-基本信息&amp;审核标准'!$C$4="否","无",IF('【2】运营中心填-基本信息&amp;审核标准'!$C$4="是","有"))</f>
        <v>无</v>
      </c>
      <c r="G3" s="2">
        <f>VLOOKUP(F3,【1】定价因子!D:F,3,0)</f>
        <v>1</v>
      </c>
      <c r="H3" s="32">
        <v>2402.5</v>
      </c>
    </row>
    <row r="4" spans="1:8">
      <c r="A4" s="2" t="str">
        <f>'【2】运营中心填-基本信息&amp;审核标准'!$E$2</f>
        <v>1-51栋</v>
      </c>
      <c r="B4" s="2" t="str">
        <f>'【3-2】大区&amp;运营中心填-房间模型价'!K4</f>
        <v/>
      </c>
      <c r="C4" s="2" t="e">
        <f>VLOOKUP(B4,【1】定价因子!L:M,2,0)</f>
        <v>#N/A</v>
      </c>
      <c r="D4" s="30" t="s">
        <v>34</v>
      </c>
      <c r="E4" s="2">
        <f>VLOOKUP(D4,【1】定价因子!$D:$F,3,0)</f>
        <v>1.04</v>
      </c>
      <c r="F4" s="2" t="str">
        <f>IF('【2】运营中心填-基本信息&amp;审核标准'!$C$4="否","无",IF('【2】运营中心填-基本信息&amp;审核标准'!$C$4="是","有"))</f>
        <v>无</v>
      </c>
      <c r="G4" s="2">
        <f>VLOOKUP(F4,【1】定价因子!D:F,3,0)</f>
        <v>1</v>
      </c>
      <c r="H4" s="32" t="e">
        <f t="shared" ref="H3:H10" si="0">C4*PRODUCT(G4,,E4)</f>
        <v>#N/A</v>
      </c>
    </row>
    <row r="5" spans="1:8">
      <c r="A5" s="2" t="str">
        <f>'【2】运营中心填-基本信息&amp;审核标准'!$E$2</f>
        <v>1-51栋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30" t="s">
        <v>34</v>
      </c>
      <c r="E5" s="2">
        <f>VLOOKUP(D5,【1】定价因子!$D:$F,3,0)</f>
        <v>1.04</v>
      </c>
      <c r="F5" s="2" t="str">
        <f>IF('【2】运营中心填-基本信息&amp;审核标准'!$C$4="否","无",IF('【2】运营中心填-基本信息&amp;审核标准'!$C$4="是","有"))</f>
        <v>无</v>
      </c>
      <c r="G5" s="2">
        <f>VLOOKUP(F5,【1】定价因子!D:F,3,0)</f>
        <v>1</v>
      </c>
      <c r="H5" s="32" t="e">
        <f t="shared" si="0"/>
        <v>#N/A</v>
      </c>
    </row>
    <row r="6" spans="1:8">
      <c r="A6" s="2" t="str">
        <f>'【2】运营中心填-基本信息&amp;审核标准'!$E$2</f>
        <v>1-51栋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30" t="s">
        <v>34</v>
      </c>
      <c r="E6" s="2">
        <f>VLOOKUP(D6,【1】定价因子!$D:$F,3,0)</f>
        <v>1.04</v>
      </c>
      <c r="F6" s="2" t="str">
        <f>IF('【2】运营中心填-基本信息&amp;审核标准'!$C$4="否","无",IF('【2】运营中心填-基本信息&amp;审核标准'!$C$4="是","有"))</f>
        <v>无</v>
      </c>
      <c r="G6" s="2">
        <f>VLOOKUP(F6,【1】定价因子!D:F,3,0)</f>
        <v>1</v>
      </c>
      <c r="H6" s="32" t="e">
        <f t="shared" si="0"/>
        <v>#N/A</v>
      </c>
    </row>
    <row r="7" spans="1:8">
      <c r="A7" s="2" t="str">
        <f>'【2】运营中心填-基本信息&amp;审核标准'!$E$2</f>
        <v>1-51栋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30" t="s">
        <v>34</v>
      </c>
      <c r="E7" s="2">
        <f>VLOOKUP(D7,【1】定价因子!$D:$F,3,0)</f>
        <v>1.04</v>
      </c>
      <c r="F7" s="2" t="str">
        <f>IF('【2】运营中心填-基本信息&amp;审核标准'!$C$4="否","无",IF('【2】运营中心填-基本信息&amp;审核标准'!$C$4="是","有"))</f>
        <v>无</v>
      </c>
      <c r="G7" s="2">
        <f>VLOOKUP(F7,【1】定价因子!D:F,3,0)</f>
        <v>1</v>
      </c>
      <c r="H7" s="32" t="e">
        <f t="shared" si="0"/>
        <v>#N/A</v>
      </c>
    </row>
    <row r="8" spans="1:8">
      <c r="A8" s="2" t="str">
        <f>'【2】运营中心填-基本信息&amp;审核标准'!$E$2</f>
        <v>1-51栋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30" t="s">
        <v>34</v>
      </c>
      <c r="E8" s="2">
        <f>VLOOKUP(D8,【1】定价因子!$D:$F,3,0)</f>
        <v>1.04</v>
      </c>
      <c r="F8" s="2" t="str">
        <f>IF('【2】运营中心填-基本信息&amp;审核标准'!$C$4="否","无",IF('【2】运营中心填-基本信息&amp;审核标准'!$C$4="是","有"))</f>
        <v>无</v>
      </c>
      <c r="G8" s="2">
        <f>VLOOKUP(F8,【1】定价因子!D:F,3,0)</f>
        <v>1</v>
      </c>
      <c r="H8" s="32" t="e">
        <f t="shared" si="0"/>
        <v>#N/A</v>
      </c>
    </row>
    <row r="9" spans="1:8">
      <c r="A9" s="2" t="str">
        <f>'【2】运营中心填-基本信息&amp;审核标准'!$E$2</f>
        <v>1-51栋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30" t="s">
        <v>34</v>
      </c>
      <c r="E9" s="2">
        <f>VLOOKUP(D9,【1】定价因子!$D:$F,3,0)</f>
        <v>1.04</v>
      </c>
      <c r="F9" s="2" t="str">
        <f>IF('【2】运营中心填-基本信息&amp;审核标准'!$C$4="否","无",IF('【2】运营中心填-基本信息&amp;审核标准'!$C$4="是","有"))</f>
        <v>无</v>
      </c>
      <c r="G9" s="2">
        <f>VLOOKUP(F9,【1】定价因子!D:F,3,0)</f>
        <v>1</v>
      </c>
      <c r="H9" s="32" t="e">
        <f t="shared" si="0"/>
        <v>#N/A</v>
      </c>
    </row>
    <row r="10" spans="1:8">
      <c r="A10" s="2" t="str">
        <f>'【2】运营中心填-基本信息&amp;审核标准'!$E$2</f>
        <v>1-51栋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30" t="s">
        <v>34</v>
      </c>
      <c r="E10" s="2">
        <f>VLOOKUP(D10,【1】定价因子!$D:$F,3,0)</f>
        <v>1.04</v>
      </c>
      <c r="F10" s="2" t="str">
        <f>IF('【2】运营中心填-基本信息&amp;审核标准'!$C$4="否","无",IF('【2】运营中心填-基本信息&amp;审核标准'!$C$4="是","有"))</f>
        <v>无</v>
      </c>
      <c r="G10" s="2">
        <f>VLOOKUP(F10,【1】定价因子!D:F,3,0)</f>
        <v>1</v>
      </c>
      <c r="H10" s="32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00"/>
  <sheetViews>
    <sheetView workbookViewId="0">
      <selection activeCell="A9" sqref="$A9:$XFD9"/>
    </sheetView>
  </sheetViews>
  <sheetFormatPr defaultColWidth="8.66666666666667" defaultRowHeight="13.8"/>
  <cols>
    <col min="1" max="3" width="9.44444444444444" style="2" customWidth="1"/>
    <col min="4" max="4" width="35.4444444444444" style="2" customWidth="1"/>
    <col min="5" max="5" width="11.4444444444444" style="2" customWidth="1"/>
    <col min="6" max="6" width="24.7777777777778" style="2" customWidth="1"/>
    <col min="7" max="7" width="12.7777777777778" style="2" customWidth="1"/>
    <col min="8" max="8" width="13.1111111111111" style="2" customWidth="1"/>
    <col min="9" max="9" width="10.1111111111111" customWidth="1"/>
    <col min="10" max="11" width="7.33333333333333" customWidth="1"/>
    <col min="12" max="12" width="12.4444444444444" customWidth="1"/>
    <col min="13" max="13" width="12.1111111111111" customWidth="1"/>
    <col min="14" max="14" width="17.1111111111111" customWidth="1"/>
    <col min="15" max="15" width="15.6666666666667" customWidth="1"/>
  </cols>
  <sheetData>
    <row r="1" ht="17.4" spans="1:35">
      <c r="D1" s="60" t="s">
        <v>434</v>
      </c>
      <c r="E1" s="60"/>
      <c r="F1" s="60"/>
      <c r="G1" s="60"/>
      <c r="H1" s="3"/>
    </row>
    <row r="2" ht="16.2" spans="1:35">
      <c r="A2" s="61" t="s">
        <v>435</v>
      </c>
      <c r="B2" s="61" t="s">
        <v>348</v>
      </c>
      <c r="C2" s="61" t="s">
        <v>260</v>
      </c>
      <c r="D2" s="62" t="s">
        <v>436</v>
      </c>
      <c r="E2" s="62" t="s">
        <v>437</v>
      </c>
      <c r="F2" s="63" t="s">
        <v>438</v>
      </c>
      <c r="G2" s="62" t="s">
        <v>439</v>
      </c>
      <c r="H2" s="61" t="s">
        <v>440</v>
      </c>
      <c r="I2" s="62" t="s">
        <v>441</v>
      </c>
      <c r="J2" s="64"/>
      <c r="K2" s="64"/>
      <c r="L2" s="65" t="s">
        <v>442</v>
      </c>
      <c r="M2" s="65"/>
      <c r="N2" s="65"/>
      <c r="O2" s="65"/>
    </row>
    <row r="3" ht="16.2" spans="1:35">
      <c r="A3" s="35">
        <f>'【3-2】大区&amp;运营中心填-房间模型价'!H2</f>
        <v>101</v>
      </c>
      <c r="B3" s="35" t="str">
        <f>'【3-2】大区&amp;运营中心填-房间模型价'!I2</f>
        <v>1-51A</v>
      </c>
      <c r="C3" s="66" t="str">
        <f>VLOOKUP(A3,'【3-2】大区&amp;运营中心填-房间模型价'!H:J,3,0)</f>
        <v>开间</v>
      </c>
      <c r="D3" s="67">
        <v>1</v>
      </c>
      <c r="E3" s="67">
        <v>0</v>
      </c>
      <c r="F3" s="67">
        <v>0</v>
      </c>
      <c r="G3" s="67">
        <v>1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68"/>
      <c r="J3" s="69"/>
      <c r="K3" s="69"/>
      <c r="L3" s="65" t="s">
        <v>443</v>
      </c>
      <c r="M3" s="65"/>
      <c r="N3" s="65"/>
      <c r="O3" s="65" t="s">
        <v>444</v>
      </c>
    </row>
    <row r="4" ht="15.6" spans="1:35">
      <c r="A4" s="35">
        <f>'【3-2】大区&amp;运营中心填-房间模型价'!H3</f>
        <v>102</v>
      </c>
      <c r="B4" s="35" t="str">
        <f>'【3-2】大区&amp;运营中心填-房间模型价'!I3</f>
        <v>1-51B</v>
      </c>
      <c r="C4" s="66" t="str">
        <f>VLOOKUP(A4,'【3-2】大区&amp;运营中心填-房间模型价'!H:J,3,0)</f>
        <v>一居室</v>
      </c>
      <c r="D4" s="67">
        <v>2</v>
      </c>
      <c r="E4" s="67">
        <v>0</v>
      </c>
      <c r="F4" s="67">
        <v>0</v>
      </c>
      <c r="G4" s="67">
        <v>2</v>
      </c>
      <c r="H4" s="13" t="str">
        <f t="shared" ref="H4:H38" si="0">IF(C4="开间",IF(D4+E4*2-G4&lt;=0,"1",IF(D4+E4*2-G4&lt;=1,"2",IF(D4+E4*2-G4&lt;=2,"3",IF(D4+E4*2-G4&lt;=3,"4","5")))),IF(D4+E4*2-G4&lt;1.1,"1",IF(D4+E4*2-G4&lt;=2,"2",IF(D4+E4*2-G4&lt;=3,"3",IF(D4+E4*2-G4&lt;=4,"4","5")))))</f>
        <v>1</v>
      </c>
      <c r="I4" s="68"/>
      <c r="J4" s="69"/>
      <c r="K4" s="69"/>
      <c r="L4" s="4" t="s">
        <v>445</v>
      </c>
      <c r="M4" s="4"/>
      <c r="N4" s="4"/>
      <c r="O4" s="4">
        <v>-1</v>
      </c>
    </row>
    <row r="5" ht="15.6" spans="1:35">
      <c r="A5" s="35">
        <f>'【3-2】大区&amp;运营中心填-房间模型价'!H4</f>
        <v>103</v>
      </c>
      <c r="B5" s="35" t="str">
        <f>'【3-2】大区&amp;运营中心填-房间模型价'!I4</f>
        <v>1-51C</v>
      </c>
      <c r="C5" s="66" t="str">
        <f>VLOOKUP(A5,'【3-2】大区&amp;运营中心填-房间模型价'!H:J,3,0)</f>
        <v>开间</v>
      </c>
      <c r="D5" s="13">
        <v>1</v>
      </c>
      <c r="E5" s="13">
        <v>0</v>
      </c>
      <c r="F5" s="13">
        <v>0</v>
      </c>
      <c r="G5" s="13">
        <v>1</v>
      </c>
      <c r="H5" s="13" t="str">
        <f t="shared" si="0"/>
        <v>1</v>
      </c>
      <c r="I5" s="70"/>
      <c r="L5" s="71" t="s">
        <v>446</v>
      </c>
      <c r="M5" s="4" t="s">
        <v>447</v>
      </c>
      <c r="N5" s="4"/>
      <c r="O5" s="4">
        <v>0</v>
      </c>
    </row>
    <row r="6" ht="15.6" spans="1:35">
      <c r="A6" s="35">
        <f>'【3-2】大区&amp;运营中心填-房间模型价'!H5</f>
        <v>201</v>
      </c>
      <c r="B6" s="35" t="str">
        <f>'【3-2】大区&amp;运营中心填-房间模型价'!I5</f>
        <v>1-51D</v>
      </c>
      <c r="C6" s="66" t="str">
        <f>VLOOKUP(A6,'【3-2】大区&amp;运营中心填-房间模型价'!H:J,3,0)</f>
        <v>开间</v>
      </c>
      <c r="D6" s="67">
        <v>1.5</v>
      </c>
      <c r="E6" s="67">
        <v>0</v>
      </c>
      <c r="F6" s="67">
        <v>0</v>
      </c>
      <c r="G6" s="67">
        <v>1.5</v>
      </c>
      <c r="H6" s="13" t="str">
        <f t="shared" si="0"/>
        <v>1</v>
      </c>
      <c r="I6" s="70"/>
      <c r="L6" s="72"/>
      <c r="M6" s="73" t="s">
        <v>448</v>
      </c>
      <c r="N6" s="10"/>
      <c r="O6" s="4">
        <v>0</v>
      </c>
    </row>
    <row r="7" ht="15.6" spans="1:35">
      <c r="A7" s="35">
        <f>'【3-2】大区&amp;运营中心填-房间模型价'!H6</f>
        <v>202</v>
      </c>
      <c r="B7" s="35" t="str">
        <f>'【3-2】大区&amp;运营中心填-房间模型价'!I6</f>
        <v>1-51E</v>
      </c>
      <c r="C7" s="66" t="str">
        <f>VLOOKUP(A7,'【3-2】大区&amp;运营中心填-房间模型价'!H:J,3,0)</f>
        <v>开间</v>
      </c>
      <c r="D7" s="67">
        <v>2.5</v>
      </c>
      <c r="E7" s="67">
        <v>0</v>
      </c>
      <c r="F7" s="67">
        <v>0</v>
      </c>
      <c r="G7" s="67">
        <v>1.5</v>
      </c>
      <c r="H7" s="13" t="str">
        <f t="shared" si="0"/>
        <v>2</v>
      </c>
      <c r="I7" s="70"/>
      <c r="L7" s="72"/>
      <c r="M7" s="73" t="s">
        <v>449</v>
      </c>
      <c r="N7" s="10"/>
      <c r="O7" s="4" t="s">
        <v>450</v>
      </c>
    </row>
    <row r="8" ht="15.6" spans="1:35">
      <c r="A8" s="35">
        <f>'【3-2】大区&amp;运营中心填-房间模型价'!H7</f>
        <v>203</v>
      </c>
      <c r="B8" s="35" t="str">
        <f>'【3-2】大区&amp;运营中心填-房间模型价'!I7</f>
        <v>1-51F</v>
      </c>
      <c r="C8" s="66" t="str">
        <f>VLOOKUP(A8,'【3-2】大区&amp;运营中心填-房间模型价'!H:J,3,0)</f>
        <v>开间</v>
      </c>
      <c r="D8" s="67">
        <v>1</v>
      </c>
      <c r="E8" s="67">
        <v>0</v>
      </c>
      <c r="F8" s="67">
        <v>0</v>
      </c>
      <c r="G8" s="67">
        <v>0</v>
      </c>
      <c r="H8" s="13" t="str">
        <f t="shared" si="0"/>
        <v>2</v>
      </c>
      <c r="I8" s="70"/>
      <c r="L8" s="74"/>
      <c r="M8" s="73" t="s">
        <v>451</v>
      </c>
      <c r="N8" s="10"/>
      <c r="O8" s="4" t="s">
        <v>450</v>
      </c>
    </row>
    <row r="9" ht="15.6" spans="1:35">
      <c r="A9" s="35">
        <f>'【3-2】大区&amp;运营中心填-房间模型价'!H8</f>
        <v>204</v>
      </c>
      <c r="B9" s="35" t="str">
        <f>'【3-2】大区&amp;运营中心填-房间模型价'!I8</f>
        <v>1-51G</v>
      </c>
      <c r="C9" s="66" t="str">
        <f>VLOOKUP(A9,'【3-2】大区&amp;运营中心填-房间模型价'!H:J,3,0)</f>
        <v>开间</v>
      </c>
      <c r="D9" s="67">
        <v>2.5</v>
      </c>
      <c r="E9" s="67">
        <v>0</v>
      </c>
      <c r="F9" s="67">
        <v>0</v>
      </c>
      <c r="G9" s="67">
        <v>1.5</v>
      </c>
      <c r="H9" s="13" t="str">
        <f t="shared" si="0"/>
        <v>2</v>
      </c>
      <c r="I9" s="70"/>
      <c r="L9" s="4"/>
      <c r="M9" s="4"/>
      <c r="N9" s="4"/>
      <c r="O9" s="4"/>
    </row>
    <row r="10" spans="1:35">
      <c r="A10" s="35">
        <f>'【3-2】大区&amp;运营中心填-房间模型价'!H9</f>
        <v>205</v>
      </c>
      <c r="B10" s="35" t="str">
        <f>'【3-2】大区&amp;运营中心填-房间模型价'!I9</f>
        <v>1-51D</v>
      </c>
      <c r="C10" s="66" t="str">
        <f>VLOOKUP(A10,'【3-2】大区&amp;运营中心填-房间模型价'!H:J,3,0)</f>
        <v>开间</v>
      </c>
      <c r="D10" s="67">
        <v>1.5</v>
      </c>
      <c r="E10" s="67">
        <v>0</v>
      </c>
      <c r="F10" s="67">
        <v>0</v>
      </c>
      <c r="G10" s="67">
        <v>1.5</v>
      </c>
      <c r="H10" s="13" t="str">
        <f t="shared" si="0"/>
        <v>1</v>
      </c>
      <c r="I10" s="70"/>
    </row>
    <row r="11" spans="1:35">
      <c r="A11" s="35">
        <f>'【3-2】大区&amp;运营中心填-房间模型价'!H10</f>
        <v>301</v>
      </c>
      <c r="B11" s="35" t="str">
        <f>'【3-2】大区&amp;运营中心填-房间模型价'!I10</f>
        <v>1-51D</v>
      </c>
      <c r="C11" s="66" t="str">
        <f>VLOOKUP(A11,'【3-2】大区&amp;运营中心填-房间模型价'!H:J,3,0)</f>
        <v>开间</v>
      </c>
      <c r="D11" s="67">
        <v>1.5</v>
      </c>
      <c r="E11" s="67">
        <v>0</v>
      </c>
      <c r="F11" s="67">
        <v>0</v>
      </c>
      <c r="G11" s="67">
        <v>1.5</v>
      </c>
      <c r="H11" s="13" t="str">
        <f t="shared" si="0"/>
        <v>1</v>
      </c>
      <c r="I11" s="70"/>
    </row>
    <row r="12" spans="1:35">
      <c r="A12" s="35">
        <f>'【3-2】大区&amp;运营中心填-房间模型价'!H11</f>
        <v>302</v>
      </c>
      <c r="B12" s="35" t="str">
        <f>'【3-2】大区&amp;运营中心填-房间模型价'!I11</f>
        <v>1-51E</v>
      </c>
      <c r="C12" s="66" t="str">
        <f>VLOOKUP(A12,'【3-2】大区&amp;运营中心填-房间模型价'!H:J,3,0)</f>
        <v>开间</v>
      </c>
      <c r="D12" s="67">
        <v>2.5</v>
      </c>
      <c r="E12" s="67">
        <v>0</v>
      </c>
      <c r="F12" s="67">
        <v>0</v>
      </c>
      <c r="G12" s="67">
        <v>1.5</v>
      </c>
      <c r="H12" s="13" t="str">
        <f t="shared" si="0"/>
        <v>2</v>
      </c>
      <c r="I12" s="70"/>
    </row>
    <row r="13" spans="1:35">
      <c r="A13" s="35">
        <f>'【3-2】大区&amp;运营中心填-房间模型价'!H12</f>
        <v>303</v>
      </c>
      <c r="B13" s="35" t="str">
        <f>'【3-2】大区&amp;运营中心填-房间模型价'!I12</f>
        <v>1-51F</v>
      </c>
      <c r="C13" s="66" t="str">
        <f>VLOOKUP(A13,'【3-2】大区&amp;运营中心填-房间模型价'!H:J,3,0)</f>
        <v>开间</v>
      </c>
      <c r="D13" s="67">
        <v>1</v>
      </c>
      <c r="E13" s="67">
        <v>0</v>
      </c>
      <c r="F13" s="67">
        <v>0</v>
      </c>
      <c r="G13" s="67">
        <v>0</v>
      </c>
      <c r="H13" s="13" t="str">
        <f t="shared" si="0"/>
        <v>2</v>
      </c>
      <c r="I13" s="70"/>
    </row>
    <row r="14" spans="1:35">
      <c r="A14" s="35">
        <f>'【3-2】大区&amp;运营中心填-房间模型价'!H13</f>
        <v>304</v>
      </c>
      <c r="B14" s="35" t="str">
        <f>'【3-2】大区&amp;运营中心填-房间模型价'!I13</f>
        <v>1-51G</v>
      </c>
      <c r="C14" s="66" t="str">
        <f>VLOOKUP(A14,'【3-2】大区&amp;运营中心填-房间模型价'!H:J,3,0)</f>
        <v>开间</v>
      </c>
      <c r="D14" s="67">
        <v>2.5</v>
      </c>
      <c r="E14" s="67">
        <v>0</v>
      </c>
      <c r="F14" s="67">
        <v>0</v>
      </c>
      <c r="G14" s="67">
        <v>1.5</v>
      </c>
      <c r="H14" s="13" t="str">
        <f t="shared" si="0"/>
        <v>2</v>
      </c>
      <c r="I14" s="70"/>
    </row>
    <row r="15" spans="1:35">
      <c r="A15" s="35">
        <f>'【3-2】大区&amp;运营中心填-房间模型价'!H14</f>
        <v>305</v>
      </c>
      <c r="B15" s="35" t="str">
        <f>'【3-2】大区&amp;运营中心填-房间模型价'!I14</f>
        <v>1-51D</v>
      </c>
      <c r="C15" s="66" t="str">
        <f>VLOOKUP(A15,'【3-2】大区&amp;运营中心填-房间模型价'!H:J,3,0)</f>
        <v>开间</v>
      </c>
      <c r="D15" s="67">
        <v>1.5</v>
      </c>
      <c r="E15" s="67">
        <v>0</v>
      </c>
      <c r="F15" s="67">
        <v>0</v>
      </c>
      <c r="G15" s="67">
        <v>1.5</v>
      </c>
      <c r="H15" s="13" t="str">
        <f t="shared" si="0"/>
        <v>1</v>
      </c>
      <c r="I15" s="70"/>
    </row>
    <row r="16" ht="23.4" spans="1:35">
      <c r="A16" s="35">
        <f>'【3-2】大区&amp;运营中心填-房间模型价'!H15</f>
        <v>401</v>
      </c>
      <c r="B16" s="35" t="str">
        <f>'【3-2】大区&amp;运营中心填-房间模型价'!I15</f>
        <v>1-51D</v>
      </c>
      <c r="C16" s="66" t="str">
        <f>VLOOKUP(A16,'【3-2】大区&amp;运营中心填-房间模型价'!H:J,3,0)</f>
        <v>开间</v>
      </c>
      <c r="D16" s="67">
        <v>1.5</v>
      </c>
      <c r="E16" s="67">
        <v>0</v>
      </c>
      <c r="F16" s="67">
        <v>0</v>
      </c>
      <c r="G16" s="67">
        <v>1.5</v>
      </c>
      <c r="H16" s="13" t="str">
        <f t="shared" si="0"/>
        <v>1</v>
      </c>
      <c r="I16" s="70"/>
      <c r="L16" s="75" t="s">
        <v>452</v>
      </c>
      <c r="M16" s="75"/>
      <c r="N16" s="75"/>
      <c r="O16" s="75"/>
      <c r="P16" s="75"/>
      <c r="R16" s="75" t="s">
        <v>453</v>
      </c>
      <c r="S16" s="75"/>
      <c r="T16" s="75"/>
      <c r="U16" s="75"/>
      <c r="V16" s="75"/>
      <c r="W16" s="75"/>
      <c r="X16" s="75"/>
      <c r="Y16" s="75"/>
      <c r="Z16" s="75"/>
      <c r="AB16" s="75" t="s">
        <v>454</v>
      </c>
      <c r="AC16" s="75"/>
      <c r="AD16" s="75"/>
      <c r="AE16" s="75"/>
      <c r="AF16" s="75"/>
      <c r="AG16" s="75"/>
      <c r="AH16" s="75"/>
      <c r="AI16" s="75"/>
    </row>
    <row r="17" spans="1:9">
      <c r="A17" s="35">
        <f>'【3-2】大区&amp;运营中心填-房间模型价'!H16</f>
        <v>402</v>
      </c>
      <c r="B17" s="35" t="str">
        <f>'【3-2】大区&amp;运营中心填-房间模型价'!I16</f>
        <v>1-51E</v>
      </c>
      <c r="C17" s="66" t="str">
        <f>VLOOKUP(A17,'【3-2】大区&amp;运营中心填-房间模型价'!H:J,3,0)</f>
        <v>开间</v>
      </c>
      <c r="D17" s="67">
        <v>2.5</v>
      </c>
      <c r="E17" s="67">
        <v>0</v>
      </c>
      <c r="F17" s="67">
        <v>0</v>
      </c>
      <c r="G17" s="67">
        <v>1.5</v>
      </c>
      <c r="H17" s="13" t="str">
        <f t="shared" si="0"/>
        <v>2</v>
      </c>
      <c r="I17" s="70"/>
    </row>
    <row r="18" spans="1:9">
      <c r="A18" s="35">
        <f>'【3-2】大区&amp;运营中心填-房间模型价'!H17</f>
        <v>403</v>
      </c>
      <c r="B18" s="35" t="str">
        <f>'【3-2】大区&amp;运营中心填-房间模型价'!I17</f>
        <v>1-51F</v>
      </c>
      <c r="C18" s="66" t="str">
        <f>VLOOKUP(A18,'【3-2】大区&amp;运营中心填-房间模型价'!H:J,3,0)</f>
        <v>开间</v>
      </c>
      <c r="D18" s="67">
        <v>1</v>
      </c>
      <c r="E18" s="67">
        <v>0</v>
      </c>
      <c r="F18" s="67">
        <v>0</v>
      </c>
      <c r="G18" s="67">
        <v>0</v>
      </c>
      <c r="H18" s="13" t="str">
        <f t="shared" si="0"/>
        <v>2</v>
      </c>
      <c r="I18" s="70"/>
    </row>
    <row r="19" spans="1:9">
      <c r="A19" s="35">
        <f>'【3-2】大区&amp;运营中心填-房间模型价'!H18</f>
        <v>404</v>
      </c>
      <c r="B19" s="35" t="str">
        <f>'【3-2】大区&amp;运营中心填-房间模型价'!I18</f>
        <v>1-51G</v>
      </c>
      <c r="C19" s="66" t="str">
        <f>VLOOKUP(A19,'【3-2】大区&amp;运营中心填-房间模型价'!H:J,3,0)</f>
        <v>开间</v>
      </c>
      <c r="D19" s="67">
        <v>2.5</v>
      </c>
      <c r="E19" s="67">
        <v>0</v>
      </c>
      <c r="F19" s="67">
        <v>0</v>
      </c>
      <c r="G19" s="67">
        <v>1.5</v>
      </c>
      <c r="H19" s="13" t="str">
        <f t="shared" si="0"/>
        <v>2</v>
      </c>
      <c r="I19" s="70"/>
    </row>
    <row r="20" spans="1:9">
      <c r="A20" s="35">
        <f>'【3-2】大区&amp;运营中心填-房间模型价'!H19</f>
        <v>405</v>
      </c>
      <c r="B20" s="35" t="str">
        <f>'【3-2】大区&amp;运营中心填-房间模型价'!I19</f>
        <v>1-51D</v>
      </c>
      <c r="C20" s="66" t="str">
        <f>VLOOKUP(A20,'【3-2】大区&amp;运营中心填-房间模型价'!H:J,3,0)</f>
        <v>开间</v>
      </c>
      <c r="D20" s="67">
        <v>1.5</v>
      </c>
      <c r="E20" s="67">
        <v>0</v>
      </c>
      <c r="F20" s="67">
        <v>0</v>
      </c>
      <c r="G20" s="67">
        <v>1.5</v>
      </c>
      <c r="H20" s="13" t="str">
        <f t="shared" si="0"/>
        <v>1</v>
      </c>
      <c r="I20" s="70"/>
    </row>
    <row r="21" spans="1:9">
      <c r="A21" s="35">
        <f>'【3-2】大区&amp;运营中心填-房间模型价'!H20</f>
        <v>501</v>
      </c>
      <c r="B21" s="35" t="str">
        <f>'【3-2】大区&amp;运营中心填-房间模型价'!I20</f>
        <v>1-51D</v>
      </c>
      <c r="C21" s="66" t="str">
        <f>VLOOKUP(A21,'【3-2】大区&amp;运营中心填-房间模型价'!H:J,3,0)</f>
        <v>开间</v>
      </c>
      <c r="D21" s="67">
        <v>1.5</v>
      </c>
      <c r="E21" s="67">
        <v>0</v>
      </c>
      <c r="F21" s="67">
        <v>0</v>
      </c>
      <c r="G21" s="67">
        <v>1.5</v>
      </c>
      <c r="H21" s="13" t="str">
        <f t="shared" si="0"/>
        <v>1</v>
      </c>
      <c r="I21" s="70"/>
    </row>
    <row r="22" spans="1:9">
      <c r="A22" s="35">
        <f>'【3-2】大区&amp;运营中心填-房间模型价'!H21</f>
        <v>502</v>
      </c>
      <c r="B22" s="35" t="str">
        <f>'【3-2】大区&amp;运营中心填-房间模型价'!I21</f>
        <v>1-51E</v>
      </c>
      <c r="C22" s="66" t="str">
        <f>VLOOKUP(A22,'【3-2】大区&amp;运营中心填-房间模型价'!H:J,3,0)</f>
        <v>开间</v>
      </c>
      <c r="D22" s="67">
        <v>2.5</v>
      </c>
      <c r="E22" s="67">
        <v>0</v>
      </c>
      <c r="F22" s="67">
        <v>0</v>
      </c>
      <c r="G22" s="67">
        <v>1.5</v>
      </c>
      <c r="H22" s="13" t="str">
        <f t="shared" si="0"/>
        <v>2</v>
      </c>
      <c r="I22" s="70"/>
    </row>
    <row r="23" spans="1:9">
      <c r="A23" s="35">
        <f>'【3-2】大区&amp;运营中心填-房间模型价'!H22</f>
        <v>503</v>
      </c>
      <c r="B23" s="35" t="str">
        <f>'【3-2】大区&amp;运营中心填-房间模型价'!I22</f>
        <v>1-51F</v>
      </c>
      <c r="C23" s="66" t="str">
        <f>VLOOKUP(A23,'【3-2】大区&amp;运营中心填-房间模型价'!H:J,3,0)</f>
        <v>开间</v>
      </c>
      <c r="D23" s="67">
        <v>1</v>
      </c>
      <c r="E23" s="67">
        <v>0</v>
      </c>
      <c r="F23" s="67">
        <v>0</v>
      </c>
      <c r="G23" s="67">
        <v>0</v>
      </c>
      <c r="H23" s="13" t="str">
        <f t="shared" ref="H23:H32" si="1">IF(C23="开间",IF(D23+E23*2-G23&lt;=0,"1",IF(D23+E23*2-G23&lt;=1,"2",IF(D23+E23*2-G23&lt;=2,"3",IF(D23+E23*2-G23&lt;=3,"4","5")))),IF(D23+E23*2-G23&lt;1.1,"1",IF(D23+E23*2-G23&lt;=2,"2",IF(D23+E23*2-G23&lt;=3,"3",IF(D23+E23*2-G23&lt;=4,"4","5")))))</f>
        <v>2</v>
      </c>
      <c r="I23" s="70"/>
    </row>
    <row r="24" spans="1:9">
      <c r="A24" s="35">
        <f>'【3-2】大区&amp;运营中心填-房间模型价'!H23</f>
        <v>504</v>
      </c>
      <c r="B24" s="35" t="str">
        <f>'【3-2】大区&amp;运营中心填-房间模型价'!I23</f>
        <v>1-51G</v>
      </c>
      <c r="C24" s="66" t="str">
        <f>VLOOKUP(A24,'【3-2】大区&amp;运营中心填-房间模型价'!H:J,3,0)</f>
        <v>开间</v>
      </c>
      <c r="D24" s="67">
        <v>2.5</v>
      </c>
      <c r="E24" s="67">
        <v>0</v>
      </c>
      <c r="F24" s="67">
        <v>0</v>
      </c>
      <c r="G24" s="67">
        <v>1.5</v>
      </c>
      <c r="H24" s="13" t="str">
        <f t="shared" si="1"/>
        <v>2</v>
      </c>
      <c r="I24" s="70"/>
    </row>
    <row r="25" spans="1:9">
      <c r="A25" s="35">
        <f>'【3-2】大区&amp;运营中心填-房间模型价'!H24</f>
        <v>505</v>
      </c>
      <c r="B25" s="35" t="str">
        <f>'【3-2】大区&amp;运营中心填-房间模型价'!I24</f>
        <v>1-51D</v>
      </c>
      <c r="C25" s="66" t="str">
        <f>VLOOKUP(A25,'【3-2】大区&amp;运营中心填-房间模型价'!H:J,3,0)</f>
        <v>开间</v>
      </c>
      <c r="D25" s="67">
        <v>1.5</v>
      </c>
      <c r="E25" s="67">
        <v>0</v>
      </c>
      <c r="F25" s="67">
        <v>0</v>
      </c>
      <c r="G25" s="67">
        <v>1.5</v>
      </c>
      <c r="H25" s="13" t="str">
        <f t="shared" si="1"/>
        <v>1</v>
      </c>
      <c r="I25" s="70"/>
    </row>
    <row r="26" spans="1:9">
      <c r="A26" s="35">
        <f>'【3-2】大区&amp;运营中心填-房间模型价'!H25</f>
        <v>601</v>
      </c>
      <c r="B26" s="35" t="str">
        <f>'【3-2】大区&amp;运营中心填-房间模型价'!I25</f>
        <v>1-51D</v>
      </c>
      <c r="C26" s="66" t="str">
        <f>VLOOKUP(A26,'【3-2】大区&amp;运营中心填-房间模型价'!H:J,3,0)</f>
        <v>开间</v>
      </c>
      <c r="D26" s="67">
        <v>1.5</v>
      </c>
      <c r="E26" s="67">
        <v>0</v>
      </c>
      <c r="F26" s="67">
        <v>0</v>
      </c>
      <c r="G26" s="67">
        <v>-0.5</v>
      </c>
      <c r="H26" s="13" t="str">
        <f t="shared" si="1"/>
        <v>3</v>
      </c>
      <c r="I26" s="70"/>
    </row>
    <row r="27" spans="1:9">
      <c r="A27" s="35">
        <f>'【3-2】大区&amp;运营中心填-房间模型价'!H26</f>
        <v>602</v>
      </c>
      <c r="B27" s="35" t="str">
        <f>'【3-2】大区&amp;运营中心填-房间模型价'!I26</f>
        <v>1-51E</v>
      </c>
      <c r="C27" s="66" t="str">
        <f>VLOOKUP(A27,'【3-2】大区&amp;运营中心填-房间模型价'!H:J,3,0)</f>
        <v>开间</v>
      </c>
      <c r="D27" s="67">
        <v>2.5</v>
      </c>
      <c r="E27" s="67">
        <v>0</v>
      </c>
      <c r="F27" s="67">
        <v>0</v>
      </c>
      <c r="G27" s="67">
        <v>0.5</v>
      </c>
      <c r="H27" s="13" t="str">
        <f t="shared" si="1"/>
        <v>3</v>
      </c>
      <c r="I27" s="70"/>
    </row>
    <row r="28" spans="1:9">
      <c r="A28" s="35">
        <f>'【3-2】大区&amp;运营中心填-房间模型价'!H27</f>
        <v>603</v>
      </c>
      <c r="B28" s="35" t="str">
        <f>'【3-2】大区&amp;运营中心填-房间模型价'!I27</f>
        <v>1-51F</v>
      </c>
      <c r="C28" s="66" t="str">
        <f>VLOOKUP(A28,'【3-2】大区&amp;运营中心填-房间模型价'!H:J,3,0)</f>
        <v>开间</v>
      </c>
      <c r="D28" s="67">
        <v>1</v>
      </c>
      <c r="E28" s="67">
        <v>0</v>
      </c>
      <c r="F28" s="67">
        <v>0</v>
      </c>
      <c r="G28" s="67">
        <v>0</v>
      </c>
      <c r="H28" s="13" t="str">
        <f t="shared" si="1"/>
        <v>2</v>
      </c>
      <c r="I28" s="70"/>
    </row>
    <row r="29" spans="1:9">
      <c r="A29" s="35">
        <f>'【3-2】大区&amp;运营中心填-房间模型价'!H28</f>
        <v>604</v>
      </c>
      <c r="B29" s="35" t="str">
        <f>'【3-2】大区&amp;运营中心填-房间模型价'!I28</f>
        <v>1-51G</v>
      </c>
      <c r="C29" s="66" t="str">
        <f>VLOOKUP(A29,'【3-2】大区&amp;运营中心填-房间模型价'!H:J,3,0)</f>
        <v>开间</v>
      </c>
      <c r="D29" s="67">
        <v>2.5</v>
      </c>
      <c r="E29" s="67">
        <v>0</v>
      </c>
      <c r="F29" s="67">
        <v>0</v>
      </c>
      <c r="G29" s="67">
        <v>1.5</v>
      </c>
      <c r="H29" s="13" t="str">
        <f t="shared" si="1"/>
        <v>2</v>
      </c>
      <c r="I29" s="70"/>
    </row>
    <row r="30" spans="1:9">
      <c r="A30" s="35">
        <f>'【3-2】大区&amp;运营中心填-房间模型价'!H29</f>
        <v>605</v>
      </c>
      <c r="B30" s="35" t="str">
        <f>'【3-2】大区&amp;运营中心填-房间模型价'!I29</f>
        <v>1-51D</v>
      </c>
      <c r="C30" s="66" t="str">
        <f>VLOOKUP(A30,'【3-2】大区&amp;运营中心填-房间模型价'!H:J,3,0)</f>
        <v>开间</v>
      </c>
      <c r="D30" s="67">
        <v>1.5</v>
      </c>
      <c r="E30" s="67">
        <v>0</v>
      </c>
      <c r="F30" s="67">
        <v>0</v>
      </c>
      <c r="G30" s="67">
        <v>-0.5</v>
      </c>
      <c r="H30" s="13" t="str">
        <f t="shared" si="1"/>
        <v>3</v>
      </c>
      <c r="I30" s="70"/>
    </row>
    <row r="31" spans="1:9">
      <c r="A31" s="35">
        <f>'【3-2】大区&amp;运营中心填-房间模型价'!H30</f>
        <v>701</v>
      </c>
      <c r="B31" s="35" t="str">
        <f>'【3-2】大区&amp;运营中心填-房间模型价'!I30</f>
        <v>1-51D</v>
      </c>
      <c r="C31" s="66" t="str">
        <f>VLOOKUP(A31,'【3-2】大区&amp;运营中心填-房间模型价'!H:J,3,0)</f>
        <v>开间</v>
      </c>
      <c r="D31" s="67">
        <v>1.5</v>
      </c>
      <c r="E31" s="67">
        <v>0</v>
      </c>
      <c r="F31" s="67">
        <v>0</v>
      </c>
      <c r="G31" s="67">
        <v>-1.5</v>
      </c>
      <c r="H31" s="13" t="str">
        <f t="shared" si="1"/>
        <v>4</v>
      </c>
      <c r="I31" s="70"/>
    </row>
    <row r="32" spans="1:9">
      <c r="A32" s="35">
        <f>'【3-2】大区&amp;运营中心填-房间模型价'!H31</f>
        <v>702</v>
      </c>
      <c r="B32" s="35" t="str">
        <f>'【3-2】大区&amp;运营中心填-房间模型价'!I31</f>
        <v>1-51D</v>
      </c>
      <c r="C32" s="66" t="str">
        <f>VLOOKUP(A32,'【3-2】大区&amp;运营中心填-房间模型价'!H:J,3,0)</f>
        <v>开间</v>
      </c>
      <c r="D32" s="67">
        <v>1.5</v>
      </c>
      <c r="E32" s="67">
        <v>0</v>
      </c>
      <c r="F32" s="67">
        <v>0</v>
      </c>
      <c r="G32" s="67">
        <v>-0.5</v>
      </c>
      <c r="H32" s="13" t="str">
        <f t="shared" si="1"/>
        <v>3</v>
      </c>
      <c r="I32" s="70"/>
    </row>
    <row r="33" spans="1:9">
      <c r="A33" s="35" t="e">
        <f>'【3-2】大区&amp;运营中心填-房间模型价'!#REF!</f>
        <v>#REF!</v>
      </c>
      <c r="B33" s="35" t="e">
        <f>'【3-2】大区&amp;运营中心填-房间模型价'!#REF!</f>
        <v>#REF!</v>
      </c>
      <c r="C33" s="66" t="e">
        <f>VLOOKUP(A33,'【3-2】大区&amp;运营中心填-房间模型价'!H:J,3,0)</f>
        <v>#REF!</v>
      </c>
      <c r="D33" s="67"/>
      <c r="E33" s="67"/>
      <c r="F33" s="67"/>
      <c r="G33" s="67"/>
      <c r="H33" s="13" t="e">
        <f t="shared" si="0"/>
        <v>#REF!</v>
      </c>
      <c r="I33" s="70"/>
    </row>
    <row r="34" spans="1:9">
      <c r="A34" s="35" t="e">
        <f>'【3-2】大区&amp;运营中心填-房间模型价'!#REF!</f>
        <v>#REF!</v>
      </c>
      <c r="B34" s="35" t="e">
        <f>'【3-2】大区&amp;运营中心填-房间模型价'!#REF!</f>
        <v>#REF!</v>
      </c>
      <c r="C34" s="66" t="e">
        <f>VLOOKUP(A34,'【3-2】大区&amp;运营中心填-房间模型价'!H:J,3,0)</f>
        <v>#REF!</v>
      </c>
      <c r="D34" s="13"/>
      <c r="E34" s="13"/>
      <c r="F34" s="13"/>
      <c r="G34" s="13"/>
      <c r="H34" s="13" t="e">
        <f t="shared" si="0"/>
        <v>#REF!</v>
      </c>
      <c r="I34" s="70"/>
    </row>
    <row r="35" spans="1:9">
      <c r="A35" s="35" t="e">
        <f>'【3-2】大区&amp;运营中心填-房间模型价'!#REF!</f>
        <v>#REF!</v>
      </c>
      <c r="B35" s="35" t="e">
        <f>'【3-2】大区&amp;运营中心填-房间模型价'!#REF!</f>
        <v>#REF!</v>
      </c>
      <c r="C35" s="66" t="e">
        <f>VLOOKUP(A35,'【3-2】大区&amp;运营中心填-房间模型价'!H:J,3,0)</f>
        <v>#REF!</v>
      </c>
      <c r="D35" s="13"/>
      <c r="E35" s="13"/>
      <c r="F35" s="13"/>
      <c r="G35" s="13"/>
      <c r="H35" s="13" t="e">
        <f t="shared" si="0"/>
        <v>#REF!</v>
      </c>
      <c r="I35" s="70"/>
    </row>
    <row r="36" spans="1:9">
      <c r="A36" s="35" t="e">
        <f>'【3-2】大区&amp;运营中心填-房间模型价'!#REF!</f>
        <v>#REF!</v>
      </c>
      <c r="B36" s="35" t="e">
        <f>'【3-2】大区&amp;运营中心填-房间模型价'!#REF!</f>
        <v>#REF!</v>
      </c>
      <c r="C36" s="66" t="e">
        <f>VLOOKUP(A36,'【3-2】大区&amp;运营中心填-房间模型价'!H:J,3,0)</f>
        <v>#REF!</v>
      </c>
      <c r="D36" s="13"/>
      <c r="E36" s="13"/>
      <c r="F36" s="13"/>
      <c r="G36" s="13"/>
      <c r="H36" s="13" t="e">
        <f t="shared" si="0"/>
        <v>#REF!</v>
      </c>
      <c r="I36" s="70"/>
    </row>
    <row r="37" spans="1:9">
      <c r="A37" s="35" t="e">
        <f>'【3-2】大区&amp;运营中心填-房间模型价'!#REF!</f>
        <v>#REF!</v>
      </c>
      <c r="B37" s="35" t="e">
        <f>'【3-2】大区&amp;运营中心填-房间模型价'!#REF!</f>
        <v>#REF!</v>
      </c>
      <c r="C37" s="66" t="e">
        <f>VLOOKUP(A37,'【3-2】大区&amp;运营中心填-房间模型价'!H:J,3,0)</f>
        <v>#REF!</v>
      </c>
      <c r="D37" s="13"/>
      <c r="E37" s="13"/>
      <c r="F37" s="13"/>
      <c r="G37" s="13"/>
      <c r="H37" s="13" t="e">
        <f t="shared" si="0"/>
        <v>#REF!</v>
      </c>
      <c r="I37" s="70"/>
    </row>
    <row r="38" spans="1:9">
      <c r="A38" s="35" t="e">
        <f>'【3-2】大区&amp;运营中心填-房间模型价'!#REF!</f>
        <v>#REF!</v>
      </c>
      <c r="B38" s="35" t="e">
        <f>'【3-2】大区&amp;运营中心填-房间模型价'!#REF!</f>
        <v>#REF!</v>
      </c>
      <c r="C38" s="66" t="e">
        <f>VLOOKUP(A38,'【3-2】大区&amp;运营中心填-房间模型价'!H:J,3,0)</f>
        <v>#REF!</v>
      </c>
      <c r="D38" s="13"/>
      <c r="E38" s="13"/>
      <c r="F38" s="13"/>
      <c r="G38" s="13"/>
      <c r="H38" s="13" t="e">
        <f t="shared" si="0"/>
        <v>#REF!</v>
      </c>
      <c r="I38" s="70"/>
    </row>
    <row r="39" spans="1:9">
      <c r="A39" s="35" t="e">
        <f>'【3-2】大区&amp;运营中心填-房间模型价'!#REF!</f>
        <v>#REF!</v>
      </c>
      <c r="B39" s="35" t="e">
        <f>'【3-2】大区&amp;运营中心填-房间模型价'!#REF!</f>
        <v>#REF!</v>
      </c>
      <c r="C39" s="66" t="e">
        <f>VLOOKUP(A39,'【3-2】大区&amp;运营中心填-房间模型价'!H:J,3,0)</f>
        <v>#REF!</v>
      </c>
      <c r="D39" s="13"/>
      <c r="E39" s="13"/>
      <c r="F39" s="13"/>
      <c r="G39" s="13"/>
      <c r="H39" s="13" t="e">
        <f t="shared" ref="H39:H70" si="2">IF(C39="开间",IF(D39+E39*2-G39&lt;=0,"1",IF(D39+E39*2-G39&lt;=1,"2",IF(D39+E39*2-G39&lt;=2,"3",IF(D39+E39*2-G39&lt;=3,"4","5")))),IF(D39+E39*2-G39&lt;1.1,"1",IF(D39+E39*2-G39&lt;=2,"2",IF(D39+E39*2-G39&lt;=3,"3",IF(D39+E39*2-G39&lt;=4,"4","5")))))</f>
        <v>#REF!</v>
      </c>
      <c r="I39" s="70"/>
    </row>
    <row r="40" spans="1:9">
      <c r="A40" s="35" t="e">
        <f>'【3-2】大区&amp;运营中心填-房间模型价'!#REF!</f>
        <v>#REF!</v>
      </c>
      <c r="B40" s="35" t="e">
        <f>'【3-2】大区&amp;运营中心填-房间模型价'!#REF!</f>
        <v>#REF!</v>
      </c>
      <c r="C40" s="66" t="e">
        <f>VLOOKUP(A40,'【3-2】大区&amp;运营中心填-房间模型价'!H:J,3,0)</f>
        <v>#REF!</v>
      </c>
      <c r="D40" s="13"/>
      <c r="E40" s="13"/>
      <c r="F40" s="13"/>
      <c r="G40" s="13"/>
      <c r="H40" s="13" t="e">
        <f t="shared" si="2"/>
        <v>#REF!</v>
      </c>
      <c r="I40" s="70"/>
    </row>
    <row r="41" spans="1:9">
      <c r="A41" s="35" t="e">
        <f>'【3-2】大区&amp;运营中心填-房间模型价'!#REF!</f>
        <v>#REF!</v>
      </c>
      <c r="B41" s="35" t="e">
        <f>'【3-2】大区&amp;运营中心填-房间模型价'!#REF!</f>
        <v>#REF!</v>
      </c>
      <c r="C41" s="66" t="e">
        <f>VLOOKUP(A41,'【3-2】大区&amp;运营中心填-房间模型价'!H:J,3,0)</f>
        <v>#REF!</v>
      </c>
      <c r="D41" s="13"/>
      <c r="E41" s="13"/>
      <c r="F41" s="13"/>
      <c r="G41" s="13"/>
      <c r="H41" s="13" t="e">
        <f t="shared" si="2"/>
        <v>#REF!</v>
      </c>
      <c r="I41" s="70"/>
    </row>
    <row r="42" spans="1:9">
      <c r="A42" s="35" t="e">
        <f>'【3-2】大区&amp;运营中心填-房间模型价'!#REF!</f>
        <v>#REF!</v>
      </c>
      <c r="B42" s="35" t="e">
        <f>'【3-2】大区&amp;运营中心填-房间模型价'!#REF!</f>
        <v>#REF!</v>
      </c>
      <c r="C42" s="66" t="e">
        <f>VLOOKUP(A42,'【3-2】大区&amp;运营中心填-房间模型价'!H:J,3,0)</f>
        <v>#REF!</v>
      </c>
      <c r="D42" s="13"/>
      <c r="E42" s="13"/>
      <c r="F42" s="13"/>
      <c r="G42" s="13"/>
      <c r="H42" s="13" t="e">
        <f t="shared" si="2"/>
        <v>#REF!</v>
      </c>
      <c r="I42" s="70"/>
    </row>
    <row r="43" spans="1:9">
      <c r="A43" s="35" t="e">
        <f>'【3-2】大区&amp;运营中心填-房间模型价'!#REF!</f>
        <v>#REF!</v>
      </c>
      <c r="B43" s="35" t="e">
        <f>'【3-2】大区&amp;运营中心填-房间模型价'!#REF!</f>
        <v>#REF!</v>
      </c>
      <c r="C43" s="66" t="e">
        <f>VLOOKUP(A43,'【3-2】大区&amp;运营中心填-房间模型价'!H:J,3,0)</f>
        <v>#REF!</v>
      </c>
      <c r="D43" s="13"/>
      <c r="E43" s="13"/>
      <c r="F43" s="13"/>
      <c r="G43" s="13"/>
      <c r="H43" s="13" t="e">
        <f t="shared" si="2"/>
        <v>#REF!</v>
      </c>
      <c r="I43" s="70"/>
    </row>
    <row r="44" spans="1:9">
      <c r="A44" s="35" t="e">
        <f>'【3-2】大区&amp;运营中心填-房间模型价'!#REF!</f>
        <v>#REF!</v>
      </c>
      <c r="B44" s="35" t="e">
        <f>'【3-2】大区&amp;运营中心填-房间模型价'!#REF!</f>
        <v>#REF!</v>
      </c>
      <c r="C44" s="66" t="e">
        <f>VLOOKUP(A44,'【3-2】大区&amp;运营中心填-房间模型价'!H:J,3,0)</f>
        <v>#REF!</v>
      </c>
      <c r="D44" s="13"/>
      <c r="E44" s="13"/>
      <c r="F44" s="13"/>
      <c r="G44" s="13"/>
      <c r="H44" s="13" t="e">
        <f t="shared" si="2"/>
        <v>#REF!</v>
      </c>
      <c r="I44" s="70"/>
    </row>
    <row r="45" spans="1:9">
      <c r="A45" s="35" t="e">
        <f>'【3-2】大区&amp;运营中心填-房间模型价'!#REF!</f>
        <v>#REF!</v>
      </c>
      <c r="B45" s="35" t="e">
        <f>'【3-2】大区&amp;运营中心填-房间模型价'!#REF!</f>
        <v>#REF!</v>
      </c>
      <c r="C45" s="66" t="e">
        <f>VLOOKUP(A45,'【3-2】大区&amp;运营中心填-房间模型价'!H:J,3,0)</f>
        <v>#REF!</v>
      </c>
      <c r="D45" s="13"/>
      <c r="E45" s="13"/>
      <c r="F45" s="13"/>
      <c r="G45" s="13"/>
      <c r="H45" s="13" t="e">
        <f t="shared" si="2"/>
        <v>#REF!</v>
      </c>
      <c r="I45" s="70"/>
    </row>
    <row r="46" spans="1:9">
      <c r="A46" s="35" t="e">
        <f>'【3-2】大区&amp;运营中心填-房间模型价'!#REF!</f>
        <v>#REF!</v>
      </c>
      <c r="B46" s="35" t="e">
        <f>'【3-2】大区&amp;运营中心填-房间模型价'!#REF!</f>
        <v>#REF!</v>
      </c>
      <c r="C46" s="66" t="e">
        <f>VLOOKUP(A46,'【3-2】大区&amp;运营中心填-房间模型价'!H:J,3,0)</f>
        <v>#REF!</v>
      </c>
      <c r="D46" s="13"/>
      <c r="E46" s="13"/>
      <c r="F46" s="13"/>
      <c r="G46" s="13"/>
      <c r="H46" s="13" t="e">
        <f t="shared" si="2"/>
        <v>#REF!</v>
      </c>
      <c r="I46" s="70"/>
    </row>
    <row r="47" spans="1:9">
      <c r="A47" s="35" t="e">
        <f>'【3-2】大区&amp;运营中心填-房间模型价'!#REF!</f>
        <v>#REF!</v>
      </c>
      <c r="B47" s="35" t="e">
        <f>'【3-2】大区&amp;运营中心填-房间模型价'!#REF!</f>
        <v>#REF!</v>
      </c>
      <c r="C47" s="66" t="e">
        <f>VLOOKUP(A47,'【3-2】大区&amp;运营中心填-房间模型价'!H:J,3,0)</f>
        <v>#REF!</v>
      </c>
      <c r="D47" s="13"/>
      <c r="E47" s="13"/>
      <c r="F47" s="13"/>
      <c r="G47" s="13"/>
      <c r="H47" s="13" t="e">
        <f t="shared" si="2"/>
        <v>#REF!</v>
      </c>
      <c r="I47" s="70"/>
    </row>
    <row r="48" spans="1:9">
      <c r="A48" s="35" t="e">
        <f>'【3-2】大区&amp;运营中心填-房间模型价'!#REF!</f>
        <v>#REF!</v>
      </c>
      <c r="B48" s="35" t="e">
        <f>'【3-2】大区&amp;运营中心填-房间模型价'!#REF!</f>
        <v>#REF!</v>
      </c>
      <c r="C48" s="66" t="e">
        <f>VLOOKUP(A48,'【3-2】大区&amp;运营中心填-房间模型价'!H:J,3,0)</f>
        <v>#REF!</v>
      </c>
      <c r="D48" s="13"/>
      <c r="E48" s="13"/>
      <c r="F48" s="13"/>
      <c r="G48" s="13"/>
      <c r="H48" s="13" t="e">
        <f t="shared" si="2"/>
        <v>#REF!</v>
      </c>
      <c r="I48" s="70"/>
    </row>
    <row r="49" spans="1:9">
      <c r="A49" s="35" t="e">
        <f>'【3-2】大区&amp;运营中心填-房间模型价'!#REF!</f>
        <v>#REF!</v>
      </c>
      <c r="B49" s="35" t="e">
        <f>'【3-2】大区&amp;运营中心填-房间模型价'!#REF!</f>
        <v>#REF!</v>
      </c>
      <c r="C49" s="66" t="e">
        <f>VLOOKUP(A49,'【3-2】大区&amp;运营中心填-房间模型价'!H:J,3,0)</f>
        <v>#REF!</v>
      </c>
      <c r="D49" s="13"/>
      <c r="E49" s="13"/>
      <c r="F49" s="13"/>
      <c r="G49" s="13"/>
      <c r="H49" s="13" t="e">
        <f t="shared" si="2"/>
        <v>#REF!</v>
      </c>
      <c r="I49" s="70"/>
    </row>
    <row r="50" spans="1:9">
      <c r="A50" s="35" t="e">
        <f>'【3-2】大区&amp;运营中心填-房间模型价'!#REF!</f>
        <v>#REF!</v>
      </c>
      <c r="B50" s="35" t="e">
        <f>'【3-2】大区&amp;运营中心填-房间模型价'!#REF!</f>
        <v>#REF!</v>
      </c>
      <c r="C50" s="66" t="e">
        <f>VLOOKUP(A50,'【3-2】大区&amp;运营中心填-房间模型价'!H:J,3,0)</f>
        <v>#REF!</v>
      </c>
      <c r="D50" s="13"/>
      <c r="E50" s="13"/>
      <c r="F50" s="13"/>
      <c r="G50" s="13"/>
      <c r="H50" s="13" t="e">
        <f t="shared" si="2"/>
        <v>#REF!</v>
      </c>
      <c r="I50" s="70"/>
    </row>
    <row r="51" spans="1:9">
      <c r="A51" s="35" t="e">
        <f>'【3-2】大区&amp;运营中心填-房间模型价'!#REF!</f>
        <v>#REF!</v>
      </c>
      <c r="B51" s="35" t="e">
        <f>'【3-2】大区&amp;运营中心填-房间模型价'!#REF!</f>
        <v>#REF!</v>
      </c>
      <c r="C51" s="66" t="e">
        <f>VLOOKUP(A51,'【3-2】大区&amp;运营中心填-房间模型价'!H:J,3,0)</f>
        <v>#REF!</v>
      </c>
      <c r="D51" s="13"/>
      <c r="E51" s="13"/>
      <c r="F51" s="13"/>
      <c r="G51" s="13"/>
      <c r="H51" s="13" t="e">
        <f t="shared" si="2"/>
        <v>#REF!</v>
      </c>
      <c r="I51" s="70"/>
    </row>
    <row r="52" spans="1:9">
      <c r="A52" s="35" t="e">
        <f>'【3-2】大区&amp;运营中心填-房间模型价'!#REF!</f>
        <v>#REF!</v>
      </c>
      <c r="B52" s="35" t="e">
        <f>'【3-2】大区&amp;运营中心填-房间模型价'!#REF!</f>
        <v>#REF!</v>
      </c>
      <c r="C52" s="66" t="e">
        <f>VLOOKUP(A52,'【3-2】大区&amp;运营中心填-房间模型价'!H:J,3,0)</f>
        <v>#REF!</v>
      </c>
      <c r="D52" s="13"/>
      <c r="E52" s="13"/>
      <c r="F52" s="13"/>
      <c r="G52" s="13"/>
      <c r="H52" s="13" t="e">
        <f t="shared" si="2"/>
        <v>#REF!</v>
      </c>
      <c r="I52" s="70"/>
    </row>
    <row r="53" spans="1:9">
      <c r="A53" s="35" t="e">
        <f>'【3-2】大区&amp;运营中心填-房间模型价'!#REF!</f>
        <v>#REF!</v>
      </c>
      <c r="B53" s="35" t="e">
        <f>'【3-2】大区&amp;运营中心填-房间模型价'!#REF!</f>
        <v>#REF!</v>
      </c>
      <c r="C53" s="66" t="e">
        <f>VLOOKUP(A53,'【3-2】大区&amp;运营中心填-房间模型价'!H:J,3,0)</f>
        <v>#REF!</v>
      </c>
      <c r="D53" s="13"/>
      <c r="E53" s="13"/>
      <c r="F53" s="13"/>
      <c r="G53" s="13"/>
      <c r="H53" s="13" t="e">
        <f t="shared" si="2"/>
        <v>#REF!</v>
      </c>
      <c r="I53" s="70"/>
    </row>
    <row r="54" spans="1:9">
      <c r="A54" s="35" t="e">
        <f>'【3-2】大区&amp;运营中心填-房间模型价'!#REF!</f>
        <v>#REF!</v>
      </c>
      <c r="B54" s="35" t="e">
        <f>'【3-2】大区&amp;运营中心填-房间模型价'!#REF!</f>
        <v>#REF!</v>
      </c>
      <c r="C54" s="66" t="e">
        <f>VLOOKUP(A54,'【3-2】大区&amp;运营中心填-房间模型价'!H:J,3,0)</f>
        <v>#REF!</v>
      </c>
      <c r="D54" s="13"/>
      <c r="E54" s="13"/>
      <c r="F54" s="13"/>
      <c r="G54" s="13"/>
      <c r="H54" s="13" t="e">
        <f t="shared" si="2"/>
        <v>#REF!</v>
      </c>
      <c r="I54" s="70"/>
    </row>
    <row r="55" spans="1:9">
      <c r="A55" s="35" t="e">
        <f>'【3-2】大区&amp;运营中心填-房间模型价'!#REF!</f>
        <v>#REF!</v>
      </c>
      <c r="B55" s="35" t="e">
        <f>'【3-2】大区&amp;运营中心填-房间模型价'!#REF!</f>
        <v>#REF!</v>
      </c>
      <c r="C55" s="66" t="e">
        <f>VLOOKUP(A55,'【3-2】大区&amp;运营中心填-房间模型价'!H:J,3,0)</f>
        <v>#REF!</v>
      </c>
      <c r="D55" s="13"/>
      <c r="E55" s="13"/>
      <c r="F55" s="13"/>
      <c r="G55" s="13"/>
      <c r="H55" s="13" t="e">
        <f t="shared" si="2"/>
        <v>#REF!</v>
      </c>
      <c r="I55" s="70"/>
    </row>
    <row r="56" spans="1:9">
      <c r="A56" s="35" t="e">
        <f>'【3-2】大区&amp;运营中心填-房间模型价'!#REF!</f>
        <v>#REF!</v>
      </c>
      <c r="B56" s="35" t="e">
        <f>'【3-2】大区&amp;运营中心填-房间模型价'!#REF!</f>
        <v>#REF!</v>
      </c>
      <c r="C56" s="66" t="e">
        <f>VLOOKUP(A56,'【3-2】大区&amp;运营中心填-房间模型价'!H:J,3,0)</f>
        <v>#REF!</v>
      </c>
      <c r="D56" s="13"/>
      <c r="E56" s="13"/>
      <c r="F56" s="13"/>
      <c r="G56" s="13"/>
      <c r="H56" s="13" t="e">
        <f t="shared" si="2"/>
        <v>#REF!</v>
      </c>
      <c r="I56" s="70"/>
    </row>
    <row r="57" spans="1:9">
      <c r="A57" s="35" t="e">
        <f>'【3-2】大区&amp;运营中心填-房间模型价'!#REF!</f>
        <v>#REF!</v>
      </c>
      <c r="B57" s="35" t="e">
        <f>'【3-2】大区&amp;运营中心填-房间模型价'!#REF!</f>
        <v>#REF!</v>
      </c>
      <c r="C57" s="66" t="e">
        <f>VLOOKUP(A57,'【3-2】大区&amp;运营中心填-房间模型价'!H:J,3,0)</f>
        <v>#REF!</v>
      </c>
      <c r="D57" s="13"/>
      <c r="E57" s="13"/>
      <c r="F57" s="13"/>
      <c r="G57" s="13"/>
      <c r="H57" s="13" t="e">
        <f t="shared" si="2"/>
        <v>#REF!</v>
      </c>
      <c r="I57" s="70"/>
    </row>
    <row r="58" spans="1:9">
      <c r="A58" s="35" t="e">
        <f>'【3-2】大区&amp;运营中心填-房间模型价'!#REF!</f>
        <v>#REF!</v>
      </c>
      <c r="B58" s="35" t="e">
        <f>'【3-2】大区&amp;运营中心填-房间模型价'!#REF!</f>
        <v>#REF!</v>
      </c>
      <c r="C58" s="66" t="e">
        <f>VLOOKUP(A58,'【3-2】大区&amp;运营中心填-房间模型价'!H:J,3,0)</f>
        <v>#REF!</v>
      </c>
      <c r="D58" s="13"/>
      <c r="E58" s="13"/>
      <c r="F58" s="13"/>
      <c r="G58" s="13"/>
      <c r="H58" s="13" t="e">
        <f t="shared" si="2"/>
        <v>#REF!</v>
      </c>
      <c r="I58" s="70"/>
    </row>
    <row r="59" spans="1:9">
      <c r="A59" s="35" t="e">
        <f>'【3-2】大区&amp;运营中心填-房间模型价'!#REF!</f>
        <v>#REF!</v>
      </c>
      <c r="B59" s="35" t="e">
        <f>'【3-2】大区&amp;运营中心填-房间模型价'!#REF!</f>
        <v>#REF!</v>
      </c>
      <c r="C59" s="66" t="e">
        <f>VLOOKUP(A59,'【3-2】大区&amp;运营中心填-房间模型价'!H:J,3,0)</f>
        <v>#REF!</v>
      </c>
      <c r="D59" s="13"/>
      <c r="E59" s="13"/>
      <c r="F59" s="13"/>
      <c r="G59" s="13"/>
      <c r="H59" s="13" t="e">
        <f t="shared" si="2"/>
        <v>#REF!</v>
      </c>
      <c r="I59" s="70"/>
    </row>
    <row r="60" spans="1:9">
      <c r="A60" s="35" t="e">
        <f>'【3-2】大区&amp;运营中心填-房间模型价'!#REF!</f>
        <v>#REF!</v>
      </c>
      <c r="B60" s="35" t="e">
        <f>'【3-2】大区&amp;运营中心填-房间模型价'!#REF!</f>
        <v>#REF!</v>
      </c>
      <c r="C60" s="66" t="e">
        <f>VLOOKUP(A60,'【3-2】大区&amp;运营中心填-房间模型价'!H:J,3,0)</f>
        <v>#REF!</v>
      </c>
      <c r="D60" s="13"/>
      <c r="E60" s="13"/>
      <c r="F60" s="13"/>
      <c r="G60" s="13"/>
      <c r="H60" s="13" t="e">
        <f t="shared" si="2"/>
        <v>#REF!</v>
      </c>
      <c r="I60" s="70"/>
    </row>
    <row r="61" spans="1:9">
      <c r="A61" s="35" t="e">
        <f>'【3-2】大区&amp;运营中心填-房间模型价'!#REF!</f>
        <v>#REF!</v>
      </c>
      <c r="B61" s="35" t="e">
        <f>'【3-2】大区&amp;运营中心填-房间模型价'!#REF!</f>
        <v>#REF!</v>
      </c>
      <c r="C61" s="66" t="e">
        <f>VLOOKUP(A61,'【3-2】大区&amp;运营中心填-房间模型价'!H:J,3,0)</f>
        <v>#REF!</v>
      </c>
      <c r="D61" s="13"/>
      <c r="E61" s="13"/>
      <c r="F61" s="13"/>
      <c r="G61" s="13"/>
      <c r="H61" s="13" t="e">
        <f t="shared" si="2"/>
        <v>#REF!</v>
      </c>
      <c r="I61" s="70"/>
    </row>
    <row r="62" spans="1:9">
      <c r="A62" s="35" t="e">
        <f>'【3-2】大区&amp;运营中心填-房间模型价'!#REF!</f>
        <v>#REF!</v>
      </c>
      <c r="B62" s="35" t="e">
        <f>'【3-2】大区&amp;运营中心填-房间模型价'!#REF!</f>
        <v>#REF!</v>
      </c>
      <c r="C62" s="66" t="e">
        <f>VLOOKUP(A62,'【3-2】大区&amp;运营中心填-房间模型价'!H:J,3,0)</f>
        <v>#REF!</v>
      </c>
      <c r="D62" s="13"/>
      <c r="E62" s="13"/>
      <c r="F62" s="13"/>
      <c r="G62" s="13"/>
      <c r="H62" s="13" t="e">
        <f t="shared" si="2"/>
        <v>#REF!</v>
      </c>
      <c r="I62" s="70"/>
    </row>
    <row r="63" spans="1:9">
      <c r="A63" s="35" t="e">
        <f>'【3-2】大区&amp;运营中心填-房间模型价'!#REF!</f>
        <v>#REF!</v>
      </c>
      <c r="B63" s="35" t="e">
        <f>'【3-2】大区&amp;运营中心填-房间模型价'!#REF!</f>
        <v>#REF!</v>
      </c>
      <c r="C63" s="66" t="e">
        <f>VLOOKUP(A63,'【3-2】大区&amp;运营中心填-房间模型价'!H:J,3,0)</f>
        <v>#REF!</v>
      </c>
      <c r="D63" s="13"/>
      <c r="E63" s="13"/>
      <c r="F63" s="13"/>
      <c r="G63" s="13"/>
      <c r="H63" s="13" t="e">
        <f t="shared" si="2"/>
        <v>#REF!</v>
      </c>
      <c r="I63" s="70"/>
    </row>
    <row r="64" spans="1:9">
      <c r="A64" s="35" t="e">
        <f>'【3-2】大区&amp;运营中心填-房间模型价'!#REF!</f>
        <v>#REF!</v>
      </c>
      <c r="B64" s="35" t="e">
        <f>'【3-2】大区&amp;运营中心填-房间模型价'!#REF!</f>
        <v>#REF!</v>
      </c>
      <c r="C64" s="66" t="e">
        <f>VLOOKUP(A64,'【3-2】大区&amp;运营中心填-房间模型价'!H:J,3,0)</f>
        <v>#REF!</v>
      </c>
      <c r="D64" s="13"/>
      <c r="E64" s="13"/>
      <c r="F64" s="13"/>
      <c r="G64" s="13"/>
      <c r="H64" s="13" t="e">
        <f t="shared" si="2"/>
        <v>#REF!</v>
      </c>
      <c r="I64" s="70"/>
    </row>
    <row r="65" spans="1:9">
      <c r="A65" s="35" t="e">
        <f>'【3-2】大区&amp;运营中心填-房间模型价'!#REF!</f>
        <v>#REF!</v>
      </c>
      <c r="B65" s="35" t="e">
        <f>'【3-2】大区&amp;运营中心填-房间模型价'!#REF!</f>
        <v>#REF!</v>
      </c>
      <c r="C65" s="66" t="e">
        <f>VLOOKUP(A65,'【3-2】大区&amp;运营中心填-房间模型价'!H:J,3,0)</f>
        <v>#REF!</v>
      </c>
      <c r="D65" s="13"/>
      <c r="E65" s="13"/>
      <c r="F65" s="13"/>
      <c r="G65" s="13"/>
      <c r="H65" s="13" t="e">
        <f t="shared" si="2"/>
        <v>#REF!</v>
      </c>
      <c r="I65" s="70"/>
    </row>
    <row r="66" spans="1:9">
      <c r="A66" s="35" t="e">
        <f>'【3-2】大区&amp;运营中心填-房间模型价'!#REF!</f>
        <v>#REF!</v>
      </c>
      <c r="B66" s="35" t="e">
        <f>'【3-2】大区&amp;运营中心填-房间模型价'!#REF!</f>
        <v>#REF!</v>
      </c>
      <c r="C66" s="66" t="e">
        <f>VLOOKUP(A66,'【3-2】大区&amp;运营中心填-房间模型价'!H:J,3,0)</f>
        <v>#REF!</v>
      </c>
      <c r="D66" s="13"/>
      <c r="E66" s="13"/>
      <c r="F66" s="13"/>
      <c r="G66" s="13"/>
      <c r="H66" s="13" t="e">
        <f t="shared" si="2"/>
        <v>#REF!</v>
      </c>
      <c r="I66" s="70"/>
    </row>
    <row r="67" spans="1:9">
      <c r="A67" s="35" t="e">
        <f>'【3-2】大区&amp;运营中心填-房间模型价'!#REF!</f>
        <v>#REF!</v>
      </c>
      <c r="B67" s="35" t="e">
        <f>'【3-2】大区&amp;运营中心填-房间模型价'!#REF!</f>
        <v>#REF!</v>
      </c>
      <c r="C67" s="66" t="e">
        <f>VLOOKUP(A67,'【3-2】大区&amp;运营中心填-房间模型价'!H:J,3,0)</f>
        <v>#REF!</v>
      </c>
      <c r="D67" s="13"/>
      <c r="E67" s="13"/>
      <c r="F67" s="13"/>
      <c r="G67" s="13"/>
      <c r="H67" s="13" t="e">
        <f t="shared" si="2"/>
        <v>#REF!</v>
      </c>
      <c r="I67" s="70"/>
    </row>
    <row r="68" spans="1:9">
      <c r="A68" s="35" t="e">
        <f>'【3-2】大区&amp;运营中心填-房间模型价'!#REF!</f>
        <v>#REF!</v>
      </c>
      <c r="B68" s="35" t="e">
        <f>'【3-2】大区&amp;运营中心填-房间模型价'!#REF!</f>
        <v>#REF!</v>
      </c>
      <c r="C68" s="66" t="e">
        <f>VLOOKUP(A68,'【3-2】大区&amp;运营中心填-房间模型价'!H:J,3,0)</f>
        <v>#REF!</v>
      </c>
      <c r="D68" s="13"/>
      <c r="E68" s="13"/>
      <c r="F68" s="13"/>
      <c r="G68" s="13"/>
      <c r="H68" s="13" t="e">
        <f t="shared" si="2"/>
        <v>#REF!</v>
      </c>
      <c r="I68" s="70"/>
    </row>
    <row r="69" spans="1:9">
      <c r="A69" s="35" t="e">
        <f>'【3-2】大区&amp;运营中心填-房间模型价'!#REF!</f>
        <v>#REF!</v>
      </c>
      <c r="B69" s="35" t="e">
        <f>'【3-2】大区&amp;运营中心填-房间模型价'!#REF!</f>
        <v>#REF!</v>
      </c>
      <c r="C69" s="66" t="e">
        <f>VLOOKUP(A69,'【3-2】大区&amp;运营中心填-房间模型价'!H:J,3,0)</f>
        <v>#REF!</v>
      </c>
      <c r="D69" s="13"/>
      <c r="E69" s="13"/>
      <c r="F69" s="13"/>
      <c r="G69" s="13"/>
      <c r="H69" s="13" t="e">
        <f t="shared" si="2"/>
        <v>#REF!</v>
      </c>
      <c r="I69" s="70"/>
    </row>
    <row r="70" spans="1:9">
      <c r="A70" s="35" t="e">
        <f>'【3-2】大区&amp;运营中心填-房间模型价'!#REF!</f>
        <v>#REF!</v>
      </c>
      <c r="B70" s="35" t="e">
        <f>'【3-2】大区&amp;运营中心填-房间模型价'!#REF!</f>
        <v>#REF!</v>
      </c>
      <c r="C70" s="66" t="e">
        <f>VLOOKUP(A70,'【3-2】大区&amp;运营中心填-房间模型价'!H:J,3,0)</f>
        <v>#REF!</v>
      </c>
      <c r="D70" s="13"/>
      <c r="E70" s="13"/>
      <c r="F70" s="13"/>
      <c r="G70" s="13"/>
      <c r="H70" s="13" t="e">
        <f t="shared" si="2"/>
        <v>#REF!</v>
      </c>
      <c r="I70" s="70"/>
    </row>
    <row r="71" spans="1:9">
      <c r="A71" s="35" t="e">
        <f>'【3-2】大区&amp;运营中心填-房间模型价'!#REF!</f>
        <v>#REF!</v>
      </c>
      <c r="B71" s="35" t="e">
        <f>'【3-2】大区&amp;运营中心填-房间模型价'!#REF!</f>
        <v>#REF!</v>
      </c>
      <c r="C71" s="66" t="e">
        <f>VLOOKUP(A71,'【3-2】大区&amp;运营中心填-房间模型价'!H:J,3,0)</f>
        <v>#REF!</v>
      </c>
      <c r="D71" s="13"/>
      <c r="E71" s="13"/>
      <c r="F71" s="13"/>
      <c r="G71" s="13"/>
      <c r="H71" s="13" t="e">
        <f t="shared" ref="H71:H80" si="3">IF(C71="开间",IF(D71+E71*2-G71&lt;=0,"1",IF(D71+E71*2-G71&lt;=1,"2",IF(D71+E71*2-G71&lt;=2,"3",IF(D71+E71*2-G71&lt;=3,"4","5")))),IF(D71+E71*2-G71&lt;1.1,"1",IF(D71+E71*2-G71&lt;=2,"2",IF(D71+E71*2-G71&lt;=3,"3",IF(D71+E71*2-G71&lt;=4,"4","5")))))</f>
        <v>#REF!</v>
      </c>
      <c r="I71" s="70"/>
    </row>
    <row r="72" spans="1:9">
      <c r="A72" s="35" t="e">
        <f>'【3-2】大区&amp;运营中心填-房间模型价'!#REF!</f>
        <v>#REF!</v>
      </c>
      <c r="B72" s="35" t="e">
        <f>'【3-2】大区&amp;运营中心填-房间模型价'!#REF!</f>
        <v>#REF!</v>
      </c>
      <c r="C72" s="66" t="e">
        <f>VLOOKUP(A72,'【3-2】大区&amp;运营中心填-房间模型价'!H:J,3,0)</f>
        <v>#REF!</v>
      </c>
      <c r="D72" s="13"/>
      <c r="E72" s="13"/>
      <c r="F72" s="13"/>
      <c r="G72" s="13"/>
      <c r="H72" s="13" t="e">
        <f t="shared" si="3"/>
        <v>#REF!</v>
      </c>
      <c r="I72" s="70"/>
    </row>
    <row r="73" spans="1:9">
      <c r="A73" s="35" t="e">
        <f>'【3-2】大区&amp;运营中心填-房间模型价'!#REF!</f>
        <v>#REF!</v>
      </c>
      <c r="B73" s="35" t="e">
        <f>'【3-2】大区&amp;运营中心填-房间模型价'!#REF!</f>
        <v>#REF!</v>
      </c>
      <c r="C73" s="66" t="e">
        <f>VLOOKUP(A73,'【3-2】大区&amp;运营中心填-房间模型价'!H:J,3,0)</f>
        <v>#REF!</v>
      </c>
      <c r="D73" s="13"/>
      <c r="E73" s="13"/>
      <c r="F73" s="13"/>
      <c r="G73" s="13"/>
      <c r="H73" s="13" t="e">
        <f t="shared" si="3"/>
        <v>#REF!</v>
      </c>
      <c r="I73" s="70"/>
    </row>
    <row r="74" spans="1:9">
      <c r="A74" s="35" t="e">
        <f>'【3-2】大区&amp;运营中心填-房间模型价'!#REF!</f>
        <v>#REF!</v>
      </c>
      <c r="B74" s="35" t="e">
        <f>'【3-2】大区&amp;运营中心填-房间模型价'!#REF!</f>
        <v>#REF!</v>
      </c>
      <c r="C74" s="66" t="e">
        <f>VLOOKUP(A74,'【3-2】大区&amp;运营中心填-房间模型价'!H:J,3,0)</f>
        <v>#REF!</v>
      </c>
      <c r="D74" s="13"/>
      <c r="E74" s="13"/>
      <c r="F74" s="13"/>
      <c r="G74" s="13"/>
      <c r="H74" s="13" t="e">
        <f t="shared" si="3"/>
        <v>#REF!</v>
      </c>
      <c r="I74" s="70"/>
    </row>
    <row r="75" spans="1:9">
      <c r="A75" s="35" t="e">
        <f>'【3-2】大区&amp;运营中心填-房间模型价'!#REF!</f>
        <v>#REF!</v>
      </c>
      <c r="B75" s="35" t="e">
        <f>'【3-2】大区&amp;运营中心填-房间模型价'!#REF!</f>
        <v>#REF!</v>
      </c>
      <c r="C75" s="66" t="e">
        <f>VLOOKUP(A75,'【3-2】大区&amp;运营中心填-房间模型价'!H:J,3,0)</f>
        <v>#REF!</v>
      </c>
      <c r="D75" s="13"/>
      <c r="E75" s="13"/>
      <c r="F75" s="13"/>
      <c r="G75" s="13"/>
      <c r="H75" s="13" t="e">
        <f t="shared" si="3"/>
        <v>#REF!</v>
      </c>
      <c r="I75" s="70"/>
    </row>
    <row r="76" spans="1:9">
      <c r="A76" s="35" t="e">
        <f>'【3-2】大区&amp;运营中心填-房间模型价'!#REF!</f>
        <v>#REF!</v>
      </c>
      <c r="B76" s="35" t="e">
        <f>'【3-2】大区&amp;运营中心填-房间模型价'!#REF!</f>
        <v>#REF!</v>
      </c>
      <c r="C76" s="66" t="e">
        <f>VLOOKUP(A76,'【3-2】大区&amp;运营中心填-房间模型价'!H:J,3,0)</f>
        <v>#REF!</v>
      </c>
      <c r="D76" s="13"/>
      <c r="E76" s="13"/>
      <c r="F76" s="13"/>
      <c r="G76" s="13"/>
      <c r="H76" s="13" t="e">
        <f t="shared" si="3"/>
        <v>#REF!</v>
      </c>
      <c r="I76" s="70"/>
    </row>
    <row r="77" spans="1:9">
      <c r="A77" s="35" t="e">
        <f>'【3-2】大区&amp;运营中心填-房间模型价'!#REF!</f>
        <v>#REF!</v>
      </c>
      <c r="B77" s="35" t="e">
        <f>'【3-2】大区&amp;运营中心填-房间模型价'!#REF!</f>
        <v>#REF!</v>
      </c>
      <c r="C77" s="66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3"/>
        <v>#REF!</v>
      </c>
      <c r="I77" s="70"/>
    </row>
    <row r="78" spans="1:9">
      <c r="A78" s="35" t="e">
        <f>'【3-2】大区&amp;运营中心填-房间模型价'!#REF!</f>
        <v>#REF!</v>
      </c>
      <c r="B78" s="35" t="e">
        <f>'【3-2】大区&amp;运营中心填-房间模型价'!#REF!</f>
        <v>#REF!</v>
      </c>
      <c r="C78" s="66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3"/>
        <v>#REF!</v>
      </c>
      <c r="I78" s="70"/>
    </row>
    <row r="79" spans="1:9">
      <c r="A79" s="35" t="e">
        <f>'【3-2】大区&amp;运营中心填-房间模型价'!#REF!</f>
        <v>#REF!</v>
      </c>
      <c r="B79" s="35" t="e">
        <f>'【3-2】大区&amp;运营中心填-房间模型价'!#REF!</f>
        <v>#REF!</v>
      </c>
      <c r="C79" s="66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3"/>
        <v>#REF!</v>
      </c>
      <c r="I79" s="70"/>
    </row>
    <row r="80" spans="1:9">
      <c r="A80" s="35" t="e">
        <f>'【3-2】大区&amp;运营中心填-房间模型价'!#REF!</f>
        <v>#REF!</v>
      </c>
      <c r="B80" s="35" t="e">
        <f>'【3-2】大区&amp;运营中心填-房间模型价'!#REF!</f>
        <v>#REF!</v>
      </c>
      <c r="C80" s="66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3"/>
        <v>#REF!</v>
      </c>
      <c r="I80" s="70"/>
    </row>
    <row r="81" spans="1:9">
      <c r="A81" s="35" t="e">
        <f>'【3-2】大区&amp;运营中心填-房间模型价'!#REF!</f>
        <v>#REF!</v>
      </c>
      <c r="B81" s="35" t="e">
        <f>'【3-2】大区&amp;运营中心填-房间模型价'!#REF!</f>
        <v>#REF!</v>
      </c>
      <c r="C81" s="66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ref="H81:H112" si="4">IF(C81="开间",IF(D81+E81*2-G81&lt;=0,"1",IF(D81+E81*2-G81&lt;=1,"2",IF(D81+E81*2-G81&lt;=2,"3",IF(D81+E81*2-G81&lt;=3,"4","5")))),IF(D81+E81*2-G81&lt;1.1,"1",IF(D81+E81*2-G81&lt;=2,"2",IF(D81+E81*2-G81&lt;=3,"3",IF(D81+E81*2-G81&lt;=4,"4","5")))))</f>
        <v>#REF!</v>
      </c>
      <c r="I81" s="70"/>
    </row>
    <row r="82" spans="1:9">
      <c r="A82" s="35" t="e">
        <f>'【3-2】大区&amp;运营中心填-房间模型价'!#REF!</f>
        <v>#REF!</v>
      </c>
      <c r="B82" s="35" t="e">
        <f>'【3-2】大区&amp;运营中心填-房间模型价'!#REF!</f>
        <v>#REF!</v>
      </c>
      <c r="C82" s="66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4"/>
        <v>#REF!</v>
      </c>
      <c r="I82" s="70"/>
    </row>
    <row r="83" spans="1:9">
      <c r="A83" s="35" t="e">
        <f>'【3-2】大区&amp;运营中心填-房间模型价'!#REF!</f>
        <v>#REF!</v>
      </c>
      <c r="B83" s="35" t="e">
        <f>'【3-2】大区&amp;运营中心填-房间模型价'!#REF!</f>
        <v>#REF!</v>
      </c>
      <c r="C83" s="66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4"/>
        <v>#REF!</v>
      </c>
      <c r="I83" s="70"/>
    </row>
    <row r="84" spans="1:9">
      <c r="A84" s="35" t="e">
        <f>'【3-2】大区&amp;运营中心填-房间模型价'!#REF!</f>
        <v>#REF!</v>
      </c>
      <c r="B84" s="35" t="e">
        <f>'【3-2】大区&amp;运营中心填-房间模型价'!#REF!</f>
        <v>#REF!</v>
      </c>
      <c r="C84" s="66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4"/>
        <v>#REF!</v>
      </c>
      <c r="I84" s="70"/>
    </row>
    <row r="85" spans="1:9">
      <c r="A85" s="35" t="e">
        <f>'【3-2】大区&amp;运营中心填-房间模型价'!#REF!</f>
        <v>#REF!</v>
      </c>
      <c r="B85" s="35" t="e">
        <f>'【3-2】大区&amp;运营中心填-房间模型价'!#REF!</f>
        <v>#REF!</v>
      </c>
      <c r="C85" s="66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4"/>
        <v>#REF!</v>
      </c>
      <c r="I85" s="70"/>
    </row>
    <row r="86" spans="1:9">
      <c r="A86" s="35" t="e">
        <f>'【3-2】大区&amp;运营中心填-房间模型价'!#REF!</f>
        <v>#REF!</v>
      </c>
      <c r="B86" s="35" t="e">
        <f>'【3-2】大区&amp;运营中心填-房间模型价'!#REF!</f>
        <v>#REF!</v>
      </c>
      <c r="C86" s="66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4"/>
        <v>#REF!</v>
      </c>
      <c r="I86" s="70"/>
    </row>
    <row r="87" spans="1:9">
      <c r="A87" s="35" t="e">
        <f>'【3-2】大区&amp;运营中心填-房间模型价'!#REF!</f>
        <v>#REF!</v>
      </c>
      <c r="B87" s="35" t="e">
        <f>'【3-2】大区&amp;运营中心填-房间模型价'!#REF!</f>
        <v>#REF!</v>
      </c>
      <c r="C87" s="66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4"/>
        <v>#REF!</v>
      </c>
      <c r="I87" s="70"/>
    </row>
    <row r="88" spans="1:9">
      <c r="A88" s="35" t="e">
        <f>'【3-2】大区&amp;运营中心填-房间模型价'!#REF!</f>
        <v>#REF!</v>
      </c>
      <c r="B88" s="35" t="e">
        <f>'【3-2】大区&amp;运营中心填-房间模型价'!#REF!</f>
        <v>#REF!</v>
      </c>
      <c r="C88" s="66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4"/>
        <v>#REF!</v>
      </c>
      <c r="I88" s="70"/>
    </row>
    <row r="89" spans="1:9">
      <c r="A89" s="35" t="e">
        <f>'【3-2】大区&amp;运营中心填-房间模型价'!#REF!</f>
        <v>#REF!</v>
      </c>
      <c r="B89" s="35" t="e">
        <f>'【3-2】大区&amp;运营中心填-房间模型价'!#REF!</f>
        <v>#REF!</v>
      </c>
      <c r="C89" s="66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4"/>
        <v>#REF!</v>
      </c>
      <c r="I89" s="70"/>
    </row>
    <row r="90" spans="1:9">
      <c r="A90" s="35" t="e">
        <f>'【3-2】大区&amp;运营中心填-房间模型价'!#REF!</f>
        <v>#REF!</v>
      </c>
      <c r="B90" s="35" t="e">
        <f>'【3-2】大区&amp;运营中心填-房间模型价'!#REF!</f>
        <v>#REF!</v>
      </c>
      <c r="C90" s="66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4"/>
        <v>#REF!</v>
      </c>
      <c r="I90" s="70"/>
    </row>
    <row r="91" spans="1:9">
      <c r="A91" s="35" t="e">
        <f>'【3-2】大区&amp;运营中心填-房间模型价'!#REF!</f>
        <v>#REF!</v>
      </c>
      <c r="B91" s="35" t="e">
        <f>'【3-2】大区&amp;运营中心填-房间模型价'!#REF!</f>
        <v>#REF!</v>
      </c>
      <c r="C91" s="66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4"/>
        <v>#REF!</v>
      </c>
      <c r="I91" s="70"/>
    </row>
    <row r="92" spans="1:9">
      <c r="A92" s="35" t="e">
        <f>'【3-2】大区&amp;运营中心填-房间模型价'!#REF!</f>
        <v>#REF!</v>
      </c>
      <c r="B92" s="35" t="e">
        <f>'【3-2】大区&amp;运营中心填-房间模型价'!#REF!</f>
        <v>#REF!</v>
      </c>
      <c r="C92" s="66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4"/>
        <v>#REF!</v>
      </c>
      <c r="I92" s="70"/>
    </row>
    <row r="93" spans="1:9">
      <c r="A93" s="35" t="e">
        <f>'【3-2】大区&amp;运营中心填-房间模型价'!#REF!</f>
        <v>#REF!</v>
      </c>
      <c r="B93" s="35" t="e">
        <f>'【3-2】大区&amp;运营中心填-房间模型价'!#REF!</f>
        <v>#REF!</v>
      </c>
      <c r="C93" s="66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4"/>
        <v>#REF!</v>
      </c>
      <c r="I93" s="70"/>
    </row>
    <row r="94" spans="1:9">
      <c r="A94" s="35" t="e">
        <f>'【3-2】大区&amp;运营中心填-房间模型价'!#REF!</f>
        <v>#REF!</v>
      </c>
      <c r="B94" s="35" t="e">
        <f>'【3-2】大区&amp;运营中心填-房间模型价'!#REF!</f>
        <v>#REF!</v>
      </c>
      <c r="C94" s="66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4"/>
        <v>#REF!</v>
      </c>
      <c r="I94" s="70"/>
    </row>
    <row r="95" spans="1:9">
      <c r="A95" s="35" t="e">
        <f>'【3-2】大区&amp;运营中心填-房间模型价'!#REF!</f>
        <v>#REF!</v>
      </c>
      <c r="B95" s="35" t="e">
        <f>'【3-2】大区&amp;运营中心填-房间模型价'!#REF!</f>
        <v>#REF!</v>
      </c>
      <c r="C95" s="66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4"/>
        <v>#REF!</v>
      </c>
      <c r="I95" s="70"/>
    </row>
    <row r="96" spans="1:9">
      <c r="A96" s="35" t="e">
        <f>'【3-2】大区&amp;运营中心填-房间模型价'!#REF!</f>
        <v>#REF!</v>
      </c>
      <c r="B96" s="35" t="e">
        <f>'【3-2】大区&amp;运营中心填-房间模型价'!#REF!</f>
        <v>#REF!</v>
      </c>
      <c r="C96" s="66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4"/>
        <v>#REF!</v>
      </c>
      <c r="I96" s="70"/>
    </row>
    <row r="97" spans="1:9">
      <c r="A97" s="35" t="e">
        <f>'【3-2】大区&amp;运营中心填-房间模型价'!#REF!</f>
        <v>#REF!</v>
      </c>
      <c r="B97" s="35" t="e">
        <f>'【3-2】大区&amp;运营中心填-房间模型价'!#REF!</f>
        <v>#REF!</v>
      </c>
      <c r="C97" s="66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4"/>
        <v>#REF!</v>
      </c>
      <c r="I97" s="70"/>
    </row>
    <row r="98" spans="1:9">
      <c r="A98" s="35" t="e">
        <f>'【3-2】大区&amp;运营中心填-房间模型价'!#REF!</f>
        <v>#REF!</v>
      </c>
      <c r="B98" s="35" t="e">
        <f>'【3-2】大区&amp;运营中心填-房间模型价'!#REF!</f>
        <v>#REF!</v>
      </c>
      <c r="C98" s="66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4"/>
        <v>#REF!</v>
      </c>
      <c r="I98" s="70"/>
    </row>
    <row r="99" spans="1:9">
      <c r="A99" s="35" t="e">
        <f>'【3-2】大区&amp;运营中心填-房间模型价'!#REF!</f>
        <v>#REF!</v>
      </c>
      <c r="B99" s="35" t="e">
        <f>'【3-2】大区&amp;运营中心填-房间模型价'!#REF!</f>
        <v>#REF!</v>
      </c>
      <c r="C99" s="66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4"/>
        <v>#REF!</v>
      </c>
      <c r="I99" s="70"/>
    </row>
    <row r="100" spans="1:9">
      <c r="A100" s="35" t="e">
        <f>'【3-2】大区&amp;运营中心填-房间模型价'!#REF!</f>
        <v>#REF!</v>
      </c>
      <c r="B100" s="35" t="e">
        <f>'【3-2】大区&amp;运营中心填-房间模型价'!#REF!</f>
        <v>#REF!</v>
      </c>
      <c r="C100" s="66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4"/>
        <v>#REF!</v>
      </c>
      <c r="I100" s="70"/>
    </row>
    <row r="101" spans="1:9">
      <c r="A101" s="35" t="e">
        <f>'【3-2】大区&amp;运营中心填-房间模型价'!#REF!</f>
        <v>#REF!</v>
      </c>
      <c r="B101" s="35" t="e">
        <f>'【3-2】大区&amp;运营中心填-房间模型价'!#REF!</f>
        <v>#REF!</v>
      </c>
      <c r="C101" s="66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4"/>
        <v>#REF!</v>
      </c>
      <c r="I101" s="70"/>
    </row>
    <row r="102" spans="1:9">
      <c r="A102" s="35" t="e">
        <f>'【3-2】大区&amp;运营中心填-房间模型价'!#REF!</f>
        <v>#REF!</v>
      </c>
      <c r="B102" s="35" t="e">
        <f>'【3-2】大区&amp;运营中心填-房间模型价'!#REF!</f>
        <v>#REF!</v>
      </c>
      <c r="C102" s="66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4"/>
        <v>#REF!</v>
      </c>
      <c r="I102" s="70"/>
    </row>
    <row r="103" spans="1:9">
      <c r="A103" s="35" t="e">
        <f>'【3-2】大区&amp;运营中心填-房间模型价'!#REF!</f>
        <v>#REF!</v>
      </c>
      <c r="B103" s="35" t="e">
        <f>'【3-2】大区&amp;运营中心填-房间模型价'!#REF!</f>
        <v>#REF!</v>
      </c>
      <c r="C103" s="66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4"/>
        <v>#REF!</v>
      </c>
      <c r="I103" s="70"/>
    </row>
    <row r="104" spans="1:9">
      <c r="A104" s="35" t="e">
        <f>'【3-2】大区&amp;运营中心填-房间模型价'!#REF!</f>
        <v>#REF!</v>
      </c>
      <c r="B104" s="35" t="e">
        <f>'【3-2】大区&amp;运营中心填-房间模型价'!#REF!</f>
        <v>#REF!</v>
      </c>
      <c r="C104" s="66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4"/>
        <v>#REF!</v>
      </c>
      <c r="I104" s="70"/>
    </row>
    <row r="105" spans="1:9">
      <c r="A105" s="35" t="e">
        <f>'【3-2】大区&amp;运营中心填-房间模型价'!#REF!</f>
        <v>#REF!</v>
      </c>
      <c r="B105" s="35" t="e">
        <f>'【3-2】大区&amp;运营中心填-房间模型价'!#REF!</f>
        <v>#REF!</v>
      </c>
      <c r="C105" s="66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4"/>
        <v>#REF!</v>
      </c>
      <c r="I105" s="70"/>
    </row>
    <row r="106" spans="1:9">
      <c r="A106" s="35" t="e">
        <f>'【3-2】大区&amp;运营中心填-房间模型价'!#REF!</f>
        <v>#REF!</v>
      </c>
      <c r="B106" s="35" t="e">
        <f>'【3-2】大区&amp;运营中心填-房间模型价'!#REF!</f>
        <v>#REF!</v>
      </c>
      <c r="C106" s="66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4"/>
        <v>#REF!</v>
      </c>
      <c r="I106" s="70"/>
    </row>
    <row r="107" spans="1:9">
      <c r="A107" s="35" t="e">
        <f>'【3-2】大区&amp;运营中心填-房间模型价'!#REF!</f>
        <v>#REF!</v>
      </c>
      <c r="B107" s="35" t="e">
        <f>'【3-2】大区&amp;运营中心填-房间模型价'!#REF!</f>
        <v>#REF!</v>
      </c>
      <c r="C107" s="66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4"/>
        <v>#REF!</v>
      </c>
      <c r="I107" s="70"/>
    </row>
    <row r="108" spans="1:9">
      <c r="A108" s="35" t="e">
        <f>'【3-2】大区&amp;运营中心填-房间模型价'!#REF!</f>
        <v>#REF!</v>
      </c>
      <c r="B108" s="35" t="e">
        <f>'【3-2】大区&amp;运营中心填-房间模型价'!#REF!</f>
        <v>#REF!</v>
      </c>
      <c r="C108" s="66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4"/>
        <v>#REF!</v>
      </c>
      <c r="I108" s="70"/>
    </row>
    <row r="109" spans="1:9">
      <c r="A109" s="35" t="e">
        <f>'【3-2】大区&amp;运营中心填-房间模型价'!#REF!</f>
        <v>#REF!</v>
      </c>
      <c r="B109" s="35" t="e">
        <f>'【3-2】大区&amp;运营中心填-房间模型价'!#REF!</f>
        <v>#REF!</v>
      </c>
      <c r="C109" s="66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4"/>
        <v>#REF!</v>
      </c>
      <c r="I109" s="70"/>
    </row>
    <row r="110" spans="1:9">
      <c r="A110" s="35" t="e">
        <f>'【3-2】大区&amp;运营中心填-房间模型价'!#REF!</f>
        <v>#REF!</v>
      </c>
      <c r="B110" s="35" t="e">
        <f>'【3-2】大区&amp;运营中心填-房间模型价'!#REF!</f>
        <v>#REF!</v>
      </c>
      <c r="C110" s="66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4"/>
        <v>#REF!</v>
      </c>
      <c r="I110" s="70"/>
    </row>
    <row r="111" spans="1:9">
      <c r="A111" s="35" t="e">
        <f>'【3-2】大区&amp;运营中心填-房间模型价'!#REF!</f>
        <v>#REF!</v>
      </c>
      <c r="B111" s="35" t="e">
        <f>'【3-2】大区&amp;运营中心填-房间模型价'!#REF!</f>
        <v>#REF!</v>
      </c>
      <c r="C111" s="66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4"/>
        <v>#REF!</v>
      </c>
      <c r="I111" s="70"/>
    </row>
    <row r="112" spans="1:9">
      <c r="A112" s="35" t="e">
        <f>'【3-2】大区&amp;运营中心填-房间模型价'!#REF!</f>
        <v>#REF!</v>
      </c>
      <c r="B112" s="35" t="e">
        <f>'【3-2】大区&amp;运营中心填-房间模型价'!#REF!</f>
        <v>#REF!</v>
      </c>
      <c r="C112" s="66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4"/>
        <v>#REF!</v>
      </c>
      <c r="I112" s="70"/>
    </row>
    <row r="113" spans="1:9">
      <c r="A113" s="35" t="e">
        <f>'【3-2】大区&amp;运营中心填-房间模型价'!#REF!</f>
        <v>#REF!</v>
      </c>
      <c r="B113" s="35" t="e">
        <f>'【3-2】大区&amp;运营中心填-房间模型价'!#REF!</f>
        <v>#REF!</v>
      </c>
      <c r="C113" s="66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ref="H113:H144" si="5">IF(C113="开间",IF(D113+E113*2-G113&lt;=0,"1",IF(D113+E113*2-G113&lt;=1,"2",IF(D113+E113*2-G113&lt;=2,"3",IF(D113+E113*2-G113&lt;=3,"4","5")))),IF(D113+E113*2-G113&lt;1.1,"1",IF(D113+E113*2-G113&lt;=2,"2",IF(D113+E113*2-G113&lt;=3,"3",IF(D113+E113*2-G113&lt;=4,"4","5")))))</f>
        <v>#REF!</v>
      </c>
      <c r="I113" s="70"/>
    </row>
    <row r="114" spans="1:9">
      <c r="A114" s="35" t="e">
        <f>'【3-2】大区&amp;运营中心填-房间模型价'!#REF!</f>
        <v>#REF!</v>
      </c>
      <c r="B114" s="35" t="e">
        <f>'【3-2】大区&amp;运营中心填-房间模型价'!#REF!</f>
        <v>#REF!</v>
      </c>
      <c r="C114" s="66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5"/>
        <v>#REF!</v>
      </c>
      <c r="I114" s="70"/>
    </row>
    <row r="115" spans="1:9">
      <c r="A115" s="35" t="e">
        <f>'【3-2】大区&amp;运营中心填-房间模型价'!#REF!</f>
        <v>#REF!</v>
      </c>
      <c r="B115" s="35" t="e">
        <f>'【3-2】大区&amp;运营中心填-房间模型价'!#REF!</f>
        <v>#REF!</v>
      </c>
      <c r="C115" s="66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5"/>
        <v>#REF!</v>
      </c>
      <c r="I115" s="70"/>
    </row>
    <row r="116" spans="1:9">
      <c r="A116" s="35" t="e">
        <f>'【3-2】大区&amp;运营中心填-房间模型价'!#REF!</f>
        <v>#REF!</v>
      </c>
      <c r="B116" s="35" t="e">
        <f>'【3-2】大区&amp;运营中心填-房间模型价'!#REF!</f>
        <v>#REF!</v>
      </c>
      <c r="C116" s="66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5"/>
        <v>#REF!</v>
      </c>
      <c r="I116" s="70"/>
    </row>
    <row r="117" spans="1:9">
      <c r="A117" s="35" t="e">
        <f>'【3-2】大区&amp;运营中心填-房间模型价'!#REF!</f>
        <v>#REF!</v>
      </c>
      <c r="B117" s="35" t="e">
        <f>'【3-2】大区&amp;运营中心填-房间模型价'!#REF!</f>
        <v>#REF!</v>
      </c>
      <c r="C117" s="66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5"/>
        <v>#REF!</v>
      </c>
      <c r="I117" s="70"/>
    </row>
    <row r="118" spans="1:9">
      <c r="A118" s="35" t="e">
        <f>'【3-2】大区&amp;运营中心填-房间模型价'!#REF!</f>
        <v>#REF!</v>
      </c>
      <c r="B118" s="35" t="e">
        <f>'【3-2】大区&amp;运营中心填-房间模型价'!#REF!</f>
        <v>#REF!</v>
      </c>
      <c r="C118" s="66" t="e">
        <f>VLOOKUP(A118,'【3-2】大区&amp;运营中心填-房间模型价'!H:J,3,0)</f>
        <v>#REF!</v>
      </c>
      <c r="D118" s="13"/>
      <c r="E118" s="13"/>
      <c r="F118" s="13"/>
      <c r="G118" s="13"/>
      <c r="H118" s="13" t="e">
        <f t="shared" si="5"/>
        <v>#REF!</v>
      </c>
      <c r="I118" s="70"/>
    </row>
    <row r="119" spans="1:9">
      <c r="A119" s="35" t="e">
        <f>'【3-2】大区&amp;运营中心填-房间模型价'!#REF!</f>
        <v>#REF!</v>
      </c>
      <c r="B119" s="35" t="e">
        <f>'【3-2】大区&amp;运营中心填-房间模型价'!#REF!</f>
        <v>#REF!</v>
      </c>
      <c r="C119" s="66" t="e">
        <f>VLOOKUP(A119,'【3-2】大区&amp;运营中心填-房间模型价'!H:J,3,0)</f>
        <v>#REF!</v>
      </c>
      <c r="D119" s="13"/>
      <c r="E119" s="13"/>
      <c r="F119" s="13"/>
      <c r="G119" s="13"/>
      <c r="H119" s="13" t="e">
        <f t="shared" si="5"/>
        <v>#REF!</v>
      </c>
      <c r="I119" s="70"/>
    </row>
    <row r="120" spans="1:9">
      <c r="A120" s="35" t="e">
        <f>'【3-2】大区&amp;运营中心填-房间模型价'!#REF!</f>
        <v>#REF!</v>
      </c>
      <c r="B120" s="35" t="e">
        <f>'【3-2】大区&amp;运营中心填-房间模型价'!#REF!</f>
        <v>#REF!</v>
      </c>
      <c r="C120" s="66" t="e">
        <f>VLOOKUP(A120,'【3-2】大区&amp;运营中心填-房间模型价'!H:J,3,0)</f>
        <v>#REF!</v>
      </c>
      <c r="D120" s="13"/>
      <c r="E120" s="13"/>
      <c r="F120" s="13"/>
      <c r="G120" s="13"/>
      <c r="H120" s="13" t="e">
        <f t="shared" si="5"/>
        <v>#REF!</v>
      </c>
      <c r="I120" s="70"/>
    </row>
    <row r="121" spans="1:9">
      <c r="A121" s="35" t="e">
        <f>'【3-2】大区&amp;运营中心填-房间模型价'!#REF!</f>
        <v>#REF!</v>
      </c>
      <c r="B121" s="35" t="e">
        <f>'【3-2】大区&amp;运营中心填-房间模型价'!#REF!</f>
        <v>#REF!</v>
      </c>
      <c r="C121" s="66" t="e">
        <f>VLOOKUP(A121,'【3-2】大区&amp;运营中心填-房间模型价'!H:J,3,0)</f>
        <v>#REF!</v>
      </c>
      <c r="D121" s="13"/>
      <c r="E121" s="13"/>
      <c r="F121" s="13"/>
      <c r="G121" s="13"/>
      <c r="H121" s="13" t="e">
        <f t="shared" si="5"/>
        <v>#REF!</v>
      </c>
      <c r="I121" s="70"/>
    </row>
    <row r="122" spans="1:9">
      <c r="A122" s="35" t="e">
        <f>'【3-2】大区&amp;运营中心填-房间模型价'!#REF!</f>
        <v>#REF!</v>
      </c>
      <c r="B122" s="35" t="e">
        <f>'【3-2】大区&amp;运营中心填-房间模型价'!#REF!</f>
        <v>#REF!</v>
      </c>
      <c r="C122" s="66" t="e">
        <f>VLOOKUP(A122,'【3-2】大区&amp;运营中心填-房间模型价'!H:J,3,0)</f>
        <v>#REF!</v>
      </c>
      <c r="D122" s="13"/>
      <c r="E122" s="13"/>
      <c r="F122" s="13"/>
      <c r="G122" s="13"/>
      <c r="H122" s="13" t="e">
        <f t="shared" si="5"/>
        <v>#REF!</v>
      </c>
      <c r="I122" s="70"/>
    </row>
    <row r="123" spans="1:9">
      <c r="A123" s="35" t="e">
        <f>'【3-2】大区&amp;运营中心填-房间模型价'!#REF!</f>
        <v>#REF!</v>
      </c>
      <c r="B123" s="35" t="e">
        <f>'【3-2】大区&amp;运营中心填-房间模型价'!#REF!</f>
        <v>#REF!</v>
      </c>
      <c r="C123" s="66" t="e">
        <f>VLOOKUP(A123,'【3-2】大区&amp;运营中心填-房间模型价'!H:J,3,0)</f>
        <v>#REF!</v>
      </c>
      <c r="D123" s="13"/>
      <c r="E123" s="13"/>
      <c r="F123" s="13"/>
      <c r="G123" s="13"/>
      <c r="H123" s="13" t="e">
        <f t="shared" si="5"/>
        <v>#REF!</v>
      </c>
      <c r="I123" s="70"/>
    </row>
    <row r="124" spans="1:9">
      <c r="A124" s="35" t="e">
        <f>'【3-2】大区&amp;运营中心填-房间模型价'!#REF!</f>
        <v>#REF!</v>
      </c>
      <c r="B124" s="35" t="e">
        <f>'【3-2】大区&amp;运营中心填-房间模型价'!#REF!</f>
        <v>#REF!</v>
      </c>
      <c r="C124" s="66" t="e">
        <f>VLOOKUP(A124,'【3-2】大区&amp;运营中心填-房间模型价'!H:J,3,0)</f>
        <v>#REF!</v>
      </c>
      <c r="D124" s="13"/>
      <c r="E124" s="13"/>
      <c r="F124" s="13"/>
      <c r="G124" s="13"/>
      <c r="H124" s="13" t="e">
        <f t="shared" si="5"/>
        <v>#REF!</v>
      </c>
      <c r="I124" s="70"/>
    </row>
    <row r="125" spans="1:9">
      <c r="A125" s="35" t="e">
        <f>'【3-2】大区&amp;运营中心填-房间模型价'!#REF!</f>
        <v>#REF!</v>
      </c>
      <c r="B125" s="35" t="e">
        <f>'【3-2】大区&amp;运营中心填-房间模型价'!#REF!</f>
        <v>#REF!</v>
      </c>
      <c r="C125" s="66" t="e">
        <f>VLOOKUP(A125,'【3-2】大区&amp;运营中心填-房间模型价'!H:J,3,0)</f>
        <v>#REF!</v>
      </c>
      <c r="D125" s="13"/>
      <c r="E125" s="13"/>
      <c r="F125" s="13"/>
      <c r="G125" s="13"/>
      <c r="H125" s="13" t="e">
        <f t="shared" si="5"/>
        <v>#REF!</v>
      </c>
      <c r="I125" s="70"/>
    </row>
    <row r="126" spans="1:9">
      <c r="A126" s="35" t="e">
        <f>'【3-2】大区&amp;运营中心填-房间模型价'!#REF!</f>
        <v>#REF!</v>
      </c>
      <c r="B126" s="35" t="e">
        <f>'【3-2】大区&amp;运营中心填-房间模型价'!#REF!</f>
        <v>#REF!</v>
      </c>
      <c r="C126" s="66" t="e">
        <f>VLOOKUP(A126,'【3-2】大区&amp;运营中心填-房间模型价'!H:J,3,0)</f>
        <v>#REF!</v>
      </c>
      <c r="D126" s="13"/>
      <c r="E126" s="13"/>
      <c r="F126" s="13"/>
      <c r="G126" s="13"/>
      <c r="H126" s="13" t="e">
        <f t="shared" si="5"/>
        <v>#REF!</v>
      </c>
      <c r="I126" s="70"/>
    </row>
    <row r="127" spans="1:9">
      <c r="A127" s="35" t="e">
        <f>'【3-2】大区&amp;运营中心填-房间模型价'!#REF!</f>
        <v>#REF!</v>
      </c>
      <c r="B127" s="35" t="e">
        <f>'【3-2】大区&amp;运营中心填-房间模型价'!#REF!</f>
        <v>#REF!</v>
      </c>
      <c r="C127" s="66" t="e">
        <f>VLOOKUP(A127,'【3-2】大区&amp;运营中心填-房间模型价'!H:J,3,0)</f>
        <v>#REF!</v>
      </c>
      <c r="D127" s="13"/>
      <c r="E127" s="13"/>
      <c r="F127" s="13"/>
      <c r="G127" s="13"/>
      <c r="H127" s="13" t="e">
        <f t="shared" si="5"/>
        <v>#REF!</v>
      </c>
      <c r="I127" s="70"/>
    </row>
    <row r="128" spans="1:9">
      <c r="A128" s="35" t="e">
        <f>'【3-2】大区&amp;运营中心填-房间模型价'!#REF!</f>
        <v>#REF!</v>
      </c>
      <c r="B128" s="35" t="e">
        <f>'【3-2】大区&amp;运营中心填-房间模型价'!#REF!</f>
        <v>#REF!</v>
      </c>
      <c r="C128" s="66" t="e">
        <f>VLOOKUP(A128,'【3-2】大区&amp;运营中心填-房间模型价'!H:J,3,0)</f>
        <v>#REF!</v>
      </c>
      <c r="D128" s="13"/>
      <c r="E128" s="13"/>
      <c r="F128" s="13"/>
      <c r="G128" s="13"/>
      <c r="H128" s="13" t="e">
        <f t="shared" si="5"/>
        <v>#REF!</v>
      </c>
      <c r="I128" s="70"/>
    </row>
    <row r="129" spans="1:9">
      <c r="A129" s="35" t="e">
        <f>'【3-2】大区&amp;运营中心填-房间模型价'!#REF!</f>
        <v>#REF!</v>
      </c>
      <c r="B129" s="35" t="e">
        <f>'【3-2】大区&amp;运营中心填-房间模型价'!#REF!</f>
        <v>#REF!</v>
      </c>
      <c r="C129" s="66" t="e">
        <f>VLOOKUP(A129,'【3-2】大区&amp;运营中心填-房间模型价'!H:J,3,0)</f>
        <v>#REF!</v>
      </c>
      <c r="D129" s="13"/>
      <c r="E129" s="13"/>
      <c r="F129" s="13"/>
      <c r="G129" s="13"/>
      <c r="H129" s="13" t="e">
        <f t="shared" si="5"/>
        <v>#REF!</v>
      </c>
      <c r="I129" s="70"/>
    </row>
    <row r="130" spans="1:9">
      <c r="A130" s="35" t="e">
        <f>'【3-2】大区&amp;运营中心填-房间模型价'!#REF!</f>
        <v>#REF!</v>
      </c>
      <c r="B130" s="35" t="e">
        <f>'【3-2】大区&amp;运营中心填-房间模型价'!#REF!</f>
        <v>#REF!</v>
      </c>
      <c r="C130" s="66" t="e">
        <f>VLOOKUP(A130,'【3-2】大区&amp;运营中心填-房间模型价'!H:J,3,0)</f>
        <v>#REF!</v>
      </c>
      <c r="D130" s="13"/>
      <c r="E130" s="13"/>
      <c r="F130" s="13"/>
      <c r="G130" s="13"/>
      <c r="H130" s="13" t="e">
        <f t="shared" si="5"/>
        <v>#REF!</v>
      </c>
      <c r="I130" s="70"/>
    </row>
    <row r="131" spans="1:9">
      <c r="A131" s="35" t="e">
        <f>'【3-2】大区&amp;运营中心填-房间模型价'!#REF!</f>
        <v>#REF!</v>
      </c>
      <c r="B131" s="35" t="e">
        <f>'【3-2】大区&amp;运营中心填-房间模型价'!#REF!</f>
        <v>#REF!</v>
      </c>
      <c r="C131" s="66" t="e">
        <f>VLOOKUP(A131,'【3-2】大区&amp;运营中心填-房间模型价'!H:J,3,0)</f>
        <v>#REF!</v>
      </c>
      <c r="D131" s="13"/>
      <c r="E131" s="13"/>
      <c r="F131" s="13"/>
      <c r="G131" s="13"/>
      <c r="H131" s="13" t="e">
        <f t="shared" si="5"/>
        <v>#REF!</v>
      </c>
      <c r="I131" s="70"/>
    </row>
    <row r="132" spans="1:9">
      <c r="A132" s="35" t="e">
        <f>'【3-2】大区&amp;运营中心填-房间模型价'!#REF!</f>
        <v>#REF!</v>
      </c>
      <c r="B132" s="35" t="e">
        <f>'【3-2】大区&amp;运营中心填-房间模型价'!#REF!</f>
        <v>#REF!</v>
      </c>
      <c r="C132" s="66" t="e">
        <f>VLOOKUP(A132,'【3-2】大区&amp;运营中心填-房间模型价'!H:J,3,0)</f>
        <v>#REF!</v>
      </c>
      <c r="D132" s="13"/>
      <c r="E132" s="13"/>
      <c r="F132" s="13"/>
      <c r="G132" s="13"/>
      <c r="H132" s="13" t="e">
        <f t="shared" si="5"/>
        <v>#REF!</v>
      </c>
      <c r="I132" s="70"/>
    </row>
    <row r="133" spans="1:9">
      <c r="A133" s="35" t="e">
        <f>'【3-2】大区&amp;运营中心填-房间模型价'!#REF!</f>
        <v>#REF!</v>
      </c>
      <c r="B133" s="35" t="e">
        <f>'【3-2】大区&amp;运营中心填-房间模型价'!#REF!</f>
        <v>#REF!</v>
      </c>
      <c r="C133" s="66" t="e">
        <f>VLOOKUP(A133,'【3-2】大区&amp;运营中心填-房间模型价'!H:J,3,0)</f>
        <v>#REF!</v>
      </c>
      <c r="D133" s="13"/>
      <c r="E133" s="13"/>
      <c r="F133" s="13"/>
      <c r="G133" s="13"/>
      <c r="H133" s="13" t="e">
        <f t="shared" si="5"/>
        <v>#REF!</v>
      </c>
      <c r="I133" s="70"/>
    </row>
    <row r="134" spans="1:9">
      <c r="A134" s="35" t="e">
        <f>'【3-2】大区&amp;运营中心填-房间模型价'!#REF!</f>
        <v>#REF!</v>
      </c>
      <c r="B134" s="35" t="e">
        <f>'【3-2】大区&amp;运营中心填-房间模型价'!#REF!</f>
        <v>#REF!</v>
      </c>
      <c r="C134" s="66" t="e">
        <f>VLOOKUP(A134,'【3-2】大区&amp;运营中心填-房间模型价'!H:J,3,0)</f>
        <v>#REF!</v>
      </c>
      <c r="D134" s="13"/>
      <c r="E134" s="13"/>
      <c r="F134" s="13"/>
      <c r="G134" s="13"/>
      <c r="H134" s="13" t="e">
        <f t="shared" si="5"/>
        <v>#REF!</v>
      </c>
      <c r="I134" s="70"/>
    </row>
    <row r="135" spans="1:9">
      <c r="A135" s="35" t="e">
        <f>'【3-2】大区&amp;运营中心填-房间模型价'!#REF!</f>
        <v>#REF!</v>
      </c>
      <c r="B135" s="35" t="e">
        <f>'【3-2】大区&amp;运营中心填-房间模型价'!#REF!</f>
        <v>#REF!</v>
      </c>
      <c r="C135" s="66" t="e">
        <f>VLOOKUP(A135,'【3-2】大区&amp;运营中心填-房间模型价'!H:J,3,0)</f>
        <v>#REF!</v>
      </c>
      <c r="D135" s="13"/>
      <c r="E135" s="13"/>
      <c r="F135" s="13"/>
      <c r="G135" s="13"/>
      <c r="H135" s="13" t="e">
        <f t="shared" si="5"/>
        <v>#REF!</v>
      </c>
      <c r="I135" s="70"/>
    </row>
    <row r="136" spans="1:9">
      <c r="A136" s="35" t="e">
        <f>'【3-2】大区&amp;运营中心填-房间模型价'!#REF!</f>
        <v>#REF!</v>
      </c>
      <c r="B136" s="35" t="e">
        <f>'【3-2】大区&amp;运营中心填-房间模型价'!#REF!</f>
        <v>#REF!</v>
      </c>
      <c r="C136" s="66" t="e">
        <f>VLOOKUP(A136,'【3-2】大区&amp;运营中心填-房间模型价'!H:J,3,0)</f>
        <v>#REF!</v>
      </c>
      <c r="D136" s="13"/>
      <c r="E136" s="13"/>
      <c r="F136" s="13"/>
      <c r="G136" s="13"/>
      <c r="H136" s="13" t="e">
        <f t="shared" si="5"/>
        <v>#REF!</v>
      </c>
      <c r="I136" s="70"/>
    </row>
    <row r="137" spans="1:9">
      <c r="A137" s="35" t="e">
        <f>'【3-2】大区&amp;运营中心填-房间模型价'!#REF!</f>
        <v>#REF!</v>
      </c>
      <c r="B137" s="35" t="e">
        <f>'【3-2】大区&amp;运营中心填-房间模型价'!#REF!</f>
        <v>#REF!</v>
      </c>
      <c r="C137" s="66" t="e">
        <f>VLOOKUP(A137,'【3-2】大区&amp;运营中心填-房间模型价'!H:J,3,0)</f>
        <v>#REF!</v>
      </c>
      <c r="D137" s="13"/>
      <c r="E137" s="13"/>
      <c r="F137" s="13"/>
      <c r="G137" s="13"/>
      <c r="H137" s="13" t="e">
        <f t="shared" si="5"/>
        <v>#REF!</v>
      </c>
      <c r="I137" s="70"/>
    </row>
    <row r="138" spans="1:9">
      <c r="A138" s="35" t="e">
        <f>'【3-2】大区&amp;运营中心填-房间模型价'!#REF!</f>
        <v>#REF!</v>
      </c>
      <c r="B138" s="35" t="e">
        <f>'【3-2】大区&amp;运营中心填-房间模型价'!#REF!</f>
        <v>#REF!</v>
      </c>
      <c r="C138" s="66" t="e">
        <f>VLOOKUP(A138,'【3-2】大区&amp;运营中心填-房间模型价'!H:J,3,0)</f>
        <v>#REF!</v>
      </c>
      <c r="D138" s="13"/>
      <c r="E138" s="13"/>
      <c r="F138" s="13"/>
      <c r="G138" s="13"/>
      <c r="H138" s="13" t="e">
        <f t="shared" si="5"/>
        <v>#REF!</v>
      </c>
      <c r="I138" s="70"/>
    </row>
    <row r="139" spans="1:9">
      <c r="A139" s="35" t="e">
        <f>'【3-2】大区&amp;运营中心填-房间模型价'!#REF!</f>
        <v>#REF!</v>
      </c>
      <c r="B139" s="35" t="e">
        <f>'【3-2】大区&amp;运营中心填-房间模型价'!#REF!</f>
        <v>#REF!</v>
      </c>
      <c r="C139" s="66" t="e">
        <f>VLOOKUP(A139,'【3-2】大区&amp;运营中心填-房间模型价'!H:J,3,0)</f>
        <v>#REF!</v>
      </c>
      <c r="D139" s="13"/>
      <c r="E139" s="13"/>
      <c r="F139" s="13"/>
      <c r="G139" s="13"/>
      <c r="H139" s="13" t="e">
        <f t="shared" si="5"/>
        <v>#REF!</v>
      </c>
      <c r="I139" s="70"/>
    </row>
    <row r="140" spans="1:9">
      <c r="A140" s="35" t="e">
        <f>'【3-2】大区&amp;运营中心填-房间模型价'!#REF!</f>
        <v>#REF!</v>
      </c>
      <c r="B140" s="35" t="e">
        <f>'【3-2】大区&amp;运营中心填-房间模型价'!#REF!</f>
        <v>#REF!</v>
      </c>
      <c r="C140" s="66" t="e">
        <f>VLOOKUP(A140,'【3-2】大区&amp;运营中心填-房间模型价'!H:J,3,0)</f>
        <v>#REF!</v>
      </c>
      <c r="D140" s="13"/>
      <c r="E140" s="13"/>
      <c r="F140" s="13"/>
      <c r="G140" s="13"/>
      <c r="H140" s="13" t="e">
        <f t="shared" si="5"/>
        <v>#REF!</v>
      </c>
      <c r="I140" s="70"/>
    </row>
    <row r="141" spans="1:9">
      <c r="A141" s="35" t="e">
        <f>'【3-2】大区&amp;运营中心填-房间模型价'!#REF!</f>
        <v>#REF!</v>
      </c>
      <c r="B141" s="35" t="e">
        <f>'【3-2】大区&amp;运营中心填-房间模型价'!#REF!</f>
        <v>#REF!</v>
      </c>
      <c r="C141" s="66" t="e">
        <f>VLOOKUP(A141,'【3-2】大区&amp;运营中心填-房间模型价'!H:J,3,0)</f>
        <v>#REF!</v>
      </c>
      <c r="D141" s="13"/>
      <c r="E141" s="13"/>
      <c r="F141" s="13"/>
      <c r="G141" s="13"/>
      <c r="H141" s="13" t="e">
        <f t="shared" si="5"/>
        <v>#REF!</v>
      </c>
      <c r="I141" s="70"/>
    </row>
    <row r="142" spans="1:9">
      <c r="A142" s="35" t="e">
        <f>'【3-2】大区&amp;运营中心填-房间模型价'!#REF!</f>
        <v>#REF!</v>
      </c>
      <c r="B142" s="35" t="e">
        <f>'【3-2】大区&amp;运营中心填-房间模型价'!#REF!</f>
        <v>#REF!</v>
      </c>
      <c r="C142" s="66" t="e">
        <f>VLOOKUP(A142,'【3-2】大区&amp;运营中心填-房间模型价'!H:J,3,0)</f>
        <v>#REF!</v>
      </c>
      <c r="D142" s="13"/>
      <c r="E142" s="13"/>
      <c r="F142" s="13"/>
      <c r="G142" s="13"/>
      <c r="H142" s="13" t="e">
        <f t="shared" si="5"/>
        <v>#REF!</v>
      </c>
      <c r="I142" s="70"/>
    </row>
    <row r="143" spans="1:9">
      <c r="A143" s="35" t="e">
        <f>'【3-2】大区&amp;运营中心填-房间模型价'!#REF!</f>
        <v>#REF!</v>
      </c>
      <c r="B143" s="35" t="e">
        <f>'【3-2】大区&amp;运营中心填-房间模型价'!#REF!</f>
        <v>#REF!</v>
      </c>
      <c r="C143" s="66" t="e">
        <f>VLOOKUP(A143,'【3-2】大区&amp;运营中心填-房间模型价'!H:J,3,0)</f>
        <v>#REF!</v>
      </c>
      <c r="D143" s="13"/>
      <c r="E143" s="13"/>
      <c r="F143" s="13"/>
      <c r="G143" s="13"/>
      <c r="H143" s="13" t="e">
        <f t="shared" si="5"/>
        <v>#REF!</v>
      </c>
      <c r="I143" s="70"/>
    </row>
    <row r="144" spans="1:9">
      <c r="A144" s="35" t="e">
        <f>'【3-2】大区&amp;运营中心填-房间模型价'!#REF!</f>
        <v>#REF!</v>
      </c>
      <c r="B144" s="35" t="e">
        <f>'【3-2】大区&amp;运营中心填-房间模型价'!#REF!</f>
        <v>#REF!</v>
      </c>
      <c r="C144" s="66" t="e">
        <f>VLOOKUP(A144,'【3-2】大区&amp;运营中心填-房间模型价'!H:J,3,0)</f>
        <v>#REF!</v>
      </c>
      <c r="D144" s="13"/>
      <c r="E144" s="13"/>
      <c r="F144" s="13"/>
      <c r="G144" s="13"/>
      <c r="H144" s="13" t="e">
        <f t="shared" si="5"/>
        <v>#REF!</v>
      </c>
      <c r="I144" s="70"/>
    </row>
    <row r="145" spans="1:9">
      <c r="A145" s="35" t="e">
        <f>'【3-2】大区&amp;运营中心填-房间模型价'!#REF!</f>
        <v>#REF!</v>
      </c>
      <c r="B145" s="35" t="e">
        <f>'【3-2】大区&amp;运营中心填-房间模型价'!#REF!</f>
        <v>#REF!</v>
      </c>
      <c r="C145" s="66" t="e">
        <f>VLOOKUP(A145,'【3-2】大区&amp;运营中心填-房间模型价'!H:J,3,0)</f>
        <v>#REF!</v>
      </c>
      <c r="D145" s="13"/>
      <c r="E145" s="13"/>
      <c r="F145" s="13"/>
      <c r="G145" s="13"/>
      <c r="H145" s="13" t="e">
        <f t="shared" ref="H145:H176" si="6">IF(C145="开间",IF(D145+E145*2-G145&lt;=0,"1",IF(D145+E145*2-G145&lt;=1,"2",IF(D145+E145*2-G145&lt;=2,"3",IF(D145+E145*2-G145&lt;=3,"4","5")))),IF(D145+E145*2-G145&lt;1.1,"1",IF(D145+E145*2-G145&lt;=2,"2",IF(D145+E145*2-G145&lt;=3,"3",IF(D145+E145*2-G145&lt;=4,"4","5")))))</f>
        <v>#REF!</v>
      </c>
      <c r="I145" s="70"/>
    </row>
    <row r="146" spans="1:9">
      <c r="A146" s="35" t="e">
        <f>'【3-2】大区&amp;运营中心填-房间模型价'!#REF!</f>
        <v>#REF!</v>
      </c>
      <c r="B146" s="35" t="e">
        <f>'【3-2】大区&amp;运营中心填-房间模型价'!#REF!</f>
        <v>#REF!</v>
      </c>
      <c r="C146" s="66" t="e">
        <f>VLOOKUP(A146,'【3-2】大区&amp;运营中心填-房间模型价'!H:J,3,0)</f>
        <v>#REF!</v>
      </c>
      <c r="D146" s="13"/>
      <c r="E146" s="13"/>
      <c r="F146" s="13"/>
      <c r="G146" s="13"/>
      <c r="H146" s="13" t="e">
        <f t="shared" si="6"/>
        <v>#REF!</v>
      </c>
      <c r="I146" s="70"/>
    </row>
    <row r="147" spans="1:9">
      <c r="A147" s="35" t="e">
        <f>'【3-2】大区&amp;运营中心填-房间模型价'!#REF!</f>
        <v>#REF!</v>
      </c>
      <c r="B147" s="35" t="e">
        <f>'【3-2】大区&amp;运营中心填-房间模型价'!#REF!</f>
        <v>#REF!</v>
      </c>
      <c r="C147" s="66" t="e">
        <f>VLOOKUP(A147,'【3-2】大区&amp;运营中心填-房间模型价'!H:J,3,0)</f>
        <v>#REF!</v>
      </c>
      <c r="D147" s="13"/>
      <c r="E147" s="13"/>
      <c r="F147" s="13"/>
      <c r="G147" s="13"/>
      <c r="H147" s="13" t="e">
        <f t="shared" si="6"/>
        <v>#REF!</v>
      </c>
      <c r="I147" s="70"/>
    </row>
    <row r="148" spans="1:9">
      <c r="A148" s="35" t="e">
        <f>'【3-2】大区&amp;运营中心填-房间模型价'!#REF!</f>
        <v>#REF!</v>
      </c>
      <c r="B148" s="35" t="e">
        <f>'【3-2】大区&amp;运营中心填-房间模型价'!#REF!</f>
        <v>#REF!</v>
      </c>
      <c r="C148" s="66" t="e">
        <f>VLOOKUP(A148,'【3-2】大区&amp;运营中心填-房间模型价'!H:J,3,0)</f>
        <v>#REF!</v>
      </c>
      <c r="D148" s="13"/>
      <c r="E148" s="13"/>
      <c r="F148" s="13"/>
      <c r="G148" s="13"/>
      <c r="H148" s="13" t="e">
        <f t="shared" si="6"/>
        <v>#REF!</v>
      </c>
      <c r="I148" s="70"/>
    </row>
    <row r="149" spans="1:9">
      <c r="A149" s="35" t="e">
        <f>'【3-2】大区&amp;运营中心填-房间模型价'!#REF!</f>
        <v>#REF!</v>
      </c>
      <c r="B149" s="35" t="e">
        <f>'【3-2】大区&amp;运营中心填-房间模型价'!#REF!</f>
        <v>#REF!</v>
      </c>
      <c r="C149" s="66" t="e">
        <f>VLOOKUP(A149,'【3-2】大区&amp;运营中心填-房间模型价'!H:J,3,0)</f>
        <v>#REF!</v>
      </c>
      <c r="D149" s="13"/>
      <c r="E149" s="13"/>
      <c r="F149" s="13"/>
      <c r="G149" s="13"/>
      <c r="H149" s="13" t="e">
        <f t="shared" si="6"/>
        <v>#REF!</v>
      </c>
      <c r="I149" s="70"/>
    </row>
    <row r="150" spans="1:9">
      <c r="A150" s="35" t="e">
        <f>'【3-2】大区&amp;运营中心填-房间模型价'!#REF!</f>
        <v>#REF!</v>
      </c>
      <c r="B150" s="35" t="e">
        <f>'【3-2】大区&amp;运营中心填-房间模型价'!#REF!</f>
        <v>#REF!</v>
      </c>
      <c r="C150" s="66" t="e">
        <f>VLOOKUP(A150,'【3-2】大区&amp;运营中心填-房间模型价'!H:J,3,0)</f>
        <v>#REF!</v>
      </c>
      <c r="D150" s="13"/>
      <c r="E150" s="13"/>
      <c r="F150" s="13"/>
      <c r="G150" s="13"/>
      <c r="H150" s="13" t="e">
        <f t="shared" si="6"/>
        <v>#REF!</v>
      </c>
      <c r="I150" s="70"/>
    </row>
    <row r="151" spans="1:9">
      <c r="A151" s="35" t="e">
        <f>'【3-2】大区&amp;运营中心填-房间模型价'!#REF!</f>
        <v>#REF!</v>
      </c>
      <c r="B151" s="35" t="e">
        <f>'【3-2】大区&amp;运营中心填-房间模型价'!#REF!</f>
        <v>#REF!</v>
      </c>
      <c r="C151" s="66" t="e">
        <f>VLOOKUP(A151,'【3-2】大区&amp;运营中心填-房间模型价'!H:J,3,0)</f>
        <v>#REF!</v>
      </c>
      <c r="D151" s="13"/>
      <c r="E151" s="13"/>
      <c r="F151" s="13"/>
      <c r="G151" s="13"/>
      <c r="H151" s="13" t="e">
        <f t="shared" si="6"/>
        <v>#REF!</v>
      </c>
      <c r="I151" s="70"/>
    </row>
    <row r="152" spans="1:9">
      <c r="A152" s="35" t="e">
        <f>'【3-2】大区&amp;运营中心填-房间模型价'!#REF!</f>
        <v>#REF!</v>
      </c>
      <c r="B152" s="35" t="e">
        <f>'【3-2】大区&amp;运营中心填-房间模型价'!#REF!</f>
        <v>#REF!</v>
      </c>
      <c r="C152" s="66" t="e">
        <f>VLOOKUP(A152,'【3-2】大区&amp;运营中心填-房间模型价'!H:J,3,0)</f>
        <v>#REF!</v>
      </c>
      <c r="D152" s="13"/>
      <c r="E152" s="13"/>
      <c r="F152" s="13"/>
      <c r="G152" s="13"/>
      <c r="H152" s="13" t="e">
        <f t="shared" si="6"/>
        <v>#REF!</v>
      </c>
      <c r="I152" s="70"/>
    </row>
    <row r="153" spans="1:9">
      <c r="A153" s="35" t="e">
        <f>'【3-2】大区&amp;运营中心填-房间模型价'!#REF!</f>
        <v>#REF!</v>
      </c>
      <c r="B153" s="35" t="e">
        <f>'【3-2】大区&amp;运营中心填-房间模型价'!#REF!</f>
        <v>#REF!</v>
      </c>
      <c r="C153" s="66" t="e">
        <f>VLOOKUP(A153,'【3-2】大区&amp;运营中心填-房间模型价'!H:J,3,0)</f>
        <v>#REF!</v>
      </c>
      <c r="D153" s="13"/>
      <c r="E153" s="13"/>
      <c r="F153" s="13"/>
      <c r="G153" s="13"/>
      <c r="H153" s="13" t="e">
        <f t="shared" si="6"/>
        <v>#REF!</v>
      </c>
      <c r="I153" s="70"/>
    </row>
    <row r="154" spans="1:9">
      <c r="A154" s="35" t="e">
        <f>'【3-2】大区&amp;运营中心填-房间模型价'!#REF!</f>
        <v>#REF!</v>
      </c>
      <c r="B154" s="35" t="e">
        <f>'【3-2】大区&amp;运营中心填-房间模型价'!#REF!</f>
        <v>#REF!</v>
      </c>
      <c r="C154" s="66" t="e">
        <f>VLOOKUP(A154,'【3-2】大区&amp;运营中心填-房间模型价'!H:J,3,0)</f>
        <v>#REF!</v>
      </c>
      <c r="D154" s="13"/>
      <c r="E154" s="13"/>
      <c r="F154" s="13"/>
      <c r="G154" s="13"/>
      <c r="H154" s="13" t="e">
        <f t="shared" si="6"/>
        <v>#REF!</v>
      </c>
      <c r="I154" s="70"/>
    </row>
    <row r="155" spans="1:9">
      <c r="A155" s="35" t="e">
        <f>'【3-2】大区&amp;运营中心填-房间模型价'!#REF!</f>
        <v>#REF!</v>
      </c>
      <c r="B155" s="35" t="e">
        <f>'【3-2】大区&amp;运营中心填-房间模型价'!#REF!</f>
        <v>#REF!</v>
      </c>
      <c r="C155" s="66" t="e">
        <f>VLOOKUP(A155,'【3-2】大区&amp;运营中心填-房间模型价'!H:J,3,0)</f>
        <v>#REF!</v>
      </c>
      <c r="D155" s="13"/>
      <c r="E155" s="13"/>
      <c r="F155" s="13"/>
      <c r="G155" s="13"/>
      <c r="H155" s="13" t="e">
        <f t="shared" si="6"/>
        <v>#REF!</v>
      </c>
      <c r="I155" s="70"/>
    </row>
    <row r="156" spans="1:9">
      <c r="A156" s="35" t="e">
        <f>'【3-2】大区&amp;运营中心填-房间模型价'!#REF!</f>
        <v>#REF!</v>
      </c>
      <c r="B156" s="35" t="e">
        <f>'【3-2】大区&amp;运营中心填-房间模型价'!#REF!</f>
        <v>#REF!</v>
      </c>
      <c r="C156" s="66" t="e">
        <f>VLOOKUP(A156,'【3-2】大区&amp;运营中心填-房间模型价'!H:J,3,0)</f>
        <v>#REF!</v>
      </c>
      <c r="D156" s="13"/>
      <c r="E156" s="13"/>
      <c r="F156" s="13"/>
      <c r="G156" s="13"/>
      <c r="H156" s="13" t="e">
        <f t="shared" si="6"/>
        <v>#REF!</v>
      </c>
      <c r="I156" s="70"/>
    </row>
    <row r="157" spans="1:9">
      <c r="A157" s="35" t="e">
        <f>'【3-2】大区&amp;运营中心填-房间模型价'!#REF!</f>
        <v>#REF!</v>
      </c>
      <c r="B157" s="35" t="e">
        <f>'【3-2】大区&amp;运营中心填-房间模型价'!#REF!</f>
        <v>#REF!</v>
      </c>
      <c r="C157" s="66" t="e">
        <f>VLOOKUP(A157,'【3-2】大区&amp;运营中心填-房间模型价'!H:J,3,0)</f>
        <v>#REF!</v>
      </c>
      <c r="D157" s="13"/>
      <c r="E157" s="13"/>
      <c r="F157" s="13"/>
      <c r="G157" s="13"/>
      <c r="H157" s="13" t="e">
        <f t="shared" si="6"/>
        <v>#REF!</v>
      </c>
      <c r="I157" s="70"/>
    </row>
    <row r="158" spans="1:9">
      <c r="A158" s="35" t="e">
        <f>'【3-2】大区&amp;运营中心填-房间模型价'!#REF!</f>
        <v>#REF!</v>
      </c>
      <c r="B158" s="35" t="e">
        <f>'【3-2】大区&amp;运营中心填-房间模型价'!#REF!</f>
        <v>#REF!</v>
      </c>
      <c r="C158" s="66" t="e">
        <f>VLOOKUP(A158,'【3-2】大区&amp;运营中心填-房间模型价'!H:J,3,0)</f>
        <v>#REF!</v>
      </c>
      <c r="D158" s="13"/>
      <c r="E158" s="13"/>
      <c r="F158" s="13"/>
      <c r="G158" s="13"/>
      <c r="H158" s="13" t="e">
        <f t="shared" si="6"/>
        <v>#REF!</v>
      </c>
      <c r="I158" s="70"/>
    </row>
    <row r="159" spans="1:9">
      <c r="A159" s="35" t="e">
        <f>'【3-2】大区&amp;运营中心填-房间模型价'!#REF!</f>
        <v>#REF!</v>
      </c>
      <c r="B159" s="35" t="e">
        <f>'【3-2】大区&amp;运营中心填-房间模型价'!#REF!</f>
        <v>#REF!</v>
      </c>
      <c r="C159" s="66" t="e">
        <f>VLOOKUP(A159,'【3-2】大区&amp;运营中心填-房间模型价'!H:J,3,0)</f>
        <v>#REF!</v>
      </c>
      <c r="D159" s="13"/>
      <c r="E159" s="13"/>
      <c r="F159" s="13"/>
      <c r="G159" s="13"/>
      <c r="H159" s="13" t="e">
        <f t="shared" si="6"/>
        <v>#REF!</v>
      </c>
      <c r="I159" s="70"/>
    </row>
    <row r="160" spans="1:9">
      <c r="A160" s="35" t="e">
        <f>'【3-2】大区&amp;运营中心填-房间模型价'!#REF!</f>
        <v>#REF!</v>
      </c>
      <c r="B160" s="35" t="e">
        <f>'【3-2】大区&amp;运营中心填-房间模型价'!#REF!</f>
        <v>#REF!</v>
      </c>
      <c r="C160" s="66" t="e">
        <f>VLOOKUP(A160,'【3-2】大区&amp;运营中心填-房间模型价'!H:J,3,0)</f>
        <v>#REF!</v>
      </c>
      <c r="D160" s="13"/>
      <c r="E160" s="13"/>
      <c r="F160" s="13"/>
      <c r="G160" s="13"/>
      <c r="H160" s="13" t="e">
        <f t="shared" si="6"/>
        <v>#REF!</v>
      </c>
      <c r="I160" s="70"/>
    </row>
    <row r="161" spans="1:9">
      <c r="A161" s="35" t="e">
        <f>'【3-2】大区&amp;运营中心填-房间模型价'!#REF!</f>
        <v>#REF!</v>
      </c>
      <c r="B161" s="35" t="e">
        <f>'【3-2】大区&amp;运营中心填-房间模型价'!#REF!</f>
        <v>#REF!</v>
      </c>
      <c r="C161" s="66" t="e">
        <f>VLOOKUP(A161,'【3-2】大区&amp;运营中心填-房间模型价'!H:J,3,0)</f>
        <v>#REF!</v>
      </c>
      <c r="D161" s="13"/>
      <c r="E161" s="13"/>
      <c r="F161" s="13"/>
      <c r="G161" s="13"/>
      <c r="H161" s="13" t="e">
        <f t="shared" si="6"/>
        <v>#REF!</v>
      </c>
      <c r="I161" s="70"/>
    </row>
    <row r="162" spans="1:9">
      <c r="A162" s="35" t="e">
        <f>'【3-2】大区&amp;运营中心填-房间模型价'!#REF!</f>
        <v>#REF!</v>
      </c>
      <c r="B162" s="35" t="e">
        <f>'【3-2】大区&amp;运营中心填-房间模型价'!#REF!</f>
        <v>#REF!</v>
      </c>
      <c r="C162" s="66" t="e">
        <f>VLOOKUP(A162,'【3-2】大区&amp;运营中心填-房间模型价'!H:J,3,0)</f>
        <v>#REF!</v>
      </c>
      <c r="D162" s="13"/>
      <c r="E162" s="13"/>
      <c r="F162" s="13"/>
      <c r="G162" s="13"/>
      <c r="H162" s="13" t="e">
        <f t="shared" si="6"/>
        <v>#REF!</v>
      </c>
      <c r="I162" s="70"/>
    </row>
    <row r="163" spans="1:9">
      <c r="A163" s="35" t="e">
        <f>'【3-2】大区&amp;运营中心填-房间模型价'!#REF!</f>
        <v>#REF!</v>
      </c>
      <c r="B163" s="35" t="e">
        <f>'【3-2】大区&amp;运营中心填-房间模型价'!#REF!</f>
        <v>#REF!</v>
      </c>
      <c r="C163" s="66" t="e">
        <f>VLOOKUP(A163,'【3-2】大区&amp;运营中心填-房间模型价'!H:J,3,0)</f>
        <v>#REF!</v>
      </c>
      <c r="D163" s="13"/>
      <c r="E163" s="13"/>
      <c r="F163" s="13"/>
      <c r="G163" s="13"/>
      <c r="H163" s="13" t="e">
        <f t="shared" si="6"/>
        <v>#REF!</v>
      </c>
      <c r="I163" s="70"/>
    </row>
    <row r="164" spans="1:9">
      <c r="A164" s="35" t="e">
        <f>'【3-2】大区&amp;运营中心填-房间模型价'!#REF!</f>
        <v>#REF!</v>
      </c>
      <c r="B164" s="35" t="e">
        <f>'【3-2】大区&amp;运营中心填-房间模型价'!#REF!</f>
        <v>#REF!</v>
      </c>
      <c r="C164" s="66" t="e">
        <f>VLOOKUP(A164,'【3-2】大区&amp;运营中心填-房间模型价'!H:J,3,0)</f>
        <v>#REF!</v>
      </c>
      <c r="D164" s="13"/>
      <c r="E164" s="13"/>
      <c r="F164" s="13"/>
      <c r="G164" s="13"/>
      <c r="H164" s="13" t="e">
        <f t="shared" si="6"/>
        <v>#REF!</v>
      </c>
      <c r="I164" s="70"/>
    </row>
    <row r="165" spans="1:9">
      <c r="A165" s="35" t="e">
        <f>'【3-2】大区&amp;运营中心填-房间模型价'!#REF!</f>
        <v>#REF!</v>
      </c>
      <c r="B165" s="35" t="e">
        <f>'【3-2】大区&amp;运营中心填-房间模型价'!#REF!</f>
        <v>#REF!</v>
      </c>
      <c r="C165" s="66" t="e">
        <f>VLOOKUP(A165,'【3-2】大区&amp;运营中心填-房间模型价'!H:J,3,0)</f>
        <v>#REF!</v>
      </c>
      <c r="D165" s="13"/>
      <c r="E165" s="13"/>
      <c r="F165" s="13"/>
      <c r="G165" s="13"/>
      <c r="H165" s="13" t="e">
        <f t="shared" si="6"/>
        <v>#REF!</v>
      </c>
      <c r="I165" s="70"/>
    </row>
    <row r="166" spans="1:9">
      <c r="A166" s="35" t="e">
        <f>'【3-2】大区&amp;运营中心填-房间模型价'!#REF!</f>
        <v>#REF!</v>
      </c>
      <c r="B166" s="35" t="e">
        <f>'【3-2】大区&amp;运营中心填-房间模型价'!#REF!</f>
        <v>#REF!</v>
      </c>
      <c r="C166" s="66" t="e">
        <f>VLOOKUP(A166,'【3-2】大区&amp;运营中心填-房间模型价'!H:J,3,0)</f>
        <v>#REF!</v>
      </c>
      <c r="D166" s="13"/>
      <c r="E166" s="13"/>
      <c r="F166" s="13"/>
      <c r="G166" s="13"/>
      <c r="H166" s="13" t="e">
        <f t="shared" si="6"/>
        <v>#REF!</v>
      </c>
      <c r="I166" s="70"/>
    </row>
    <row r="167" spans="1:9">
      <c r="A167" s="35" t="e">
        <f>'【3-2】大区&amp;运营中心填-房间模型价'!#REF!</f>
        <v>#REF!</v>
      </c>
      <c r="B167" s="35" t="e">
        <f>'【3-2】大区&amp;运营中心填-房间模型价'!#REF!</f>
        <v>#REF!</v>
      </c>
      <c r="C167" s="66" t="e">
        <f>VLOOKUP(A167,'【3-2】大区&amp;运营中心填-房间模型价'!H:J,3,0)</f>
        <v>#REF!</v>
      </c>
      <c r="D167" s="13"/>
      <c r="E167" s="13"/>
      <c r="F167" s="13"/>
      <c r="G167" s="13"/>
      <c r="H167" s="13" t="e">
        <f t="shared" si="6"/>
        <v>#REF!</v>
      </c>
      <c r="I167" s="70"/>
    </row>
    <row r="168" spans="1:9">
      <c r="A168" s="35" t="e">
        <f>'【3-2】大区&amp;运营中心填-房间模型价'!#REF!</f>
        <v>#REF!</v>
      </c>
      <c r="B168" s="35" t="e">
        <f>'【3-2】大区&amp;运营中心填-房间模型价'!#REF!</f>
        <v>#REF!</v>
      </c>
      <c r="C168" s="66" t="e">
        <f>VLOOKUP(A168,'【3-2】大区&amp;运营中心填-房间模型价'!H:J,3,0)</f>
        <v>#REF!</v>
      </c>
      <c r="D168" s="13"/>
      <c r="E168" s="13"/>
      <c r="F168" s="13"/>
      <c r="G168" s="13"/>
      <c r="H168" s="13" t="e">
        <f t="shared" si="6"/>
        <v>#REF!</v>
      </c>
      <c r="I168" s="70"/>
    </row>
    <row r="169" spans="1:9">
      <c r="A169" s="35" t="e">
        <f>'【3-2】大区&amp;运营中心填-房间模型价'!#REF!</f>
        <v>#REF!</v>
      </c>
      <c r="B169" s="35" t="e">
        <f>'【3-2】大区&amp;运营中心填-房间模型价'!#REF!</f>
        <v>#REF!</v>
      </c>
      <c r="C169" s="66" t="e">
        <f>VLOOKUP(A169,'【3-2】大区&amp;运营中心填-房间模型价'!H:J,3,0)</f>
        <v>#REF!</v>
      </c>
      <c r="D169" s="13"/>
      <c r="E169" s="13"/>
      <c r="F169" s="13"/>
      <c r="G169" s="13"/>
      <c r="H169" s="13" t="e">
        <f t="shared" si="6"/>
        <v>#REF!</v>
      </c>
      <c r="I169" s="70"/>
    </row>
    <row r="170" spans="1:9">
      <c r="A170" s="35" t="e">
        <f>'【3-2】大区&amp;运营中心填-房间模型价'!#REF!</f>
        <v>#REF!</v>
      </c>
      <c r="B170" s="35" t="e">
        <f>'【3-2】大区&amp;运营中心填-房间模型价'!#REF!</f>
        <v>#REF!</v>
      </c>
      <c r="C170" s="66" t="e">
        <f>VLOOKUP(A170,'【3-2】大区&amp;运营中心填-房间模型价'!H:J,3,0)</f>
        <v>#REF!</v>
      </c>
      <c r="D170" s="13"/>
      <c r="E170" s="13"/>
      <c r="F170" s="13"/>
      <c r="G170" s="13"/>
      <c r="H170" s="13" t="e">
        <f t="shared" si="6"/>
        <v>#REF!</v>
      </c>
      <c r="I170" s="70"/>
    </row>
    <row r="171" spans="1:9">
      <c r="A171" s="35" t="e">
        <f>'【3-2】大区&amp;运营中心填-房间模型价'!#REF!</f>
        <v>#REF!</v>
      </c>
      <c r="B171" s="35" t="e">
        <f>'【3-2】大区&amp;运营中心填-房间模型价'!#REF!</f>
        <v>#REF!</v>
      </c>
      <c r="C171" s="66" t="e">
        <f>VLOOKUP(A171,'【3-2】大区&amp;运营中心填-房间模型价'!H:J,3,0)</f>
        <v>#REF!</v>
      </c>
      <c r="D171" s="13"/>
      <c r="E171" s="13"/>
      <c r="F171" s="13"/>
      <c r="G171" s="13"/>
      <c r="H171" s="13" t="e">
        <f t="shared" si="6"/>
        <v>#REF!</v>
      </c>
      <c r="I171" s="70"/>
    </row>
    <row r="172" spans="1:9">
      <c r="A172" s="35" t="e">
        <f>'【3-2】大区&amp;运营中心填-房间模型价'!#REF!</f>
        <v>#REF!</v>
      </c>
      <c r="B172" s="35" t="e">
        <f>'【3-2】大区&amp;运营中心填-房间模型价'!#REF!</f>
        <v>#REF!</v>
      </c>
      <c r="C172" s="66" t="e">
        <f>VLOOKUP(A172,'【3-2】大区&amp;运营中心填-房间模型价'!H:J,3,0)</f>
        <v>#REF!</v>
      </c>
      <c r="D172" s="13"/>
      <c r="E172" s="13"/>
      <c r="F172" s="13"/>
      <c r="G172" s="13"/>
      <c r="H172" s="13" t="e">
        <f t="shared" si="6"/>
        <v>#REF!</v>
      </c>
      <c r="I172" s="70"/>
    </row>
    <row r="173" spans="1:9">
      <c r="A173" s="35" t="e">
        <f>'【3-2】大区&amp;运营中心填-房间模型价'!#REF!</f>
        <v>#REF!</v>
      </c>
      <c r="B173" s="35" t="e">
        <f>'【3-2】大区&amp;运营中心填-房间模型价'!#REF!</f>
        <v>#REF!</v>
      </c>
      <c r="C173" s="66" t="e">
        <f>VLOOKUP(A173,'【3-2】大区&amp;运营中心填-房间模型价'!H:J,3,0)</f>
        <v>#REF!</v>
      </c>
      <c r="D173" s="13"/>
      <c r="E173" s="13"/>
      <c r="F173" s="13"/>
      <c r="G173" s="13"/>
      <c r="H173" s="13" t="e">
        <f t="shared" si="6"/>
        <v>#REF!</v>
      </c>
      <c r="I173" s="70"/>
    </row>
    <row r="174" spans="1:9">
      <c r="A174" s="35" t="e">
        <f>'【3-2】大区&amp;运营中心填-房间模型价'!#REF!</f>
        <v>#REF!</v>
      </c>
      <c r="B174" s="35" t="e">
        <f>'【3-2】大区&amp;运营中心填-房间模型价'!#REF!</f>
        <v>#REF!</v>
      </c>
      <c r="C174" s="66" t="e">
        <f>VLOOKUP(A174,'【3-2】大区&amp;运营中心填-房间模型价'!H:J,3,0)</f>
        <v>#REF!</v>
      </c>
      <c r="D174" s="13"/>
      <c r="E174" s="13"/>
      <c r="F174" s="13"/>
      <c r="G174" s="13"/>
      <c r="H174" s="13" t="e">
        <f t="shared" si="6"/>
        <v>#REF!</v>
      </c>
      <c r="I174" s="70"/>
    </row>
    <row r="175" spans="1:9">
      <c r="A175" s="35" t="e">
        <f>'【3-2】大区&amp;运营中心填-房间模型价'!#REF!</f>
        <v>#REF!</v>
      </c>
      <c r="B175" s="35" t="e">
        <f>'【3-2】大区&amp;运营中心填-房间模型价'!#REF!</f>
        <v>#REF!</v>
      </c>
      <c r="C175" s="66" t="e">
        <f>VLOOKUP(A175,'【3-2】大区&amp;运营中心填-房间模型价'!H:J,3,0)</f>
        <v>#REF!</v>
      </c>
      <c r="D175" s="13"/>
      <c r="E175" s="13"/>
      <c r="F175" s="13"/>
      <c r="G175" s="13"/>
      <c r="H175" s="13" t="e">
        <f t="shared" si="6"/>
        <v>#REF!</v>
      </c>
      <c r="I175" s="70"/>
    </row>
    <row r="176" spans="1:9">
      <c r="A176" s="35" t="e">
        <f>'【3-2】大区&amp;运营中心填-房间模型价'!#REF!</f>
        <v>#REF!</v>
      </c>
      <c r="B176" s="35" t="e">
        <f>'【3-2】大区&amp;运营中心填-房间模型价'!#REF!</f>
        <v>#REF!</v>
      </c>
      <c r="C176" s="66" t="e">
        <f>VLOOKUP(A176,'【3-2】大区&amp;运营中心填-房间模型价'!H:J,3,0)</f>
        <v>#REF!</v>
      </c>
      <c r="D176" s="13"/>
      <c r="E176" s="13"/>
      <c r="F176" s="13"/>
      <c r="G176" s="13"/>
      <c r="H176" s="13" t="e">
        <f t="shared" si="6"/>
        <v>#REF!</v>
      </c>
      <c r="I176" s="70"/>
    </row>
    <row r="177" spans="1:9">
      <c r="A177" s="35" t="e">
        <f>'【3-2】大区&amp;运营中心填-房间模型价'!#REF!</f>
        <v>#REF!</v>
      </c>
      <c r="B177" s="35" t="e">
        <f>'【3-2】大区&amp;运营中心填-房间模型价'!#REF!</f>
        <v>#REF!</v>
      </c>
      <c r="C177" s="66" t="e">
        <f>VLOOKUP(A177,'【3-2】大区&amp;运营中心填-房间模型价'!H:J,3,0)</f>
        <v>#REF!</v>
      </c>
      <c r="D177" s="13"/>
      <c r="E177" s="13"/>
      <c r="F177" s="13"/>
      <c r="G177" s="13"/>
      <c r="H177" s="13" t="e">
        <f t="shared" ref="H177:H200" si="7">IF(C177="开间",IF(D177+E177*2-G177&lt;=0,"1",IF(D177+E177*2-G177&lt;=1,"2",IF(D177+E177*2-G177&lt;=2,"3",IF(D177+E177*2-G177&lt;=3,"4","5")))),IF(D177+E177*2-G177&lt;1.1,"1",IF(D177+E177*2-G177&lt;=2,"2",IF(D177+E177*2-G177&lt;=3,"3",IF(D177+E177*2-G177&lt;=4,"4","5")))))</f>
        <v>#REF!</v>
      </c>
      <c r="I177" s="70"/>
    </row>
    <row r="178" spans="1:9">
      <c r="A178" s="35" t="e">
        <f>'【3-2】大区&amp;运营中心填-房间模型价'!#REF!</f>
        <v>#REF!</v>
      </c>
      <c r="B178" s="35" t="e">
        <f>'【3-2】大区&amp;运营中心填-房间模型价'!#REF!</f>
        <v>#REF!</v>
      </c>
      <c r="C178" s="66" t="e">
        <f>VLOOKUP(A178,'【3-2】大区&amp;运营中心填-房间模型价'!H:J,3,0)</f>
        <v>#REF!</v>
      </c>
      <c r="D178" s="13"/>
      <c r="E178" s="13"/>
      <c r="F178" s="13"/>
      <c r="G178" s="13"/>
      <c r="H178" s="13" t="e">
        <f t="shared" si="7"/>
        <v>#REF!</v>
      </c>
      <c r="I178" s="70"/>
    </row>
    <row r="179" spans="1:9">
      <c r="A179" s="35" t="e">
        <f>'【3-2】大区&amp;运营中心填-房间模型价'!#REF!</f>
        <v>#REF!</v>
      </c>
      <c r="B179" s="35" t="e">
        <f>'【3-2】大区&amp;运营中心填-房间模型价'!#REF!</f>
        <v>#REF!</v>
      </c>
      <c r="C179" s="66" t="e">
        <f>VLOOKUP(A179,'【3-2】大区&amp;运营中心填-房间模型价'!H:J,3,0)</f>
        <v>#REF!</v>
      </c>
      <c r="D179" s="13"/>
      <c r="E179" s="13"/>
      <c r="F179" s="13"/>
      <c r="G179" s="13"/>
      <c r="H179" s="13" t="e">
        <f t="shared" si="7"/>
        <v>#REF!</v>
      </c>
      <c r="I179" s="70"/>
    </row>
    <row r="180" spans="1:9">
      <c r="A180" s="35" t="e">
        <f>'【3-2】大区&amp;运营中心填-房间模型价'!#REF!</f>
        <v>#REF!</v>
      </c>
      <c r="B180" s="35" t="e">
        <f>'【3-2】大区&amp;运营中心填-房间模型价'!#REF!</f>
        <v>#REF!</v>
      </c>
      <c r="C180" s="66" t="e">
        <f>VLOOKUP(A180,'【3-2】大区&amp;运营中心填-房间模型价'!H:J,3,0)</f>
        <v>#REF!</v>
      </c>
      <c r="D180" s="13"/>
      <c r="E180" s="13"/>
      <c r="F180" s="13"/>
      <c r="G180" s="13"/>
      <c r="H180" s="13" t="e">
        <f t="shared" si="7"/>
        <v>#REF!</v>
      </c>
      <c r="I180" s="70"/>
    </row>
    <row r="181" spans="1:9">
      <c r="A181" s="35" t="e">
        <f>'【3-2】大区&amp;运营中心填-房间模型价'!#REF!</f>
        <v>#REF!</v>
      </c>
      <c r="B181" s="35" t="e">
        <f>'【3-2】大区&amp;运营中心填-房间模型价'!#REF!</f>
        <v>#REF!</v>
      </c>
      <c r="C181" s="66" t="e">
        <f>VLOOKUP(A181,'【3-2】大区&amp;运营中心填-房间模型价'!H:J,3,0)</f>
        <v>#REF!</v>
      </c>
      <c r="D181" s="13"/>
      <c r="E181" s="13"/>
      <c r="F181" s="13"/>
      <c r="G181" s="13"/>
      <c r="H181" s="13" t="e">
        <f t="shared" si="7"/>
        <v>#REF!</v>
      </c>
      <c r="I181" s="70"/>
    </row>
    <row r="182" spans="1:9">
      <c r="A182" s="35" t="e">
        <f>'【3-2】大区&amp;运营中心填-房间模型价'!#REF!</f>
        <v>#REF!</v>
      </c>
      <c r="B182" s="35" t="e">
        <f>'【3-2】大区&amp;运营中心填-房间模型价'!#REF!</f>
        <v>#REF!</v>
      </c>
      <c r="C182" s="66" t="e">
        <f>VLOOKUP(A182,'【3-2】大区&amp;运营中心填-房间模型价'!H:J,3,0)</f>
        <v>#REF!</v>
      </c>
      <c r="D182" s="13"/>
      <c r="E182" s="13"/>
      <c r="F182" s="13"/>
      <c r="G182" s="13"/>
      <c r="H182" s="13" t="e">
        <f t="shared" si="7"/>
        <v>#REF!</v>
      </c>
      <c r="I182" s="70"/>
    </row>
    <row r="183" spans="1:9">
      <c r="A183" s="35" t="e">
        <f>'【3-2】大区&amp;运营中心填-房间模型价'!#REF!</f>
        <v>#REF!</v>
      </c>
      <c r="B183" s="35" t="e">
        <f>'【3-2】大区&amp;运营中心填-房间模型价'!#REF!</f>
        <v>#REF!</v>
      </c>
      <c r="C183" s="66" t="e">
        <f>VLOOKUP(A183,'【3-2】大区&amp;运营中心填-房间模型价'!H:J,3,0)</f>
        <v>#REF!</v>
      </c>
      <c r="D183" s="13"/>
      <c r="E183" s="13"/>
      <c r="F183" s="13"/>
      <c r="G183" s="13"/>
      <c r="H183" s="13" t="e">
        <f t="shared" si="7"/>
        <v>#REF!</v>
      </c>
      <c r="I183" s="70"/>
    </row>
    <row r="184" spans="1:9">
      <c r="A184" s="35" t="e">
        <f>'【3-2】大区&amp;运营中心填-房间模型价'!#REF!</f>
        <v>#REF!</v>
      </c>
      <c r="B184" s="35" t="e">
        <f>'【3-2】大区&amp;运营中心填-房间模型价'!#REF!</f>
        <v>#REF!</v>
      </c>
      <c r="C184" s="66" t="e">
        <f>VLOOKUP(A184,'【3-2】大区&amp;运营中心填-房间模型价'!H:J,3,0)</f>
        <v>#REF!</v>
      </c>
      <c r="D184" s="13"/>
      <c r="E184" s="13"/>
      <c r="F184" s="13"/>
      <c r="G184" s="13"/>
      <c r="H184" s="13" t="e">
        <f t="shared" si="7"/>
        <v>#REF!</v>
      </c>
      <c r="I184" s="70"/>
    </row>
    <row r="185" spans="1:9">
      <c r="A185" s="35" t="e">
        <f>'【3-2】大区&amp;运营中心填-房间模型价'!#REF!</f>
        <v>#REF!</v>
      </c>
      <c r="B185" s="35" t="e">
        <f>'【3-2】大区&amp;运营中心填-房间模型价'!#REF!</f>
        <v>#REF!</v>
      </c>
      <c r="C185" s="66" t="e">
        <f>VLOOKUP(A185,'【3-2】大区&amp;运营中心填-房间模型价'!H:J,3,0)</f>
        <v>#REF!</v>
      </c>
      <c r="D185" s="13"/>
      <c r="E185" s="13"/>
      <c r="F185" s="13"/>
      <c r="G185" s="13"/>
      <c r="H185" s="13" t="e">
        <f t="shared" si="7"/>
        <v>#REF!</v>
      </c>
      <c r="I185" s="70"/>
    </row>
    <row r="186" spans="1:9">
      <c r="A186" s="35" t="e">
        <f>'【3-2】大区&amp;运营中心填-房间模型价'!#REF!</f>
        <v>#REF!</v>
      </c>
      <c r="B186" s="35" t="e">
        <f>'【3-2】大区&amp;运营中心填-房间模型价'!#REF!</f>
        <v>#REF!</v>
      </c>
      <c r="C186" s="66" t="e">
        <f>VLOOKUP(A186,'【3-2】大区&amp;运营中心填-房间模型价'!H:J,3,0)</f>
        <v>#REF!</v>
      </c>
      <c r="D186" s="13"/>
      <c r="E186" s="13"/>
      <c r="F186" s="13"/>
      <c r="G186" s="13"/>
      <c r="H186" s="13" t="e">
        <f t="shared" si="7"/>
        <v>#REF!</v>
      </c>
      <c r="I186" s="70"/>
    </row>
    <row r="187" spans="1:9">
      <c r="A187" s="35" t="e">
        <f>'【3-2】大区&amp;运营中心填-房间模型价'!#REF!</f>
        <v>#REF!</v>
      </c>
      <c r="B187" s="35" t="e">
        <f>'【3-2】大区&amp;运营中心填-房间模型价'!#REF!</f>
        <v>#REF!</v>
      </c>
      <c r="C187" s="66" t="e">
        <f>VLOOKUP(A187,'【3-2】大区&amp;运营中心填-房间模型价'!H:J,3,0)</f>
        <v>#REF!</v>
      </c>
      <c r="D187" s="13"/>
      <c r="E187" s="13"/>
      <c r="F187" s="13"/>
      <c r="G187" s="13"/>
      <c r="H187" s="13" t="e">
        <f t="shared" si="7"/>
        <v>#REF!</v>
      </c>
      <c r="I187" s="70"/>
    </row>
    <row r="188" spans="1:9">
      <c r="A188" s="35" t="e">
        <f>'【3-2】大区&amp;运营中心填-房间模型价'!#REF!</f>
        <v>#REF!</v>
      </c>
      <c r="B188" s="35" t="e">
        <f>'【3-2】大区&amp;运营中心填-房间模型价'!#REF!</f>
        <v>#REF!</v>
      </c>
      <c r="C188" s="66" t="e">
        <f>VLOOKUP(A188,'【3-2】大区&amp;运营中心填-房间模型价'!H:J,3,0)</f>
        <v>#REF!</v>
      </c>
      <c r="D188" s="13"/>
      <c r="E188" s="13"/>
      <c r="F188" s="13"/>
      <c r="G188" s="13"/>
      <c r="H188" s="13" t="e">
        <f t="shared" si="7"/>
        <v>#REF!</v>
      </c>
      <c r="I188" s="70"/>
    </row>
    <row r="189" spans="1:9">
      <c r="A189" s="35" t="e">
        <f>'【3-2】大区&amp;运营中心填-房间模型价'!#REF!</f>
        <v>#REF!</v>
      </c>
      <c r="B189" s="35" t="e">
        <f>'【3-2】大区&amp;运营中心填-房间模型价'!#REF!</f>
        <v>#REF!</v>
      </c>
      <c r="C189" s="66" t="e">
        <f>VLOOKUP(A189,'【3-2】大区&amp;运营中心填-房间模型价'!H:J,3,0)</f>
        <v>#REF!</v>
      </c>
      <c r="D189" s="13"/>
      <c r="E189" s="13"/>
      <c r="F189" s="13"/>
      <c r="G189" s="13"/>
      <c r="H189" s="13" t="e">
        <f t="shared" si="7"/>
        <v>#REF!</v>
      </c>
      <c r="I189" s="70"/>
    </row>
    <row r="190" spans="1:9">
      <c r="A190" s="35" t="e">
        <f>'【3-2】大区&amp;运营中心填-房间模型价'!#REF!</f>
        <v>#REF!</v>
      </c>
      <c r="B190" s="35" t="e">
        <f>'【3-2】大区&amp;运营中心填-房间模型价'!#REF!</f>
        <v>#REF!</v>
      </c>
      <c r="C190" s="66" t="e">
        <f>VLOOKUP(A190,'【3-2】大区&amp;运营中心填-房间模型价'!H:J,3,0)</f>
        <v>#REF!</v>
      </c>
      <c r="D190" s="13"/>
      <c r="E190" s="13"/>
      <c r="F190" s="13"/>
      <c r="G190" s="13"/>
      <c r="H190" s="13" t="e">
        <f t="shared" si="7"/>
        <v>#REF!</v>
      </c>
      <c r="I190" s="70"/>
    </row>
    <row r="191" spans="1:9">
      <c r="A191" s="35" t="e">
        <f>'【3-2】大区&amp;运营中心填-房间模型价'!#REF!</f>
        <v>#REF!</v>
      </c>
      <c r="B191" s="35" t="e">
        <f>'【3-2】大区&amp;运营中心填-房间模型价'!#REF!</f>
        <v>#REF!</v>
      </c>
      <c r="C191" s="66" t="e">
        <f>VLOOKUP(A191,'【3-2】大区&amp;运营中心填-房间模型价'!H:J,3,0)</f>
        <v>#REF!</v>
      </c>
      <c r="D191" s="13"/>
      <c r="E191" s="13"/>
      <c r="F191" s="13"/>
      <c r="G191" s="13"/>
      <c r="H191" s="13" t="e">
        <f t="shared" si="7"/>
        <v>#REF!</v>
      </c>
      <c r="I191" s="70"/>
    </row>
    <row r="192" spans="1:9">
      <c r="A192" s="35" t="e">
        <f>'【3-2】大区&amp;运营中心填-房间模型价'!#REF!</f>
        <v>#REF!</v>
      </c>
      <c r="B192" s="35" t="e">
        <f>'【3-2】大区&amp;运营中心填-房间模型价'!#REF!</f>
        <v>#REF!</v>
      </c>
      <c r="C192" s="66" t="e">
        <f>VLOOKUP(A192,'【3-2】大区&amp;运营中心填-房间模型价'!H:J,3,0)</f>
        <v>#REF!</v>
      </c>
      <c r="D192" s="13"/>
      <c r="E192" s="13"/>
      <c r="F192" s="13"/>
      <c r="G192" s="13"/>
      <c r="H192" s="13" t="e">
        <f t="shared" si="7"/>
        <v>#REF!</v>
      </c>
      <c r="I192" s="70"/>
    </row>
    <row r="193" spans="1:9">
      <c r="A193" s="35" t="e">
        <f>'【3-2】大区&amp;运营中心填-房间模型价'!#REF!</f>
        <v>#REF!</v>
      </c>
      <c r="B193" s="35" t="e">
        <f>'【3-2】大区&amp;运营中心填-房间模型价'!#REF!</f>
        <v>#REF!</v>
      </c>
      <c r="C193" s="66" t="e">
        <f>VLOOKUP(A193,'【3-2】大区&amp;运营中心填-房间模型价'!H:J,3,0)</f>
        <v>#REF!</v>
      </c>
      <c r="D193" s="13"/>
      <c r="E193" s="13"/>
      <c r="F193" s="13"/>
      <c r="G193" s="13"/>
      <c r="H193" s="13" t="e">
        <f t="shared" si="7"/>
        <v>#REF!</v>
      </c>
      <c r="I193" s="70"/>
    </row>
    <row r="194" spans="1:9">
      <c r="A194" s="35" t="e">
        <f>'【3-2】大区&amp;运营中心填-房间模型价'!#REF!</f>
        <v>#REF!</v>
      </c>
      <c r="B194" s="35" t="e">
        <f>'【3-2】大区&amp;运营中心填-房间模型价'!#REF!</f>
        <v>#REF!</v>
      </c>
      <c r="C194" s="66" t="e">
        <f>VLOOKUP(A194,'【3-2】大区&amp;运营中心填-房间模型价'!H:J,3,0)</f>
        <v>#REF!</v>
      </c>
      <c r="D194" s="13"/>
      <c r="E194" s="13"/>
      <c r="F194" s="13"/>
      <c r="G194" s="13"/>
      <c r="H194" s="13" t="e">
        <f t="shared" si="7"/>
        <v>#REF!</v>
      </c>
      <c r="I194" s="70"/>
    </row>
    <row r="195" spans="1:9">
      <c r="A195" s="35" t="e">
        <f>'【3-2】大区&amp;运营中心填-房间模型价'!#REF!</f>
        <v>#REF!</v>
      </c>
      <c r="B195" s="35" t="e">
        <f>'【3-2】大区&amp;运营中心填-房间模型价'!#REF!</f>
        <v>#REF!</v>
      </c>
      <c r="C195" s="66" t="e">
        <f>VLOOKUP(A195,'【3-2】大区&amp;运营中心填-房间模型价'!H:J,3,0)</f>
        <v>#REF!</v>
      </c>
      <c r="D195" s="13"/>
      <c r="E195" s="13"/>
      <c r="F195" s="13"/>
      <c r="G195" s="13"/>
      <c r="H195" s="13" t="e">
        <f t="shared" si="7"/>
        <v>#REF!</v>
      </c>
      <c r="I195" s="70"/>
    </row>
    <row r="196" spans="1:9">
      <c r="A196" s="35" t="e">
        <f>'【3-2】大区&amp;运营中心填-房间模型价'!#REF!</f>
        <v>#REF!</v>
      </c>
      <c r="B196" s="35" t="e">
        <f>'【3-2】大区&amp;运营中心填-房间模型价'!#REF!</f>
        <v>#REF!</v>
      </c>
      <c r="C196" s="66" t="e">
        <f>VLOOKUP(A196,'【3-2】大区&amp;运营中心填-房间模型价'!H:J,3,0)</f>
        <v>#REF!</v>
      </c>
      <c r="D196" s="13"/>
      <c r="E196" s="13"/>
      <c r="F196" s="13"/>
      <c r="G196" s="13"/>
      <c r="H196" s="13" t="e">
        <f t="shared" si="7"/>
        <v>#REF!</v>
      </c>
      <c r="I196" s="70"/>
    </row>
    <row r="197" spans="1:9">
      <c r="A197" s="35" t="e">
        <f>'【3-2】大区&amp;运营中心填-房间模型价'!#REF!</f>
        <v>#REF!</v>
      </c>
      <c r="B197" s="35" t="e">
        <f>'【3-2】大区&amp;运营中心填-房间模型价'!#REF!</f>
        <v>#REF!</v>
      </c>
      <c r="C197" s="66" t="e">
        <f>VLOOKUP(A197,'【3-2】大区&amp;运营中心填-房间模型价'!H:J,3,0)</f>
        <v>#REF!</v>
      </c>
      <c r="D197" s="13"/>
      <c r="E197" s="13"/>
      <c r="F197" s="13"/>
      <c r="G197" s="13"/>
      <c r="H197" s="13" t="e">
        <f t="shared" si="7"/>
        <v>#REF!</v>
      </c>
      <c r="I197" s="70"/>
    </row>
    <row r="198" spans="1:9">
      <c r="A198" s="35" t="e">
        <f>'【3-2】大区&amp;运营中心填-房间模型价'!#REF!</f>
        <v>#REF!</v>
      </c>
      <c r="B198" s="35" t="e">
        <f>'【3-2】大区&amp;运营中心填-房间模型价'!#REF!</f>
        <v>#REF!</v>
      </c>
      <c r="C198" s="66" t="e">
        <f>VLOOKUP(A198,'【3-2】大区&amp;运营中心填-房间模型价'!H:J,3,0)</f>
        <v>#REF!</v>
      </c>
      <c r="D198" s="13"/>
      <c r="E198" s="13"/>
      <c r="F198" s="13"/>
      <c r="G198" s="13"/>
      <c r="H198" s="13" t="e">
        <f t="shared" si="7"/>
        <v>#REF!</v>
      </c>
      <c r="I198" s="70"/>
    </row>
    <row r="199" spans="1:9">
      <c r="A199" s="35" t="e">
        <f>'【3-2】大区&amp;运营中心填-房间模型价'!#REF!</f>
        <v>#REF!</v>
      </c>
      <c r="B199" s="35" t="e">
        <f>'【3-2】大区&amp;运营中心填-房间模型价'!#REF!</f>
        <v>#REF!</v>
      </c>
      <c r="C199" s="66" t="e">
        <f>VLOOKUP(A199,'【3-2】大区&amp;运营中心填-房间模型价'!H:J,3,0)</f>
        <v>#REF!</v>
      </c>
      <c r="D199" s="13"/>
      <c r="E199" s="13"/>
      <c r="F199" s="13"/>
      <c r="G199" s="13"/>
      <c r="H199" s="13" t="e">
        <f t="shared" si="7"/>
        <v>#REF!</v>
      </c>
      <c r="I199" s="70"/>
    </row>
    <row r="200" spans="1:9">
      <c r="A200" s="35" t="e">
        <f>'【3-2】大区&amp;运营中心填-房间模型价'!#REF!</f>
        <v>#REF!</v>
      </c>
      <c r="B200" s="35" t="e">
        <f>'【3-2】大区&amp;运营中心填-房间模型价'!#REF!</f>
        <v>#REF!</v>
      </c>
      <c r="C200" s="66" t="e">
        <f>VLOOKUP(A200,'【3-2】大区&amp;运营中心填-房间模型价'!H:J,3,0)</f>
        <v>#REF!</v>
      </c>
      <c r="D200" s="13"/>
      <c r="E200" s="13"/>
      <c r="F200" s="13"/>
      <c r="G200" s="13"/>
      <c r="H200" s="13" t="e">
        <f t="shared" si="7"/>
        <v>#REF!</v>
      </c>
      <c r="I200" s="70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7"/>
  <sheetViews>
    <sheetView tabSelected="1" zoomScale="60" zoomScaleNormal="60" workbookViewId="0">
      <pane ySplit="1" topLeftCell="A2" activePane="bottomLeft" state="frozen"/>
      <selection/>
      <selection pane="bottomLeft" activeCell="AO39" sqref="AO39"/>
    </sheetView>
  </sheetViews>
  <sheetFormatPr defaultColWidth="8.44444444444444" defaultRowHeight="13.8"/>
  <cols>
    <col min="1" max="1" width="17.6666666666667" style="30" customWidth="1"/>
    <col min="2" max="7" width="10.6666666666667" style="30" hidden="1" customWidth="1"/>
    <col min="8" max="8" width="10.6666666666667" style="30" customWidth="1"/>
    <col min="9" max="9" width="14" style="30" customWidth="1"/>
    <col min="10" max="10" width="11.6666666666667" style="30" customWidth="1"/>
    <col min="11" max="11" width="11.6666666666667" style="30" hidden="1" customWidth="1"/>
    <col min="12" max="12" width="14.3333333333333" style="31" customWidth="1"/>
    <col min="13" max="14" width="13.3333333333333" style="30" customWidth="1" outlineLevel="1"/>
    <col min="15" max="15" width="9.66666666666667" hidden="1" customWidth="1" outlineLevel="1"/>
    <col min="16" max="16" width="11.3333333333333" style="2" hidden="1" customWidth="1" outlineLevel="1"/>
    <col min="17" max="17" width="9.66666666666667" style="2" hidden="1" customWidth="1" outlineLevel="1"/>
    <col min="18" max="18" width="12.6666666666667" style="2" hidden="1" customWidth="1" outlineLevel="1"/>
    <col min="19" max="19" width="9.66666666666667" hidden="1" customWidth="1" outlineLevel="1"/>
    <col min="20" max="20" width="12.6666666666667" hidden="1" customWidth="1" outlineLevel="1"/>
    <col min="21" max="29" width="9.66666666666667" hidden="1" customWidth="1" outlineLevel="1"/>
    <col min="30" max="30" width="25.1111111111111" hidden="1" customWidth="1" outlineLevel="1"/>
    <col min="31" max="31" width="17.7777777777778" hidden="1" customWidth="1" outlineLevel="1"/>
    <col min="32" max="32" width="25.1111111111111" hidden="1" customWidth="1" outlineLevel="1"/>
    <col min="33" max="33" width="9.66666666666667" hidden="1" customWidth="1" outlineLevel="1"/>
    <col min="34" max="34" width="25.1111111111111" hidden="1" customWidth="1" outlineLevel="1"/>
    <col min="35" max="35" width="20" hidden="1" customWidth="1" outlineLevel="1"/>
    <col min="36" max="36" width="13.6666666666667" customWidth="1" outlineLevel="1"/>
    <col min="37" max="37" width="9.66666666666667" hidden="1" customWidth="1" outlineLevel="1"/>
    <col min="38" max="38" width="11.6666666666667" style="32" customWidth="1"/>
    <col min="39" max="39" width="11" style="2" customWidth="1"/>
    <col min="40" max="40" width="8.77777777777778"/>
    <col min="41" max="41" width="12.212962962963" customWidth="1"/>
  </cols>
  <sheetData>
    <row r="1" ht="16.2" customHeight="1" spans="1:41">
      <c r="A1" s="33" t="s">
        <v>429</v>
      </c>
      <c r="B1" s="33" t="s">
        <v>455</v>
      </c>
      <c r="C1" s="33" t="s">
        <v>456</v>
      </c>
      <c r="D1" s="33" t="s">
        <v>457</v>
      </c>
      <c r="E1" s="33" t="s">
        <v>458</v>
      </c>
      <c r="F1" s="33" t="s">
        <v>459</v>
      </c>
      <c r="G1" s="33" t="s">
        <v>460</v>
      </c>
      <c r="H1" s="33" t="s">
        <v>435</v>
      </c>
      <c r="I1" s="33" t="s">
        <v>348</v>
      </c>
      <c r="J1" s="33" t="s">
        <v>36</v>
      </c>
      <c r="K1" s="33" t="s">
        <v>260</v>
      </c>
      <c r="L1" s="34" t="s">
        <v>433</v>
      </c>
      <c r="M1" s="35" t="s">
        <v>57</v>
      </c>
      <c r="N1" s="35" t="s">
        <v>461</v>
      </c>
      <c r="O1" s="35" t="s">
        <v>431</v>
      </c>
      <c r="P1" s="35" t="s">
        <v>67</v>
      </c>
      <c r="Q1" s="35" t="s">
        <v>432</v>
      </c>
      <c r="R1" s="35" t="s">
        <v>68</v>
      </c>
      <c r="S1" s="35" t="s">
        <v>462</v>
      </c>
      <c r="T1" s="35" t="s">
        <v>104</v>
      </c>
      <c r="U1" s="35" t="s">
        <v>463</v>
      </c>
      <c r="V1" s="35" t="s">
        <v>464</v>
      </c>
      <c r="W1" s="35" t="s">
        <v>465</v>
      </c>
      <c r="X1" s="35" t="s">
        <v>466</v>
      </c>
      <c r="Y1" s="35" t="s">
        <v>467</v>
      </c>
      <c r="Z1" s="35" t="s">
        <v>468</v>
      </c>
      <c r="AA1" s="35" t="s">
        <v>469</v>
      </c>
      <c r="AB1" s="35" t="s">
        <v>470</v>
      </c>
      <c r="AC1" s="35" t="s">
        <v>471</v>
      </c>
      <c r="AD1" s="35" t="str">
        <f>【1】定价因子!$C$35</f>
        <v>功能配置（开间）</v>
      </c>
      <c r="AE1" s="35" t="s">
        <v>472</v>
      </c>
      <c r="AF1" s="35" t="str">
        <f>【1】定价因子!$C$47</f>
        <v>功能配置（一居）</v>
      </c>
      <c r="AG1" s="36" t="s">
        <v>473</v>
      </c>
      <c r="AH1" s="35" t="str">
        <f>【1】定价因子!$C$54</f>
        <v>功能配置（二居）</v>
      </c>
      <c r="AI1" s="36" t="s">
        <v>474</v>
      </c>
      <c r="AJ1" s="37" t="s">
        <v>119</v>
      </c>
      <c r="AK1" s="35" t="s">
        <v>475</v>
      </c>
      <c r="AL1" s="38" t="s">
        <v>476</v>
      </c>
      <c r="AM1" s="39" t="s">
        <v>477</v>
      </c>
      <c r="AN1" s="40" t="s">
        <v>478</v>
      </c>
      <c r="AO1" t="s">
        <v>479</v>
      </c>
    </row>
    <row r="2" s="28" customFormat="1" ht="16.95" customHeight="1" spans="1:41">
      <c r="A2" s="41" t="str">
        <f>'【2】运营中心填-基本信息&amp;审核标准'!$E$2</f>
        <v>1-51栋</v>
      </c>
      <c r="B2" s="41">
        <f>INT(H2/100)</f>
        <v>1</v>
      </c>
      <c r="C2" s="41">
        <f t="shared" ref="C2:C31" si="0">COUNTIF($B$2:$B$31,B2)</f>
        <v>3</v>
      </c>
      <c r="D2" s="41">
        <f t="shared" ref="D2:D31" si="1">COUNTIF(C$2:C$31,C2)</f>
        <v>3</v>
      </c>
      <c r="E2" s="41">
        <f>MAX(D2:D31)</f>
        <v>25</v>
      </c>
      <c r="F2" s="41" t="str">
        <f>IF(D2=$E$2,C2,"")</f>
        <v/>
      </c>
      <c r="G2" s="41">
        <f>MAX(F2:F31)</f>
        <v>5</v>
      </c>
      <c r="H2" s="42">
        <v>101</v>
      </c>
      <c r="I2" s="43" t="s">
        <v>480</v>
      </c>
      <c r="J2" s="43" t="s">
        <v>40</v>
      </c>
      <c r="K2" s="41" t="str">
        <f t="array" ref="K2">IFERROR(INDEX($J$2:$J$31,MATCH(0,IF(ISBLANK($J$2:$J$31),1,COUNTIF($K$1:K1,$J$2:$J$31)),0)),"")</f>
        <v>开间</v>
      </c>
      <c r="L2" s="44">
        <f>VLOOKUP(J2,'【3】大区填-楼栋基准格局定价'!B:H,7,0)</f>
        <v>1612.1</v>
      </c>
      <c r="M2" s="45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较狭小</v>
      </c>
      <c r="N2" s="45">
        <v>11.75</v>
      </c>
      <c r="O2" s="41">
        <f>VLOOKUP($M$1&amp;M2,【1】定价因子!E:F,2,0)</f>
        <v>0.95</v>
      </c>
      <c r="P2" s="41" t="str">
        <f>IF(COUNTIFS(户型资产表!D:D,I2,户型资产表!G:G,"阳台门")&gt;0,"有","无")</f>
        <v>无</v>
      </c>
      <c r="Q2" s="41">
        <f>VLOOKUP($P$1&amp;P2,【1】定价因子!E:F,2,0)</f>
        <v>1</v>
      </c>
      <c r="R2" s="41" t="str">
        <f>IF('【2】运营中心填-基本信息&amp;审核标准'!$C$4="是","无",IF(INT(H2/100)&gt;9,"9F",INT(H2/100)&amp;"F"))</f>
        <v>1F</v>
      </c>
      <c r="S2" s="41">
        <f>VLOOKUP(R2,【1】定价因子!D:F,3,0)</f>
        <v>0.91</v>
      </c>
      <c r="T2" s="41" t="str">
        <f>IF('【2】运营中心填-基本信息&amp;审核标准'!$C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无</v>
      </c>
      <c r="U2" s="41">
        <f>VLOOKUP($T$1&amp;T2,【1】定价因子!E:F,2,0)</f>
        <v>1</v>
      </c>
      <c r="V2" s="41" t="str">
        <f>IF(COUNTIFS(户型资产表!D:D,I2,户型资产表!G:G,"操作台")&gt;0,"有","无")</f>
        <v>有</v>
      </c>
      <c r="W2" s="41" t="str">
        <f>IF(COUNTIFS(户型资产表!D:D,I2,户型资产表!G:G,"书桌")&gt;0,"有","无")</f>
        <v>有</v>
      </c>
      <c r="X2" s="41" t="str">
        <f>IF(COUNTIFS(户型资产表!D:D,I2,户型资产表!H:H,"单人沙发02")&gt;0,"有","无")</f>
        <v>无</v>
      </c>
      <c r="Y2" s="41" t="str">
        <f>IF(COUNTIFS(户型资产表!D:D,I2,户型资产表!H:H,"双人沙发01")&gt;0,"有","无")</f>
        <v>无</v>
      </c>
      <c r="Z2" s="41" t="str">
        <f>IF(COUNTIFS(户型资产表!D:D,I2,户型资产表!G:G,"餐桌")&gt;0,"有","无")</f>
        <v>无</v>
      </c>
      <c r="AA2" s="41" t="str">
        <f>IF(COUNTIFS(户型资产表!D:D,I2,户型资产表!G:G,"吸油烟机")&gt;0,"有","无")</f>
        <v>无</v>
      </c>
      <c r="AB2" s="41" t="str">
        <f>IF(COUNTIFS(户型资产表!D:D,I2,户型资产表!G:G,"冰箱")&gt;0,"有","无")</f>
        <v>无</v>
      </c>
      <c r="AC2" s="41" t="str">
        <f>IF(COUNTIFS(户型资产表!D:D,I2,户型资产表!G:G,"电视柜")&gt;0,"有","无")</f>
        <v>无</v>
      </c>
      <c r="AD2" s="45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41">
        <f>VLOOKUP($AD$1&amp;AD2,【1】定价因子!E:F,2,0)</f>
        <v>1</v>
      </c>
      <c r="AF2" s="45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41">
        <f>VLOOKUP($AF$1&amp;AF2,【1】定价因子!$E:$F,2,0)</f>
        <v>1</v>
      </c>
      <c r="AH2" s="45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41">
        <f>VLOOKUP($AH$1&amp;AH2,【1】定价因子!$E:$F,2,0)</f>
        <v>1</v>
      </c>
      <c r="AJ2" s="41" t="str">
        <f>VLOOKUP(H2,'【3-1】大区填-采光基本要素'!A:H,8,0)</f>
        <v>1</v>
      </c>
      <c r="AK2" s="41">
        <f>VLOOKUP($AJ$1&amp;AJ2,【1】定价因子!$E:$F,2,0)</f>
        <v>0.91</v>
      </c>
      <c r="AL2" s="46">
        <f>L2*PRODUCT(AG2,AK2,AE2,U2,S2,Q2,O2)</f>
        <v>1268.2310095</v>
      </c>
      <c r="AM2" s="41">
        <v>900</v>
      </c>
      <c r="AN2" s="47">
        <f>AM2/AL2-1</f>
        <v>-0.29035010715057</v>
      </c>
      <c r="AO2" s="28">
        <v>1100</v>
      </c>
    </row>
    <row r="3" s="29" customFormat="1" spans="1:41">
      <c r="A3" s="41" t="str">
        <f>'【2】运营中心填-基本信息&amp;审核标准'!$E$2</f>
        <v>1-51栋</v>
      </c>
      <c r="B3" s="48">
        <f t="shared" ref="B3:B31" si="2">INT(H3/100)</f>
        <v>1</v>
      </c>
      <c r="C3" s="48">
        <f t="shared" si="0"/>
        <v>3</v>
      </c>
      <c r="D3" s="48">
        <f t="shared" si="1"/>
        <v>3</v>
      </c>
      <c r="E3" s="48"/>
      <c r="F3" s="48" t="str">
        <f t="shared" ref="F3:F31" si="3">IF(D3=$E$2,C3,"")</f>
        <v/>
      </c>
      <c r="G3" s="48"/>
      <c r="H3" s="49">
        <v>102</v>
      </c>
      <c r="I3" s="50" t="s">
        <v>481</v>
      </c>
      <c r="J3" s="50" t="s">
        <v>43</v>
      </c>
      <c r="K3" s="48" t="str">
        <f t="array" ref="K3">IFERROR(INDEX($J$2:$J$31,MATCH(0,IF(ISBLANK($J$2:$J$31),1,COUNTIF($K$1:K2,$J$2:$J$31)),0)),"")</f>
        <v>一居室</v>
      </c>
      <c r="L3" s="51">
        <f>VLOOKUP(J3,'【3】大区填-楼栋基准格局定价'!B:H,7,0)</f>
        <v>2402.5</v>
      </c>
      <c r="M3" s="45" t="str">
        <f t="shared" ref="M3:M31" si="4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较狭小</v>
      </c>
      <c r="N3" s="45">
        <v>20.63</v>
      </c>
      <c r="O3" s="41">
        <f>VLOOKUP($M$1&amp;M3,【1】定价因子!E:F,2,0)</f>
        <v>0.95</v>
      </c>
      <c r="P3" s="41" t="str">
        <f>IF(COUNTIFS(户型资产表!D:D,I3,户型资产表!G:G,"阳台门")&gt;0,"有","无")</f>
        <v>无</v>
      </c>
      <c r="Q3" s="41">
        <f>VLOOKUP($P$1&amp;P3,【1】定价因子!E:F,2,0)</f>
        <v>1</v>
      </c>
      <c r="R3" s="41" t="str">
        <f>IF('【2】运营中心填-基本信息&amp;审核标准'!$C$4="是","无",IF(INT(H3/100)&gt;9,"9F",INT(H3/100)&amp;"F"))</f>
        <v>1F</v>
      </c>
      <c r="S3" s="41">
        <f>VLOOKUP(R3,【1】定价因子!D:F,3,0)</f>
        <v>0.91</v>
      </c>
      <c r="T3" s="41" t="str">
        <f>IF('【2】运营中心填-基本信息&amp;审核标准'!$C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无</v>
      </c>
      <c r="U3" s="41">
        <f>VLOOKUP($T$1&amp;T3,【1】定价因子!E:F,2,0)</f>
        <v>1</v>
      </c>
      <c r="V3" s="41" t="str">
        <f>IF(COUNTIFS(户型资产表!D:D,I3,户型资产表!G:G,"操作台")&gt;0,"有","无")</f>
        <v>有</v>
      </c>
      <c r="W3" s="41" t="str">
        <f>IF(COUNTIFS(户型资产表!D:D,I3,户型资产表!G:G,"书桌")&gt;0,"有","无")</f>
        <v>无</v>
      </c>
      <c r="X3" s="41" t="str">
        <f>IF(COUNTIFS(户型资产表!D:D,I3,户型资产表!H:H,"单人沙发02")&gt;0,"有","无")</f>
        <v>无</v>
      </c>
      <c r="Y3" s="41" t="str">
        <f>IF(COUNTIFS(户型资产表!D:D,I3,户型资产表!H:H,"双人沙发01")&gt;0,"有","无")</f>
        <v>无</v>
      </c>
      <c r="Z3" s="41" t="str">
        <f>IF(COUNTIFS(户型资产表!D:D,I3,户型资产表!G:G,"餐桌")&gt;0,"有","无")</f>
        <v>有</v>
      </c>
      <c r="AA3" s="41" t="str">
        <f>IF(COUNTIFS(户型资产表!D:D,I3,户型资产表!G:G,"吸油烟机")&gt;0,"有","无")</f>
        <v>无</v>
      </c>
      <c r="AB3" s="41" t="str">
        <f>IF(COUNTIFS(户型资产表!D:D,I3,户型资产表!G:G,"冰箱")&gt;0,"有","无")</f>
        <v>无</v>
      </c>
      <c r="AC3" s="41" t="str">
        <f>IF(COUNTIFS(户型资产表!D:D,I3,户型资产表!G:G,"电视柜")&gt;0,"有","无")</f>
        <v>无</v>
      </c>
      <c r="AD3" s="45" t="str">
        <f t="shared" ref="AD3:AD31" si="5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41">
        <f>VLOOKUP($AD$1&amp;AD3,【1】定价因子!E:F,2,0)</f>
        <v>1</v>
      </c>
      <c r="AF3" s="45" t="s">
        <v>63</v>
      </c>
      <c r="AG3" s="41">
        <f>VLOOKUP($AF$1&amp;AF3,【1】定价因子!$E:$F,2,0)</f>
        <v>1</v>
      </c>
      <c r="AH3" s="45" t="str">
        <f t="shared" ref="AH3:AH31" si="6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41">
        <f>VLOOKUP($AH$1&amp;AH3,【1】定价因子!$E:$F,2,0)</f>
        <v>1</v>
      </c>
      <c r="AJ3" s="41" t="str">
        <f>VLOOKUP(H3,'【3-1】大区填-采光基本要素'!A:H,8,0)</f>
        <v>1</v>
      </c>
      <c r="AK3" s="41">
        <f>VLOOKUP($AJ$1&amp;AJ3,【1】定价因子!$E:$F,2,0)</f>
        <v>0.91</v>
      </c>
      <c r="AL3" s="46">
        <f>L3*PRODUCT(AG3,AK3,AE3,U3,S3,Q3,O3)</f>
        <v>1890.0347375</v>
      </c>
      <c r="AM3" s="48">
        <v>1400</v>
      </c>
      <c r="AN3" s="52">
        <f t="shared" ref="AN3:AN31" si="7">AM3/AL3-1</f>
        <v>-0.2592728735495</v>
      </c>
      <c r="AO3" s="29">
        <v>1600</v>
      </c>
    </row>
    <row r="4" spans="1:41">
      <c r="A4" s="53" t="str">
        <f>'【2】运营中心填-基本信息&amp;审核标准'!$E$2</f>
        <v>1-51栋</v>
      </c>
      <c r="B4" s="13">
        <f t="shared" si="2"/>
        <v>1</v>
      </c>
      <c r="C4" s="13">
        <f t="shared" si="0"/>
        <v>3</v>
      </c>
      <c r="D4" s="13">
        <f t="shared" si="1"/>
        <v>3</v>
      </c>
      <c r="E4" s="13"/>
      <c r="F4" s="13" t="str">
        <f t="shared" si="3"/>
        <v/>
      </c>
      <c r="G4" s="13"/>
      <c r="H4" s="54">
        <v>103</v>
      </c>
      <c r="I4" s="55" t="s">
        <v>482</v>
      </c>
      <c r="J4" s="55" t="s">
        <v>40</v>
      </c>
      <c r="K4" s="13" t="str">
        <f t="array" ref="K4">IFERROR(INDEX($J$2:$J$31,MATCH(0,IF(ISBLANK($J$2:$J$31),1,COUNTIF($K$1:K3,$J$2:$J$31)),0)),"")</f>
        <v/>
      </c>
      <c r="L4" s="56">
        <f>VLOOKUP(J4,'【3】大区填-楼栋基准格局定价'!B:H,7,0)</f>
        <v>1612.1</v>
      </c>
      <c r="M4" s="57" t="str">
        <f t="shared" si="4"/>
        <v>适中</v>
      </c>
      <c r="N4" s="57">
        <v>15.58</v>
      </c>
      <c r="O4" s="36">
        <f>VLOOKUP($M$1&amp;M4,【1】定价因子!E:F,2,0)</f>
        <v>1</v>
      </c>
      <c r="P4" s="36" t="str">
        <f>IF(COUNTIFS(户型资产表!D:D,I4,户型资产表!G:G,"阳台门")&gt;0,"有","无")</f>
        <v>无</v>
      </c>
      <c r="Q4" s="36">
        <f>VLOOKUP($P$1&amp;P4,【1】定价因子!E:F,2,0)</f>
        <v>1</v>
      </c>
      <c r="R4" s="36" t="str">
        <f>IF('【2】运营中心填-基本信息&amp;审核标准'!$C$4="是","无",IF(INT(H4/100)&gt;9,"9F",INT(H4/100)&amp;"F"))</f>
        <v>1F</v>
      </c>
      <c r="S4" s="36">
        <f>VLOOKUP(R4,【1】定价因子!D:F,3,0)</f>
        <v>0.91</v>
      </c>
      <c r="T4" s="36" t="str">
        <f>IF('【2】运营中心填-基本信息&amp;审核标准'!$C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无</v>
      </c>
      <c r="U4" s="36">
        <f>VLOOKUP($T$1&amp;T4,【1】定价因子!E:F,2,0)</f>
        <v>1</v>
      </c>
      <c r="V4" s="36" t="str">
        <f>IF(COUNTIFS(户型资产表!D:D,I4,户型资产表!G:G,"操作台")&gt;0,"有","无")</f>
        <v>有</v>
      </c>
      <c r="W4" s="36" t="str">
        <f>IF(COUNTIFS(户型资产表!D:D,I4,户型资产表!G:G,"书桌")&gt;0,"有","无")</f>
        <v>有</v>
      </c>
      <c r="X4" s="36" t="str">
        <f>IF(COUNTIFS(户型资产表!D:D,I4,户型资产表!H:H,"单人沙发02")&gt;0,"有","无")</f>
        <v>无</v>
      </c>
      <c r="Y4" s="36" t="str">
        <f>IF(COUNTIFS(户型资产表!D:D,I4,户型资产表!H:H,"双人沙发01")&gt;0,"有","无")</f>
        <v>无</v>
      </c>
      <c r="Z4" s="36" t="str">
        <f>IF(COUNTIFS(户型资产表!D:D,I4,户型资产表!G:G,"餐桌")&gt;0,"有","无")</f>
        <v>无</v>
      </c>
      <c r="AA4" s="36" t="str">
        <f>IF(COUNTIFS(户型资产表!D:D,I4,户型资产表!G:G,"吸油烟机")&gt;0,"有","无")</f>
        <v>无</v>
      </c>
      <c r="AB4" s="36" t="str">
        <f>IF(COUNTIFS(户型资产表!D:D,I4,户型资产表!G:G,"冰箱")&gt;0,"有","无")</f>
        <v>无</v>
      </c>
      <c r="AC4" s="36" t="str">
        <f>IF(COUNTIFS(户型资产表!D:D,I4,户型资产表!G:G,"电视柜")&gt;0,"有","无")</f>
        <v>无</v>
      </c>
      <c r="AD4" s="57" t="str">
        <f t="shared" si="5"/>
        <v>适中</v>
      </c>
      <c r="AE4" s="36">
        <f>VLOOKUP($AD$1&amp;AD4,【1】定价因子!E:F,2,0)</f>
        <v>1</v>
      </c>
      <c r="AF4" s="57" t="str">
        <f t="shared" ref="AF3:AF31" si="8">IF(J4="一居室",IF(AND(V4="无",Y4="无",Z4="无"),"缺失",IF(OR(AND(Z4="有",V4="无",Y4="无"),AND(Z4="有",V4="无",Y4="有"),AND(Z4="有",V4="有",Y4="无"),AND(Z4="无",V4="有",Y4="无"),AND(Z4="无",V4="无",Y4="有")),"缺失（操作台/双人沙发）",IF(AND(V4="有",Y4="有",Z4="无"),"缺失（餐桌）",IF(AND(V4="有",Y4="有",Z4="有"),IF(AND(W4="无",AA4="有"),"充配（油烟机）",IF(AND(W4="有",AA4="无"),"充配（书桌）",IF(AND(W4="有",AA4="有"),"非常充配","适中"))),"")))),"适中")</f>
        <v>适中</v>
      </c>
      <c r="AG4" s="36">
        <f>VLOOKUP($AF$1&amp;AF4,【1】定价因子!$E:$F,2,0)</f>
        <v>1</v>
      </c>
      <c r="AH4" s="57" t="str">
        <f t="shared" si="6"/>
        <v>适中</v>
      </c>
      <c r="AI4" s="36">
        <f>VLOOKUP($AH$1&amp;AH4,【1】定价因子!$E:$F,2,0)</f>
        <v>1</v>
      </c>
      <c r="AJ4" s="36" t="str">
        <f>VLOOKUP(H4,'【3-1】大区填-采光基本要素'!A:H,8,0)</f>
        <v>1</v>
      </c>
      <c r="AK4" s="36">
        <f>VLOOKUP($AJ$1&amp;AJ4,【1】定价因子!$E:$F,2,0)</f>
        <v>0.91</v>
      </c>
      <c r="AL4" s="58">
        <f t="shared" ref="AL3:AL31" si="9">L4*PRODUCT(AG4,AK4,AE4,U4,S4,Q4,O4)</f>
        <v>1334.98001</v>
      </c>
      <c r="AM4" s="13">
        <v>1318</v>
      </c>
      <c r="AN4" s="59">
        <f t="shared" si="7"/>
        <v>-0.0127192990702535</v>
      </c>
    </row>
    <row r="5" s="28" customFormat="1" spans="1:41">
      <c r="A5" s="41" t="str">
        <f>'【2】运营中心填-基本信息&amp;审核标准'!$E$2</f>
        <v>1-51栋</v>
      </c>
      <c r="B5" s="41">
        <f t="shared" si="2"/>
        <v>2</v>
      </c>
      <c r="C5" s="41">
        <f t="shared" si="0"/>
        <v>5</v>
      </c>
      <c r="D5" s="41">
        <f t="shared" si="1"/>
        <v>25</v>
      </c>
      <c r="E5" s="41"/>
      <c r="F5" s="41">
        <f t="shared" si="3"/>
        <v>5</v>
      </c>
      <c r="G5" s="41"/>
      <c r="H5" s="42">
        <v>201</v>
      </c>
      <c r="I5" s="43" t="s">
        <v>483</v>
      </c>
      <c r="J5" s="43" t="s">
        <v>40</v>
      </c>
      <c r="K5" s="41" t="str">
        <f t="array" ref="K5">IFERROR(INDEX($J$2:$J$31,MATCH(0,IF(ISBLANK($J$2:$J$31),1,COUNTIF($K$1:K4,$J$2:$J$31)),0)),"")</f>
        <v/>
      </c>
      <c r="L5" s="44">
        <f>VLOOKUP(J5,'【3】大区填-楼栋基准格局定价'!B:H,7,0)</f>
        <v>1612.1</v>
      </c>
      <c r="M5" s="45" t="str">
        <f t="shared" si="4"/>
        <v>适中</v>
      </c>
      <c r="N5" s="45">
        <v>13.11</v>
      </c>
      <c r="O5" s="41">
        <f>VLOOKUP($M$1&amp;M5,【1】定价因子!E:F,2,0)</f>
        <v>1</v>
      </c>
      <c r="P5" s="41" t="str">
        <f>IF(COUNTIFS(户型资产表!D:D,I5,户型资产表!G:G,"阳台门")&gt;0,"有","无")</f>
        <v>无</v>
      </c>
      <c r="Q5" s="41">
        <f>VLOOKUP($P$1&amp;P5,【1】定价因子!E:F,2,0)</f>
        <v>1</v>
      </c>
      <c r="R5" s="41" t="str">
        <f>IF('【2】运营中心填-基本信息&amp;审核标准'!$C$4="是","无",IF(INT(H5/100)&gt;9,"9F",INT(H5/100)&amp;"F"))</f>
        <v>2F</v>
      </c>
      <c r="S5" s="41">
        <f>VLOOKUP(R5,【1】定价因子!D:F,3,0)</f>
        <v>1.02</v>
      </c>
      <c r="T5" s="41" t="str">
        <f>IF('【2】运营中心填-基本信息&amp;审核标准'!$C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无</v>
      </c>
      <c r="U5" s="41">
        <f>VLOOKUP($T$1&amp;T5,【1】定价因子!E:F,2,0)</f>
        <v>1</v>
      </c>
      <c r="V5" s="41" t="str">
        <f>IF(COUNTIFS(户型资产表!D:D,I5,户型资产表!G:G,"操作台")&gt;0,"有","无")</f>
        <v>有</v>
      </c>
      <c r="W5" s="41" t="str">
        <f>IF(COUNTIFS(户型资产表!D:D,I5,户型资产表!G:G,"书桌")&gt;0,"有","无")</f>
        <v>有</v>
      </c>
      <c r="X5" s="41" t="str">
        <f>IF(COUNTIFS(户型资产表!D:D,I5,户型资产表!H:H,"单人沙发02")&gt;0,"有","无")</f>
        <v>无</v>
      </c>
      <c r="Y5" s="41" t="str">
        <f>IF(COUNTIFS(户型资产表!D:D,I5,户型资产表!H:H,"双人沙发01")&gt;0,"有","无")</f>
        <v>无</v>
      </c>
      <c r="Z5" s="41" t="str">
        <f>IF(COUNTIFS(户型资产表!D:D,I5,户型资产表!G:G,"餐桌")&gt;0,"有","无")</f>
        <v>无</v>
      </c>
      <c r="AA5" s="41" t="str">
        <f>IF(COUNTIFS(户型资产表!D:D,I5,户型资产表!G:G,"吸油烟机")&gt;0,"有","无")</f>
        <v>无</v>
      </c>
      <c r="AB5" s="41" t="str">
        <f>IF(COUNTIFS(户型资产表!D:D,I5,户型资产表!G:G,"冰箱")&gt;0,"有","无")</f>
        <v>无</v>
      </c>
      <c r="AC5" s="41" t="str">
        <f>IF(COUNTIFS(户型资产表!D:D,I5,户型资产表!G:G,"电视柜")&gt;0,"有","无")</f>
        <v>无</v>
      </c>
      <c r="AD5" s="45" t="str">
        <f t="shared" si="5"/>
        <v>适中</v>
      </c>
      <c r="AE5" s="41">
        <f>VLOOKUP($AD$1&amp;AD5,【1】定价因子!E:F,2,0)</f>
        <v>1</v>
      </c>
      <c r="AF5" s="45" t="str">
        <f t="shared" si="8"/>
        <v>适中</v>
      </c>
      <c r="AG5" s="41">
        <f>VLOOKUP($AF$1&amp;AF5,【1】定价因子!$E:$F,2,0)</f>
        <v>1</v>
      </c>
      <c r="AH5" s="45" t="str">
        <f t="shared" si="6"/>
        <v>适中</v>
      </c>
      <c r="AI5" s="41">
        <f>VLOOKUP($AH$1&amp;AH5,【1】定价因子!$E:$F,2,0)</f>
        <v>1</v>
      </c>
      <c r="AJ5" s="41" t="str">
        <f>VLOOKUP(H5,'【3-1】大区填-采光基本要素'!A:H,8,0)</f>
        <v>1</v>
      </c>
      <c r="AK5" s="41">
        <f>VLOOKUP($AJ$1&amp;AJ5,【1】定价因子!$E:$F,2,0)</f>
        <v>0.91</v>
      </c>
      <c r="AL5" s="46">
        <f t="shared" si="9"/>
        <v>1496.35122</v>
      </c>
      <c r="AM5" s="41">
        <v>1150</v>
      </c>
      <c r="AN5" s="47">
        <f t="shared" si="7"/>
        <v>-0.231463853786947</v>
      </c>
      <c r="AO5" s="28">
        <v>1268</v>
      </c>
    </row>
    <row r="6" s="28" customFormat="1" spans="1:41">
      <c r="A6" s="41" t="str">
        <f>'【2】运营中心填-基本信息&amp;审核标准'!$E$2</f>
        <v>1-51栋</v>
      </c>
      <c r="B6" s="41">
        <f t="shared" si="2"/>
        <v>2</v>
      </c>
      <c r="C6" s="41">
        <f t="shared" si="0"/>
        <v>5</v>
      </c>
      <c r="D6" s="41">
        <f t="shared" si="1"/>
        <v>25</v>
      </c>
      <c r="E6" s="41"/>
      <c r="F6" s="41">
        <f t="shared" si="3"/>
        <v>5</v>
      </c>
      <c r="G6" s="41"/>
      <c r="H6" s="42">
        <v>202</v>
      </c>
      <c r="I6" s="43" t="s">
        <v>484</v>
      </c>
      <c r="J6" s="43" t="s">
        <v>40</v>
      </c>
      <c r="K6" s="41" t="str">
        <f t="array" ref="K6">IFERROR(INDEX($J$2:$J$31,MATCH(0,IF(ISBLANK($J$2:$J$31),1,COUNTIF($K$1:K5,$J$2:$J$31)),0)),"")</f>
        <v/>
      </c>
      <c r="L6" s="44">
        <f>VLOOKUP(J6,'【3】大区填-楼栋基准格局定价'!B:H,7,0)</f>
        <v>1612.1</v>
      </c>
      <c r="M6" s="45" t="str">
        <f t="shared" si="4"/>
        <v>适中</v>
      </c>
      <c r="N6" s="45">
        <v>16.13</v>
      </c>
      <c r="O6" s="41">
        <f>VLOOKUP($M$1&amp;M6,【1】定价因子!E:F,2,0)</f>
        <v>1</v>
      </c>
      <c r="P6" s="41" t="str">
        <f>IF(COUNTIFS(户型资产表!D:D,I6,户型资产表!G:G,"阳台门")&gt;0,"有","无")</f>
        <v>无</v>
      </c>
      <c r="Q6" s="41">
        <f>VLOOKUP($P$1&amp;P6,【1】定价因子!E:F,2,0)</f>
        <v>1</v>
      </c>
      <c r="R6" s="41" t="str">
        <f>IF('【2】运营中心填-基本信息&amp;审核标准'!$C$4="是","无",IF(INT(H6/100)&gt;9,"9F",INT(H6/100)&amp;"F"))</f>
        <v>2F</v>
      </c>
      <c r="S6" s="41">
        <f>VLOOKUP(R6,【1】定价因子!D:F,3,0)</f>
        <v>1.02</v>
      </c>
      <c r="T6" s="41" t="str">
        <f>IF('【2】运营中心填-基本信息&amp;审核标准'!$C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无</v>
      </c>
      <c r="U6" s="41">
        <f>VLOOKUP($T$1&amp;T6,【1】定价因子!E:F,2,0)</f>
        <v>1</v>
      </c>
      <c r="V6" s="41" t="str">
        <f>IF(COUNTIFS(户型资产表!D:D,I6,户型资产表!G:G,"操作台")&gt;0,"有","无")</f>
        <v>有</v>
      </c>
      <c r="W6" s="41" t="str">
        <f>IF(COUNTIFS(户型资产表!D:D,I6,户型资产表!G:G,"书桌")&gt;0,"有","无")</f>
        <v>有</v>
      </c>
      <c r="X6" s="41" t="str">
        <f>IF(COUNTIFS(户型资产表!D:D,I6,户型资产表!H:H,"单人沙发02")&gt;0,"有","无")</f>
        <v>无</v>
      </c>
      <c r="Y6" s="41" t="str">
        <f>IF(COUNTIFS(户型资产表!D:D,I6,户型资产表!H:H,"双人沙发01")&gt;0,"有","无")</f>
        <v>无</v>
      </c>
      <c r="Z6" s="41" t="str">
        <f>IF(COUNTIFS(户型资产表!D:D,I6,户型资产表!G:G,"餐桌")&gt;0,"有","无")</f>
        <v>无</v>
      </c>
      <c r="AA6" s="41" t="str">
        <f>IF(COUNTIFS(户型资产表!D:D,I6,户型资产表!G:G,"吸油烟机")&gt;0,"有","无")</f>
        <v>无</v>
      </c>
      <c r="AB6" s="41" t="str">
        <f>IF(COUNTIFS(户型资产表!D:D,I6,户型资产表!G:G,"冰箱")&gt;0,"有","无")</f>
        <v>无</v>
      </c>
      <c r="AC6" s="41" t="str">
        <f>IF(COUNTIFS(户型资产表!D:D,I6,户型资产表!G:G,"电视柜")&gt;0,"有","无")</f>
        <v>无</v>
      </c>
      <c r="AD6" s="45" t="str">
        <f t="shared" si="5"/>
        <v>适中</v>
      </c>
      <c r="AE6" s="41">
        <f>VLOOKUP($AD$1&amp;AD6,【1】定价因子!E:F,2,0)</f>
        <v>1</v>
      </c>
      <c r="AF6" s="45" t="str">
        <f t="shared" si="8"/>
        <v>适中</v>
      </c>
      <c r="AG6" s="41">
        <f>VLOOKUP($AF$1&amp;AF6,【1】定价因子!$E:$F,2,0)</f>
        <v>1</v>
      </c>
      <c r="AH6" s="45" t="str">
        <f t="shared" si="6"/>
        <v>适中</v>
      </c>
      <c r="AI6" s="41">
        <f>VLOOKUP($AH$1&amp;AH6,【1】定价因子!$E:$F,2,0)</f>
        <v>1</v>
      </c>
      <c r="AJ6" s="41" t="str">
        <f>VLOOKUP(H6,'【3-1】大区填-采光基本要素'!A:H,8,0)</f>
        <v>2</v>
      </c>
      <c r="AK6" s="41">
        <f>VLOOKUP($AJ$1&amp;AJ6,【1】定价因子!$E:$F,2,0)</f>
        <v>0.96</v>
      </c>
      <c r="AL6" s="46">
        <f t="shared" si="9"/>
        <v>1578.56832</v>
      </c>
      <c r="AM6" s="41">
        <v>1350</v>
      </c>
      <c r="AN6" s="47">
        <f t="shared" si="7"/>
        <v>-0.144794695993899</v>
      </c>
      <c r="AO6" s="28">
        <v>1518</v>
      </c>
    </row>
    <row r="7" spans="1:41">
      <c r="A7" s="53" t="str">
        <f>'【2】运营中心填-基本信息&amp;审核标准'!$E$2</f>
        <v>1-51栋</v>
      </c>
      <c r="B7" s="13">
        <f t="shared" si="2"/>
        <v>2</v>
      </c>
      <c r="C7" s="13">
        <f t="shared" si="0"/>
        <v>5</v>
      </c>
      <c r="D7" s="13">
        <f t="shared" si="1"/>
        <v>25</v>
      </c>
      <c r="E7" s="13"/>
      <c r="F7" s="13">
        <f t="shared" si="3"/>
        <v>5</v>
      </c>
      <c r="G7" s="13"/>
      <c r="H7" s="54">
        <v>203</v>
      </c>
      <c r="I7" s="55" t="s">
        <v>485</v>
      </c>
      <c r="J7" s="55" t="s">
        <v>40</v>
      </c>
      <c r="K7" s="13" t="str">
        <f t="array" ref="K7">IFERROR(INDEX($J$2:$J$31,MATCH(0,IF(ISBLANK($J$2:$J$31),1,COUNTIF($K$1:K6,$J$2:$J$31)),0)),"")</f>
        <v/>
      </c>
      <c r="L7" s="56">
        <f>VLOOKUP(J7,'【3】大区填-楼栋基准格局定价'!B:H,7,0)</f>
        <v>1612.1</v>
      </c>
      <c r="M7" s="57" t="str">
        <f t="shared" si="4"/>
        <v>适中</v>
      </c>
      <c r="N7" s="57">
        <v>14.44</v>
      </c>
      <c r="O7" s="36">
        <f>VLOOKUP($M$1&amp;M7,【1】定价因子!E:F,2,0)</f>
        <v>1</v>
      </c>
      <c r="P7" s="36" t="str">
        <f>IF(COUNTIFS(户型资产表!D:D,I7,户型资产表!G:G,"阳台门")&gt;0,"有","无")</f>
        <v>无</v>
      </c>
      <c r="Q7" s="36">
        <f>VLOOKUP($P$1&amp;P7,【1】定价因子!E:F,2,0)</f>
        <v>1</v>
      </c>
      <c r="R7" s="36" t="str">
        <f>IF('【2】运营中心填-基本信息&amp;审核标准'!$C$4="是","无",IF(INT(H7/100)&gt;9,"9F",INT(H7/100)&amp;"F"))</f>
        <v>2F</v>
      </c>
      <c r="S7" s="36">
        <f>VLOOKUP(R7,【1】定价因子!D:F,3,0)</f>
        <v>1.02</v>
      </c>
      <c r="T7" s="36" t="str">
        <f>IF('【2】运营中心填-基本信息&amp;审核标准'!$C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无</v>
      </c>
      <c r="U7" s="36">
        <f>VLOOKUP($T$1&amp;T7,【1】定价因子!E:F,2,0)</f>
        <v>1</v>
      </c>
      <c r="V7" s="36" t="str">
        <f>IF(COUNTIFS(户型资产表!D:D,I7,户型资产表!G:G,"操作台")&gt;0,"有","无")</f>
        <v>有</v>
      </c>
      <c r="W7" s="36" t="str">
        <f>IF(COUNTIFS(户型资产表!D:D,I7,户型资产表!G:G,"书桌")&gt;0,"有","无")</f>
        <v>有</v>
      </c>
      <c r="X7" s="36" t="str">
        <f>IF(COUNTIFS(户型资产表!D:D,I7,户型资产表!H:H,"单人沙发02")&gt;0,"有","无")</f>
        <v>无</v>
      </c>
      <c r="Y7" s="36" t="str">
        <f>IF(COUNTIFS(户型资产表!D:D,I7,户型资产表!H:H,"双人沙发01")&gt;0,"有","无")</f>
        <v>无</v>
      </c>
      <c r="Z7" s="36" t="str">
        <f>IF(COUNTIFS(户型资产表!D:D,I7,户型资产表!G:G,"餐桌")&gt;0,"有","无")</f>
        <v>无</v>
      </c>
      <c r="AA7" s="36" t="str">
        <f>IF(COUNTIFS(户型资产表!D:D,I7,户型资产表!G:G,"吸油烟机")&gt;0,"有","无")</f>
        <v>无</v>
      </c>
      <c r="AB7" s="36" t="str">
        <f>IF(COUNTIFS(户型资产表!D:D,I7,户型资产表!G:G,"冰箱")&gt;0,"有","无")</f>
        <v>无</v>
      </c>
      <c r="AC7" s="36" t="str">
        <f>IF(COUNTIFS(户型资产表!D:D,I7,户型资产表!G:G,"电视柜")&gt;0,"有","无")</f>
        <v>无</v>
      </c>
      <c r="AD7" s="57" t="str">
        <f t="shared" si="5"/>
        <v>适中</v>
      </c>
      <c r="AE7" s="36">
        <f>VLOOKUP($AD$1&amp;AD7,【1】定价因子!E:F,2,0)</f>
        <v>1</v>
      </c>
      <c r="AF7" s="57" t="str">
        <f t="shared" si="8"/>
        <v>适中</v>
      </c>
      <c r="AG7" s="36">
        <f>VLOOKUP($AF$1&amp;AF7,【1】定价因子!$E:$F,2,0)</f>
        <v>1</v>
      </c>
      <c r="AH7" s="57" t="str">
        <f t="shared" si="6"/>
        <v>适中</v>
      </c>
      <c r="AI7" s="36">
        <f>VLOOKUP($AH$1&amp;AH7,【1】定价因子!$E:$F,2,0)</f>
        <v>1</v>
      </c>
      <c r="AJ7" s="36" t="str">
        <f>VLOOKUP(H7,'【3-1】大区填-采光基本要素'!A:H,8,0)</f>
        <v>2</v>
      </c>
      <c r="AK7" s="36">
        <f>VLOOKUP($AJ$1&amp;AJ7,【1】定价因子!$E:$F,2,0)</f>
        <v>0.96</v>
      </c>
      <c r="AL7" s="58">
        <f t="shared" si="9"/>
        <v>1578.56832</v>
      </c>
      <c r="AM7" s="13">
        <v>1518</v>
      </c>
      <c r="AN7" s="59">
        <f t="shared" si="7"/>
        <v>-0.0383691470509177</v>
      </c>
    </row>
    <row r="8" spans="1:41">
      <c r="A8" s="53" t="str">
        <f>'【2】运营中心填-基本信息&amp;审核标准'!$E$2</f>
        <v>1-51栋</v>
      </c>
      <c r="B8" s="13">
        <f t="shared" si="2"/>
        <v>2</v>
      </c>
      <c r="C8" s="13">
        <f t="shared" si="0"/>
        <v>5</v>
      </c>
      <c r="D8" s="13">
        <f t="shared" si="1"/>
        <v>25</v>
      </c>
      <c r="E8" s="13"/>
      <c r="F8" s="13">
        <f t="shared" si="3"/>
        <v>5</v>
      </c>
      <c r="G8" s="13"/>
      <c r="H8" s="54">
        <v>204</v>
      </c>
      <c r="I8" s="55" t="s">
        <v>486</v>
      </c>
      <c r="J8" s="55" t="s">
        <v>40</v>
      </c>
      <c r="K8" s="13" t="str">
        <f t="array" ref="K8">IFERROR(INDEX($J$2:$J$31,MATCH(0,IF(ISBLANK($J$2:$J$31),1,COUNTIF($K$1:K7,$J$2:$J$31)),0)),"")</f>
        <v/>
      </c>
      <c r="L8" s="56">
        <f>VLOOKUP(J8,'【3】大区填-楼栋基准格局定价'!B:H,7,0)</f>
        <v>1612.1</v>
      </c>
      <c r="M8" s="57" t="str">
        <f t="shared" si="4"/>
        <v>适中</v>
      </c>
      <c r="N8" s="57">
        <v>16.5</v>
      </c>
      <c r="O8" s="36">
        <f>VLOOKUP($M$1&amp;M8,【1】定价因子!E:F,2,0)</f>
        <v>1</v>
      </c>
      <c r="P8" s="36" t="str">
        <f>IF(COUNTIFS(户型资产表!D:D,I8,户型资产表!G:G,"阳台门")&gt;0,"有","无")</f>
        <v>无</v>
      </c>
      <c r="Q8" s="36">
        <f>VLOOKUP($P$1&amp;P8,【1】定价因子!E:F,2,0)</f>
        <v>1</v>
      </c>
      <c r="R8" s="36" t="str">
        <f>IF('【2】运营中心填-基本信息&amp;审核标准'!$C$4="是","无",IF(INT(H8/100)&gt;9,"9F",INT(H8/100)&amp;"F"))</f>
        <v>2F</v>
      </c>
      <c r="S8" s="36">
        <f>VLOOKUP(R8,【1】定价因子!D:F,3,0)</f>
        <v>1.02</v>
      </c>
      <c r="T8" s="36" t="str">
        <f>IF('【2】运营中心填-基本信息&amp;审核标准'!$C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无</v>
      </c>
      <c r="U8" s="36">
        <f>VLOOKUP($T$1&amp;T8,【1】定价因子!E:F,2,0)</f>
        <v>1</v>
      </c>
      <c r="V8" s="36" t="str">
        <f>IF(COUNTIFS(户型资产表!D:D,I8,户型资产表!G:G,"操作台")&gt;0,"有","无")</f>
        <v>有</v>
      </c>
      <c r="W8" s="36" t="str">
        <f>IF(COUNTIFS(户型资产表!D:D,I8,户型资产表!G:G,"书桌")&gt;0,"有","无")</f>
        <v>有</v>
      </c>
      <c r="X8" s="36" t="str">
        <f>IF(COUNTIFS(户型资产表!D:D,I8,户型资产表!H:H,"单人沙发02")&gt;0,"有","无")</f>
        <v>无</v>
      </c>
      <c r="Y8" s="36" t="str">
        <f>IF(COUNTIFS(户型资产表!D:D,I8,户型资产表!H:H,"双人沙发01")&gt;0,"有","无")</f>
        <v>无</v>
      </c>
      <c r="Z8" s="36" t="str">
        <f>IF(COUNTIFS(户型资产表!D:D,I8,户型资产表!G:G,"餐桌")&gt;0,"有","无")</f>
        <v>无</v>
      </c>
      <c r="AA8" s="36" t="str">
        <f>IF(COUNTIFS(户型资产表!D:D,I8,户型资产表!G:G,"吸油烟机")&gt;0,"有","无")</f>
        <v>无</v>
      </c>
      <c r="AB8" s="36" t="str">
        <f>IF(COUNTIFS(户型资产表!D:D,I8,户型资产表!G:G,"冰箱")&gt;0,"有","无")</f>
        <v>无</v>
      </c>
      <c r="AC8" s="36" t="str">
        <f>IF(COUNTIFS(户型资产表!D:D,I8,户型资产表!G:G,"电视柜")&gt;0,"有","无")</f>
        <v>无</v>
      </c>
      <c r="AD8" s="57" t="str">
        <f t="shared" si="5"/>
        <v>适中</v>
      </c>
      <c r="AE8" s="36">
        <f>VLOOKUP($AD$1&amp;AD8,【1】定价因子!E:F,2,0)</f>
        <v>1</v>
      </c>
      <c r="AF8" s="57" t="str">
        <f t="shared" si="8"/>
        <v>适中</v>
      </c>
      <c r="AG8" s="36">
        <f>VLOOKUP($AF$1&amp;AF8,【1】定价因子!$E:$F,2,0)</f>
        <v>1</v>
      </c>
      <c r="AH8" s="57" t="str">
        <f t="shared" si="6"/>
        <v>适中</v>
      </c>
      <c r="AI8" s="36">
        <f>VLOOKUP($AH$1&amp;AH8,【1】定价因子!$E:$F,2,0)</f>
        <v>1</v>
      </c>
      <c r="AJ8" s="36" t="str">
        <f>VLOOKUP(H8,'【3-1】大区填-采光基本要素'!A:H,8,0)</f>
        <v>2</v>
      </c>
      <c r="AK8" s="36">
        <f>VLOOKUP($AJ$1&amp;AJ8,【1】定价因子!$E:$F,2,0)</f>
        <v>0.96</v>
      </c>
      <c r="AL8" s="58">
        <f t="shared" si="9"/>
        <v>1578.56832</v>
      </c>
      <c r="AM8" s="13">
        <v>1518</v>
      </c>
      <c r="AN8" s="59">
        <f t="shared" si="7"/>
        <v>-0.0383691470509177</v>
      </c>
    </row>
    <row r="9" s="28" customFormat="1" spans="1:41">
      <c r="A9" s="41" t="str">
        <f>'【2】运营中心填-基本信息&amp;审核标准'!$E$2</f>
        <v>1-51栋</v>
      </c>
      <c r="B9" s="41">
        <f t="shared" si="2"/>
        <v>2</v>
      </c>
      <c r="C9" s="41">
        <f t="shared" si="0"/>
        <v>5</v>
      </c>
      <c r="D9" s="41">
        <f t="shared" si="1"/>
        <v>25</v>
      </c>
      <c r="E9" s="41"/>
      <c r="F9" s="41">
        <f t="shared" si="3"/>
        <v>5</v>
      </c>
      <c r="G9" s="41"/>
      <c r="H9" s="42">
        <v>205</v>
      </c>
      <c r="I9" s="43" t="s">
        <v>483</v>
      </c>
      <c r="J9" s="43" t="s">
        <v>40</v>
      </c>
      <c r="K9" s="41" t="str">
        <f t="array" ref="K9">IFERROR(INDEX($J$2:$J$31,MATCH(0,IF(ISBLANK($J$2:$J$31),1,COUNTIF($K$1:K8,$J$2:$J$31)),0)),"")</f>
        <v/>
      </c>
      <c r="L9" s="44">
        <f>VLOOKUP(J9,'【3】大区填-楼栋基准格局定价'!B:H,7,0)</f>
        <v>1612.1</v>
      </c>
      <c r="M9" s="45" t="str">
        <f t="shared" si="4"/>
        <v>适中</v>
      </c>
      <c r="N9" s="45">
        <v>13.49</v>
      </c>
      <c r="O9" s="41">
        <f>VLOOKUP($M$1&amp;M9,【1】定价因子!E:F,2,0)</f>
        <v>1</v>
      </c>
      <c r="P9" s="41" t="str">
        <f>IF(COUNTIFS(户型资产表!D:D,I9,户型资产表!G:G,"阳台门")&gt;0,"有","无")</f>
        <v>无</v>
      </c>
      <c r="Q9" s="41">
        <f>VLOOKUP($P$1&amp;P9,【1】定价因子!E:F,2,0)</f>
        <v>1</v>
      </c>
      <c r="R9" s="41" t="str">
        <f>IF('【2】运营中心填-基本信息&amp;审核标准'!$C$4="是","无",IF(INT(H9/100)&gt;9,"9F",INT(H9/100)&amp;"F"))</f>
        <v>2F</v>
      </c>
      <c r="S9" s="41">
        <f>VLOOKUP(R9,【1】定价因子!D:F,3,0)</f>
        <v>1.02</v>
      </c>
      <c r="T9" s="41" t="str">
        <f>IF('【2】运营中心填-基本信息&amp;审核标准'!$C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无</v>
      </c>
      <c r="U9" s="41">
        <f>VLOOKUP($T$1&amp;T9,【1】定价因子!E:F,2,0)</f>
        <v>1</v>
      </c>
      <c r="V9" s="41" t="str">
        <f>IF(COUNTIFS(户型资产表!D:D,I9,户型资产表!G:G,"操作台")&gt;0,"有","无")</f>
        <v>有</v>
      </c>
      <c r="W9" s="41" t="str">
        <f>IF(COUNTIFS(户型资产表!D:D,I9,户型资产表!G:G,"书桌")&gt;0,"有","无")</f>
        <v>有</v>
      </c>
      <c r="X9" s="41" t="str">
        <f>IF(COUNTIFS(户型资产表!D:D,I9,户型资产表!H:H,"单人沙发02")&gt;0,"有","无")</f>
        <v>无</v>
      </c>
      <c r="Y9" s="41" t="str">
        <f>IF(COUNTIFS(户型资产表!D:D,I9,户型资产表!H:H,"双人沙发01")&gt;0,"有","无")</f>
        <v>无</v>
      </c>
      <c r="Z9" s="41" t="str">
        <f>IF(COUNTIFS(户型资产表!D:D,I9,户型资产表!G:G,"餐桌")&gt;0,"有","无")</f>
        <v>无</v>
      </c>
      <c r="AA9" s="41" t="str">
        <f>IF(COUNTIFS(户型资产表!D:D,I9,户型资产表!G:G,"吸油烟机")&gt;0,"有","无")</f>
        <v>无</v>
      </c>
      <c r="AB9" s="41" t="str">
        <f>IF(COUNTIFS(户型资产表!D:D,I9,户型资产表!G:G,"冰箱")&gt;0,"有","无")</f>
        <v>无</v>
      </c>
      <c r="AC9" s="41" t="str">
        <f>IF(COUNTIFS(户型资产表!D:D,I9,户型资产表!G:G,"电视柜")&gt;0,"有","无")</f>
        <v>无</v>
      </c>
      <c r="AD9" s="45" t="str">
        <f t="shared" si="5"/>
        <v>适中</v>
      </c>
      <c r="AE9" s="41">
        <f>VLOOKUP($AD$1&amp;AD9,【1】定价因子!E:F,2,0)</f>
        <v>1</v>
      </c>
      <c r="AF9" s="45" t="str">
        <f t="shared" si="8"/>
        <v>适中</v>
      </c>
      <c r="AG9" s="41">
        <f>VLOOKUP($AF$1&amp;AF9,【1】定价因子!$E:$F,2,0)</f>
        <v>1</v>
      </c>
      <c r="AH9" s="45" t="str">
        <f t="shared" si="6"/>
        <v>适中</v>
      </c>
      <c r="AI9" s="41">
        <f>VLOOKUP($AH$1&amp;AH9,【1】定价因子!$E:$F,2,0)</f>
        <v>1</v>
      </c>
      <c r="AJ9" s="41" t="str">
        <f>VLOOKUP(H9,'【3-1】大区填-采光基本要素'!A:H,8,0)</f>
        <v>1</v>
      </c>
      <c r="AK9" s="41">
        <f>VLOOKUP($AJ$1&amp;AJ9,【1】定价因子!$E:$F,2,0)</f>
        <v>0.91</v>
      </c>
      <c r="AL9" s="46">
        <f t="shared" si="9"/>
        <v>1496.35122</v>
      </c>
      <c r="AM9" s="41">
        <v>1100</v>
      </c>
      <c r="AN9" s="47">
        <f t="shared" si="7"/>
        <v>-0.264878468839689</v>
      </c>
      <c r="AO9" s="28">
        <v>1268</v>
      </c>
    </row>
    <row r="10" spans="1:41">
      <c r="A10" s="53" t="str">
        <f>'【2】运营中心填-基本信息&amp;审核标准'!$E$2</f>
        <v>1-51栋</v>
      </c>
      <c r="B10" s="13">
        <f t="shared" si="2"/>
        <v>3</v>
      </c>
      <c r="C10" s="13">
        <f t="shared" si="0"/>
        <v>5</v>
      </c>
      <c r="D10" s="13">
        <f t="shared" si="1"/>
        <v>25</v>
      </c>
      <c r="E10" s="13"/>
      <c r="F10" s="13">
        <f t="shared" si="3"/>
        <v>5</v>
      </c>
      <c r="G10" s="13"/>
      <c r="H10" s="54">
        <v>301</v>
      </c>
      <c r="I10" s="55" t="s">
        <v>483</v>
      </c>
      <c r="J10" s="55" t="s">
        <v>40</v>
      </c>
      <c r="K10" s="13" t="str">
        <f t="array" ref="K10">IFERROR(INDEX($J$2:$J$31,MATCH(0,IF(ISBLANK($J$2:$J$31),1,COUNTIF($K$1:K9,$J$2:$J$31)),0)),"")</f>
        <v/>
      </c>
      <c r="L10" s="56">
        <f>VLOOKUP(J10,'【3】大区填-楼栋基准格局定价'!B:H,7,0)</f>
        <v>1612.1</v>
      </c>
      <c r="M10" s="57" t="str">
        <f t="shared" si="4"/>
        <v>适中</v>
      </c>
      <c r="N10" s="57">
        <v>13.11</v>
      </c>
      <c r="O10" s="36">
        <f>VLOOKUP($M$1&amp;M10,【1】定价因子!E:F,2,0)</f>
        <v>1</v>
      </c>
      <c r="P10" s="36" t="str">
        <f>IF(COUNTIFS(户型资产表!D:D,I10,户型资产表!G:G,"阳台门")&gt;0,"有","无")</f>
        <v>无</v>
      </c>
      <c r="Q10" s="36">
        <f>VLOOKUP($P$1&amp;P10,【1】定价因子!E:F,2,0)</f>
        <v>1</v>
      </c>
      <c r="R10" s="36" t="str">
        <f>IF('【2】运营中心填-基本信息&amp;审核标准'!$C$4="是","无",IF(INT(H10/100)&gt;9,"9F",INT(H10/100)&amp;"F"))</f>
        <v>3F</v>
      </c>
      <c r="S10" s="36">
        <f>VLOOKUP(R10,【1】定价因子!D:F,3,0)</f>
        <v>1.01</v>
      </c>
      <c r="T10" s="36" t="str">
        <f>IF('【2】运营中心填-基本信息&amp;审核标准'!$C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无</v>
      </c>
      <c r="U10" s="36">
        <f>VLOOKUP($T$1&amp;T10,【1】定价因子!E:F,2,0)</f>
        <v>1</v>
      </c>
      <c r="V10" s="36" t="str">
        <f>IF(COUNTIFS(户型资产表!D:D,I10,户型资产表!G:G,"操作台")&gt;0,"有","无")</f>
        <v>有</v>
      </c>
      <c r="W10" s="36" t="str">
        <f>IF(COUNTIFS(户型资产表!D:D,I10,户型资产表!G:G,"书桌")&gt;0,"有","无")</f>
        <v>有</v>
      </c>
      <c r="X10" s="36" t="str">
        <f>IF(COUNTIFS(户型资产表!D:D,I10,户型资产表!H:H,"单人沙发02")&gt;0,"有","无")</f>
        <v>无</v>
      </c>
      <c r="Y10" s="36" t="str">
        <f>IF(COUNTIFS(户型资产表!D:D,I10,户型资产表!H:H,"双人沙发01")&gt;0,"有","无")</f>
        <v>无</v>
      </c>
      <c r="Z10" s="36" t="str">
        <f>IF(COUNTIFS(户型资产表!D:D,I10,户型资产表!G:G,"餐桌")&gt;0,"有","无")</f>
        <v>无</v>
      </c>
      <c r="AA10" s="36" t="str">
        <f>IF(COUNTIFS(户型资产表!D:D,I10,户型资产表!G:G,"吸油烟机")&gt;0,"有","无")</f>
        <v>无</v>
      </c>
      <c r="AB10" s="36" t="str">
        <f>IF(COUNTIFS(户型资产表!D:D,I10,户型资产表!G:G,"冰箱")&gt;0,"有","无")</f>
        <v>无</v>
      </c>
      <c r="AC10" s="36" t="str">
        <f>IF(COUNTIFS(户型资产表!D:D,I10,户型资产表!G:G,"电视柜")&gt;0,"有","无")</f>
        <v>无</v>
      </c>
      <c r="AD10" s="57" t="str">
        <f t="shared" si="5"/>
        <v>适中</v>
      </c>
      <c r="AE10" s="36">
        <f>VLOOKUP($AD$1&amp;AD10,【1】定价因子!E:F,2,0)</f>
        <v>1</v>
      </c>
      <c r="AF10" s="57" t="str">
        <f t="shared" si="8"/>
        <v>适中</v>
      </c>
      <c r="AG10" s="36">
        <f>VLOOKUP($AF$1&amp;AF10,【1】定价因子!$E:$F,2,0)</f>
        <v>1</v>
      </c>
      <c r="AH10" s="57" t="str">
        <f t="shared" si="6"/>
        <v>适中</v>
      </c>
      <c r="AI10" s="36">
        <f>VLOOKUP($AH$1&amp;AH10,【1】定价因子!$E:$F,2,0)</f>
        <v>1</v>
      </c>
      <c r="AJ10" s="36" t="str">
        <f>VLOOKUP(H10,'【3-1】大区填-采光基本要素'!A:H,8,0)</f>
        <v>1</v>
      </c>
      <c r="AK10" s="36">
        <f>VLOOKUP($AJ$1&amp;AJ10,【1】定价因子!$E:$F,2,0)</f>
        <v>0.91</v>
      </c>
      <c r="AL10" s="58">
        <f t="shared" si="9"/>
        <v>1481.68111</v>
      </c>
      <c r="AM10" s="13">
        <v>1288</v>
      </c>
      <c r="AN10" s="59">
        <f t="shared" si="7"/>
        <v>-0.130717135214068</v>
      </c>
    </row>
    <row r="11" spans="1:41">
      <c r="A11" s="53" t="str">
        <f>'【2】运营中心填-基本信息&amp;审核标准'!$E$2</f>
        <v>1-51栋</v>
      </c>
      <c r="B11" s="13">
        <f t="shared" si="2"/>
        <v>3</v>
      </c>
      <c r="C11" s="13">
        <f t="shared" si="0"/>
        <v>5</v>
      </c>
      <c r="D11" s="13">
        <f t="shared" si="1"/>
        <v>25</v>
      </c>
      <c r="E11" s="13"/>
      <c r="F11" s="13">
        <f t="shared" si="3"/>
        <v>5</v>
      </c>
      <c r="G11" s="13"/>
      <c r="H11" s="54">
        <v>302</v>
      </c>
      <c r="I11" s="55" t="s">
        <v>484</v>
      </c>
      <c r="J11" s="55" t="s">
        <v>40</v>
      </c>
      <c r="K11" s="13"/>
      <c r="L11" s="56">
        <f>VLOOKUP(J11,'【3】大区填-楼栋基准格局定价'!B:H,7,0)</f>
        <v>1612.1</v>
      </c>
      <c r="M11" s="57" t="str">
        <f t="shared" si="4"/>
        <v>适中</v>
      </c>
      <c r="N11" s="57">
        <v>16.13</v>
      </c>
      <c r="O11" s="36">
        <f>VLOOKUP($M$1&amp;M11,【1】定价因子!E:F,2,0)</f>
        <v>1</v>
      </c>
      <c r="P11" s="36" t="str">
        <f>IF(COUNTIFS(户型资产表!D:D,I11,户型资产表!G:G,"阳台门")&gt;0,"有","无")</f>
        <v>无</v>
      </c>
      <c r="Q11" s="36">
        <f>VLOOKUP($P$1&amp;P11,【1】定价因子!E:F,2,0)</f>
        <v>1</v>
      </c>
      <c r="R11" s="36" t="str">
        <f>IF('【2】运营中心填-基本信息&amp;审核标准'!$C$4="是","无",IF(INT(H11/100)&gt;9,"9F",INT(H11/100)&amp;"F"))</f>
        <v>3F</v>
      </c>
      <c r="S11" s="36">
        <f>VLOOKUP(R11,【1】定价因子!D:F,3,0)</f>
        <v>1.01</v>
      </c>
      <c r="T11" s="36" t="str">
        <f>IF('【2】运营中心填-基本信息&amp;审核标准'!$C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无</v>
      </c>
      <c r="U11" s="36">
        <f>VLOOKUP($T$1&amp;T11,【1】定价因子!E:F,2,0)</f>
        <v>1</v>
      </c>
      <c r="V11" s="36" t="str">
        <f>IF(COUNTIFS(户型资产表!D:D,I11,户型资产表!G:G,"操作台")&gt;0,"有","无")</f>
        <v>有</v>
      </c>
      <c r="W11" s="36" t="str">
        <f>IF(COUNTIFS(户型资产表!D:D,I11,户型资产表!G:G,"书桌")&gt;0,"有","无")</f>
        <v>有</v>
      </c>
      <c r="X11" s="36" t="str">
        <f>IF(COUNTIFS(户型资产表!D:D,I11,户型资产表!H:H,"单人沙发02")&gt;0,"有","无")</f>
        <v>无</v>
      </c>
      <c r="Y11" s="36" t="str">
        <f>IF(COUNTIFS(户型资产表!D:D,I11,户型资产表!H:H,"双人沙发01")&gt;0,"有","无")</f>
        <v>无</v>
      </c>
      <c r="Z11" s="36" t="str">
        <f>IF(COUNTIFS(户型资产表!D:D,I11,户型资产表!G:G,"餐桌")&gt;0,"有","无")</f>
        <v>无</v>
      </c>
      <c r="AA11" s="36" t="str">
        <f>IF(COUNTIFS(户型资产表!D:D,I11,户型资产表!G:G,"吸油烟机")&gt;0,"有","无")</f>
        <v>无</v>
      </c>
      <c r="AB11" s="36" t="str">
        <f>IF(COUNTIFS(户型资产表!D:D,I11,户型资产表!G:G,"冰箱")&gt;0,"有","无")</f>
        <v>无</v>
      </c>
      <c r="AC11" s="36" t="str">
        <f>IF(COUNTIFS(户型资产表!D:D,I11,户型资产表!G:G,"电视柜")&gt;0,"有","无")</f>
        <v>无</v>
      </c>
      <c r="AD11" s="57" t="str">
        <f t="shared" si="5"/>
        <v>适中</v>
      </c>
      <c r="AE11" s="36">
        <f>VLOOKUP($AD$1&amp;AD11,【1】定价因子!E:F,2,0)</f>
        <v>1</v>
      </c>
      <c r="AF11" s="57" t="str">
        <f t="shared" si="8"/>
        <v>适中</v>
      </c>
      <c r="AG11" s="36">
        <f>VLOOKUP($AF$1&amp;AF11,【1】定价因子!$E:$F,2,0)</f>
        <v>1</v>
      </c>
      <c r="AH11" s="57" t="str">
        <f t="shared" si="6"/>
        <v>适中</v>
      </c>
      <c r="AI11" s="36">
        <f>VLOOKUP($AH$1&amp;AH11,【1】定价因子!$E:$F,2,0)</f>
        <v>1</v>
      </c>
      <c r="AJ11" s="36" t="str">
        <f>VLOOKUP(H11,'【3-1】大区填-采光基本要素'!A:H,8,0)</f>
        <v>2</v>
      </c>
      <c r="AK11" s="36">
        <f>VLOOKUP($AJ$1&amp;AJ11,【1】定价因子!$E:$F,2,0)</f>
        <v>0.96</v>
      </c>
      <c r="AL11" s="58">
        <f t="shared" si="9"/>
        <v>1563.09216</v>
      </c>
      <c r="AM11" s="13">
        <v>1518</v>
      </c>
      <c r="AN11" s="59">
        <f t="shared" si="7"/>
        <v>-0.0288480494969663</v>
      </c>
    </row>
    <row r="12" spans="1:41">
      <c r="A12" s="53" t="str">
        <f>'【2】运营中心填-基本信息&amp;审核标准'!$E$2</f>
        <v>1-51栋</v>
      </c>
      <c r="B12" s="13">
        <f t="shared" si="2"/>
        <v>3</v>
      </c>
      <c r="C12" s="13">
        <f t="shared" si="0"/>
        <v>5</v>
      </c>
      <c r="D12" s="13">
        <f t="shared" si="1"/>
        <v>25</v>
      </c>
      <c r="E12" s="13"/>
      <c r="F12" s="13">
        <f t="shared" si="3"/>
        <v>5</v>
      </c>
      <c r="G12" s="13"/>
      <c r="H12" s="54">
        <v>303</v>
      </c>
      <c r="I12" s="55" t="s">
        <v>485</v>
      </c>
      <c r="J12" s="55" t="s">
        <v>40</v>
      </c>
      <c r="K12" s="13"/>
      <c r="L12" s="56">
        <f>VLOOKUP(J12,'【3】大区填-楼栋基准格局定价'!B:H,7,0)</f>
        <v>1612.1</v>
      </c>
      <c r="M12" s="57" t="str">
        <f t="shared" si="4"/>
        <v>适中</v>
      </c>
      <c r="N12" s="57">
        <v>14.44</v>
      </c>
      <c r="O12" s="36">
        <f>VLOOKUP($M$1&amp;M12,【1】定价因子!E:F,2,0)</f>
        <v>1</v>
      </c>
      <c r="P12" s="36" t="str">
        <f>IF(COUNTIFS(户型资产表!D:D,I12,户型资产表!G:G,"阳台门")&gt;0,"有","无")</f>
        <v>无</v>
      </c>
      <c r="Q12" s="36">
        <f>VLOOKUP($P$1&amp;P12,【1】定价因子!E:F,2,0)</f>
        <v>1</v>
      </c>
      <c r="R12" s="36" t="str">
        <f>IF('【2】运营中心填-基本信息&amp;审核标准'!$C$4="是","无",IF(INT(H12/100)&gt;9,"9F",INT(H12/100)&amp;"F"))</f>
        <v>3F</v>
      </c>
      <c r="S12" s="36">
        <f>VLOOKUP(R12,【1】定价因子!D:F,3,0)</f>
        <v>1.01</v>
      </c>
      <c r="T12" s="36" t="str">
        <f>IF('【2】运营中心填-基本信息&amp;审核标准'!$C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无</v>
      </c>
      <c r="U12" s="36">
        <f>VLOOKUP($T$1&amp;T12,【1】定价因子!E:F,2,0)</f>
        <v>1</v>
      </c>
      <c r="V12" s="36" t="str">
        <f>IF(COUNTIFS(户型资产表!D:D,I12,户型资产表!G:G,"操作台")&gt;0,"有","无")</f>
        <v>有</v>
      </c>
      <c r="W12" s="36" t="str">
        <f>IF(COUNTIFS(户型资产表!D:D,I12,户型资产表!G:G,"书桌")&gt;0,"有","无")</f>
        <v>有</v>
      </c>
      <c r="X12" s="36" t="str">
        <f>IF(COUNTIFS(户型资产表!D:D,I12,户型资产表!H:H,"单人沙发02")&gt;0,"有","无")</f>
        <v>无</v>
      </c>
      <c r="Y12" s="36" t="str">
        <f>IF(COUNTIFS(户型资产表!D:D,I12,户型资产表!H:H,"双人沙发01")&gt;0,"有","无")</f>
        <v>无</v>
      </c>
      <c r="Z12" s="36" t="str">
        <f>IF(COUNTIFS(户型资产表!D:D,I12,户型资产表!G:G,"餐桌")&gt;0,"有","无")</f>
        <v>无</v>
      </c>
      <c r="AA12" s="36" t="str">
        <f>IF(COUNTIFS(户型资产表!D:D,I12,户型资产表!G:G,"吸油烟机")&gt;0,"有","无")</f>
        <v>无</v>
      </c>
      <c r="AB12" s="36" t="str">
        <f>IF(COUNTIFS(户型资产表!D:D,I12,户型资产表!G:G,"冰箱")&gt;0,"有","无")</f>
        <v>无</v>
      </c>
      <c r="AC12" s="36" t="str">
        <f>IF(COUNTIFS(户型资产表!D:D,I12,户型资产表!G:G,"电视柜")&gt;0,"有","无")</f>
        <v>无</v>
      </c>
      <c r="AD12" s="57" t="str">
        <f t="shared" si="5"/>
        <v>适中</v>
      </c>
      <c r="AE12" s="36">
        <f>VLOOKUP($AD$1&amp;AD12,【1】定价因子!E:F,2,0)</f>
        <v>1</v>
      </c>
      <c r="AF12" s="57" t="str">
        <f t="shared" si="8"/>
        <v>适中</v>
      </c>
      <c r="AG12" s="36">
        <f>VLOOKUP($AF$1&amp;AF12,【1】定价因子!$E:$F,2,0)</f>
        <v>1</v>
      </c>
      <c r="AH12" s="57" t="str">
        <f t="shared" si="6"/>
        <v>适中</v>
      </c>
      <c r="AI12" s="36">
        <f>VLOOKUP($AH$1&amp;AH12,【1】定价因子!$E:$F,2,0)</f>
        <v>1</v>
      </c>
      <c r="AJ12" s="36" t="str">
        <f>VLOOKUP(H12,'【3-1】大区填-采光基本要素'!A:H,8,0)</f>
        <v>2</v>
      </c>
      <c r="AK12" s="36">
        <f>VLOOKUP($AJ$1&amp;AJ12,【1】定价因子!$E:$F,2,0)</f>
        <v>0.96</v>
      </c>
      <c r="AL12" s="58">
        <f t="shared" si="9"/>
        <v>1563.09216</v>
      </c>
      <c r="AM12" s="13">
        <v>1518</v>
      </c>
      <c r="AN12" s="59">
        <f t="shared" si="7"/>
        <v>-0.0288480494969663</v>
      </c>
    </row>
    <row r="13" spans="1:41">
      <c r="A13" s="53" t="str">
        <f>'【2】运营中心填-基本信息&amp;审核标准'!$E$2</f>
        <v>1-51栋</v>
      </c>
      <c r="B13" s="13">
        <f t="shared" si="2"/>
        <v>3</v>
      </c>
      <c r="C13" s="13">
        <f t="shared" si="0"/>
        <v>5</v>
      </c>
      <c r="D13" s="13">
        <f t="shared" si="1"/>
        <v>25</v>
      </c>
      <c r="E13" s="13"/>
      <c r="F13" s="13">
        <f t="shared" si="3"/>
        <v>5</v>
      </c>
      <c r="G13" s="13"/>
      <c r="H13" s="54">
        <v>304</v>
      </c>
      <c r="I13" s="55" t="s">
        <v>486</v>
      </c>
      <c r="J13" s="55" t="s">
        <v>40</v>
      </c>
      <c r="K13" s="13"/>
      <c r="L13" s="56">
        <f>VLOOKUP(J13,'【3】大区填-楼栋基准格局定价'!B:H,7,0)</f>
        <v>1612.1</v>
      </c>
      <c r="M13" s="57" t="str">
        <f t="shared" si="4"/>
        <v>适中</v>
      </c>
      <c r="N13" s="57">
        <v>16.5</v>
      </c>
      <c r="O13" s="36">
        <f>VLOOKUP($M$1&amp;M13,【1】定价因子!E:F,2,0)</f>
        <v>1</v>
      </c>
      <c r="P13" s="36" t="str">
        <f>IF(COUNTIFS(户型资产表!D:D,I13,户型资产表!G:G,"阳台门")&gt;0,"有","无")</f>
        <v>无</v>
      </c>
      <c r="Q13" s="36">
        <f>VLOOKUP($P$1&amp;P13,【1】定价因子!E:F,2,0)</f>
        <v>1</v>
      </c>
      <c r="R13" s="36" t="str">
        <f>IF('【2】运营中心填-基本信息&amp;审核标准'!$C$4="是","无",IF(INT(H13/100)&gt;9,"9F",INT(H13/100)&amp;"F"))</f>
        <v>3F</v>
      </c>
      <c r="S13" s="36">
        <f>VLOOKUP(R13,【1】定价因子!D:F,3,0)</f>
        <v>1.01</v>
      </c>
      <c r="T13" s="36" t="str">
        <f>IF('【2】运营中心填-基本信息&amp;审核标准'!$C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无</v>
      </c>
      <c r="U13" s="36">
        <f>VLOOKUP($T$1&amp;T13,【1】定价因子!E:F,2,0)</f>
        <v>1</v>
      </c>
      <c r="V13" s="36" t="str">
        <f>IF(COUNTIFS(户型资产表!D:D,I13,户型资产表!G:G,"操作台")&gt;0,"有","无")</f>
        <v>有</v>
      </c>
      <c r="W13" s="36" t="str">
        <f>IF(COUNTIFS(户型资产表!D:D,I13,户型资产表!G:G,"书桌")&gt;0,"有","无")</f>
        <v>有</v>
      </c>
      <c r="X13" s="36" t="str">
        <f>IF(COUNTIFS(户型资产表!D:D,I13,户型资产表!H:H,"单人沙发02")&gt;0,"有","无")</f>
        <v>无</v>
      </c>
      <c r="Y13" s="36" t="str">
        <f>IF(COUNTIFS(户型资产表!D:D,I13,户型资产表!H:H,"双人沙发01")&gt;0,"有","无")</f>
        <v>无</v>
      </c>
      <c r="Z13" s="36" t="str">
        <f>IF(COUNTIFS(户型资产表!D:D,I13,户型资产表!G:G,"餐桌")&gt;0,"有","无")</f>
        <v>无</v>
      </c>
      <c r="AA13" s="36" t="str">
        <f>IF(COUNTIFS(户型资产表!D:D,I13,户型资产表!G:G,"吸油烟机")&gt;0,"有","无")</f>
        <v>无</v>
      </c>
      <c r="AB13" s="36" t="str">
        <f>IF(COUNTIFS(户型资产表!D:D,I13,户型资产表!G:G,"冰箱")&gt;0,"有","无")</f>
        <v>无</v>
      </c>
      <c r="AC13" s="36" t="str">
        <f>IF(COUNTIFS(户型资产表!D:D,I13,户型资产表!G:G,"电视柜")&gt;0,"有","无")</f>
        <v>无</v>
      </c>
      <c r="AD13" s="57" t="str">
        <f t="shared" si="5"/>
        <v>适中</v>
      </c>
      <c r="AE13" s="36">
        <f>VLOOKUP($AD$1&amp;AD13,【1】定价因子!E:F,2,0)</f>
        <v>1</v>
      </c>
      <c r="AF13" s="57" t="str">
        <f t="shared" si="8"/>
        <v>适中</v>
      </c>
      <c r="AG13" s="36">
        <f>VLOOKUP($AF$1&amp;AF13,【1】定价因子!$E:$F,2,0)</f>
        <v>1</v>
      </c>
      <c r="AH13" s="57" t="str">
        <f t="shared" si="6"/>
        <v>适中</v>
      </c>
      <c r="AI13" s="36">
        <f>VLOOKUP($AH$1&amp;AH13,【1】定价因子!$E:$F,2,0)</f>
        <v>1</v>
      </c>
      <c r="AJ13" s="36" t="str">
        <f>VLOOKUP(H13,'【3-1】大区填-采光基本要素'!A:H,8,0)</f>
        <v>2</v>
      </c>
      <c r="AK13" s="36">
        <f>VLOOKUP($AJ$1&amp;AJ13,【1】定价因子!$E:$F,2,0)</f>
        <v>0.96</v>
      </c>
      <c r="AL13" s="58">
        <f t="shared" si="9"/>
        <v>1563.09216</v>
      </c>
      <c r="AM13" s="53">
        <v>1418</v>
      </c>
      <c r="AN13" s="59">
        <f t="shared" si="7"/>
        <v>-0.0928238038120541</v>
      </c>
    </row>
    <row r="14" s="28" customFormat="1" spans="1:41">
      <c r="A14" s="41" t="str">
        <f>'【2】运营中心填-基本信息&amp;审核标准'!$E$2</f>
        <v>1-51栋</v>
      </c>
      <c r="B14" s="41">
        <f t="shared" si="2"/>
        <v>3</v>
      </c>
      <c r="C14" s="41">
        <f t="shared" si="0"/>
        <v>5</v>
      </c>
      <c r="D14" s="41">
        <f t="shared" si="1"/>
        <v>25</v>
      </c>
      <c r="E14" s="41"/>
      <c r="F14" s="41">
        <f t="shared" si="3"/>
        <v>5</v>
      </c>
      <c r="G14" s="41"/>
      <c r="H14" s="42">
        <v>305</v>
      </c>
      <c r="I14" s="43" t="s">
        <v>483</v>
      </c>
      <c r="J14" s="43" t="s">
        <v>40</v>
      </c>
      <c r="K14" s="41"/>
      <c r="L14" s="44">
        <f>VLOOKUP(J14,'【3】大区填-楼栋基准格局定价'!B:H,7,0)</f>
        <v>1612.1</v>
      </c>
      <c r="M14" s="45" t="str">
        <f t="shared" si="4"/>
        <v>适中</v>
      </c>
      <c r="N14" s="45">
        <v>13.49</v>
      </c>
      <c r="O14" s="41">
        <f>VLOOKUP($M$1&amp;M14,【1】定价因子!E:F,2,0)</f>
        <v>1</v>
      </c>
      <c r="P14" s="41" t="str">
        <f>IF(COUNTIFS(户型资产表!D:D,I14,户型资产表!G:G,"阳台门")&gt;0,"有","无")</f>
        <v>无</v>
      </c>
      <c r="Q14" s="41">
        <f>VLOOKUP($P$1&amp;P14,【1】定价因子!E:F,2,0)</f>
        <v>1</v>
      </c>
      <c r="R14" s="41" t="str">
        <f>IF('【2】运营中心填-基本信息&amp;审核标准'!$C$4="是","无",IF(INT(H14/100)&gt;9,"9F",INT(H14/100)&amp;"F"))</f>
        <v>3F</v>
      </c>
      <c r="S14" s="41">
        <f>VLOOKUP(R14,【1】定价因子!D:F,3,0)</f>
        <v>1.01</v>
      </c>
      <c r="T14" s="41" t="str">
        <f>IF('【2】运营中心填-基本信息&amp;审核标准'!$C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无</v>
      </c>
      <c r="U14" s="41">
        <f>VLOOKUP($T$1&amp;T14,【1】定价因子!E:F,2,0)</f>
        <v>1</v>
      </c>
      <c r="V14" s="41" t="str">
        <f>IF(COUNTIFS(户型资产表!D:D,I14,户型资产表!G:G,"操作台")&gt;0,"有","无")</f>
        <v>有</v>
      </c>
      <c r="W14" s="41" t="str">
        <f>IF(COUNTIFS(户型资产表!D:D,I14,户型资产表!G:G,"书桌")&gt;0,"有","无")</f>
        <v>有</v>
      </c>
      <c r="X14" s="41" t="str">
        <f>IF(COUNTIFS(户型资产表!D:D,I14,户型资产表!H:H,"单人沙发02")&gt;0,"有","无")</f>
        <v>无</v>
      </c>
      <c r="Y14" s="41" t="str">
        <f>IF(COUNTIFS(户型资产表!D:D,I14,户型资产表!H:H,"双人沙发01")&gt;0,"有","无")</f>
        <v>无</v>
      </c>
      <c r="Z14" s="41" t="str">
        <f>IF(COUNTIFS(户型资产表!D:D,I14,户型资产表!G:G,"餐桌")&gt;0,"有","无")</f>
        <v>无</v>
      </c>
      <c r="AA14" s="41" t="str">
        <f>IF(COUNTIFS(户型资产表!D:D,I14,户型资产表!G:G,"吸油烟机")&gt;0,"有","无")</f>
        <v>无</v>
      </c>
      <c r="AB14" s="41" t="str">
        <f>IF(COUNTIFS(户型资产表!D:D,I14,户型资产表!G:G,"冰箱")&gt;0,"有","无")</f>
        <v>无</v>
      </c>
      <c r="AC14" s="41" t="str">
        <f>IF(COUNTIFS(户型资产表!D:D,I14,户型资产表!G:G,"电视柜")&gt;0,"有","无")</f>
        <v>无</v>
      </c>
      <c r="AD14" s="45" t="str">
        <f t="shared" si="5"/>
        <v>适中</v>
      </c>
      <c r="AE14" s="41">
        <f>VLOOKUP($AD$1&amp;AD14,【1】定价因子!E:F,2,0)</f>
        <v>1</v>
      </c>
      <c r="AF14" s="45" t="str">
        <f t="shared" si="8"/>
        <v>适中</v>
      </c>
      <c r="AG14" s="41">
        <f>VLOOKUP($AF$1&amp;AF14,【1】定价因子!$E:$F,2,0)</f>
        <v>1</v>
      </c>
      <c r="AH14" s="45" t="str">
        <f t="shared" si="6"/>
        <v>适中</v>
      </c>
      <c r="AI14" s="41">
        <f>VLOOKUP($AH$1&amp;AH14,【1】定价因子!$E:$F,2,0)</f>
        <v>1</v>
      </c>
      <c r="AJ14" s="41" t="str">
        <f>VLOOKUP(H14,'【3-1】大区填-采光基本要素'!A:H,8,0)</f>
        <v>1</v>
      </c>
      <c r="AK14" s="41">
        <f>VLOOKUP($AJ$1&amp;AJ14,【1】定价因子!$E:$F,2,0)</f>
        <v>0.91</v>
      </c>
      <c r="AL14" s="46">
        <f t="shared" si="9"/>
        <v>1481.68111</v>
      </c>
      <c r="AM14" s="41">
        <v>1100</v>
      </c>
      <c r="AN14" s="47">
        <f t="shared" si="7"/>
        <v>-0.257600037838101</v>
      </c>
      <c r="AO14" s="28">
        <v>1288</v>
      </c>
    </row>
    <row r="15" spans="1:41">
      <c r="A15" s="53" t="str">
        <f>'【2】运营中心填-基本信息&amp;审核标准'!$E$2</f>
        <v>1-51栋</v>
      </c>
      <c r="B15" s="13">
        <f t="shared" si="2"/>
        <v>4</v>
      </c>
      <c r="C15" s="13">
        <f t="shared" si="0"/>
        <v>5</v>
      </c>
      <c r="D15" s="13">
        <f t="shared" si="1"/>
        <v>25</v>
      </c>
      <c r="E15" s="13"/>
      <c r="F15" s="13">
        <f t="shared" si="3"/>
        <v>5</v>
      </c>
      <c r="G15" s="13"/>
      <c r="H15" s="54">
        <v>401</v>
      </c>
      <c r="I15" s="55" t="s">
        <v>483</v>
      </c>
      <c r="J15" s="55" t="s">
        <v>40</v>
      </c>
      <c r="K15" s="13"/>
      <c r="L15" s="56">
        <f>VLOOKUP(J15,'【3】大区填-楼栋基准格局定价'!B:H,7,0)</f>
        <v>1612.1</v>
      </c>
      <c r="M15" s="57" t="str">
        <f t="shared" si="4"/>
        <v>适中</v>
      </c>
      <c r="N15" s="57">
        <v>13.11</v>
      </c>
      <c r="O15" s="36">
        <f>VLOOKUP($M$1&amp;M15,【1】定价因子!E:F,2,0)</f>
        <v>1</v>
      </c>
      <c r="P15" s="36" t="str">
        <f>IF(COUNTIFS(户型资产表!D:D,I15,户型资产表!G:G,"阳台门")&gt;0,"有","无")</f>
        <v>无</v>
      </c>
      <c r="Q15" s="36">
        <f>VLOOKUP($P$1&amp;P15,【1】定价因子!E:F,2,0)</f>
        <v>1</v>
      </c>
      <c r="R15" s="36" t="str">
        <f>IF('【2】运营中心填-基本信息&amp;审核标准'!$C$4="是","无",IF(INT(H15/100)&gt;9,"9F",INT(H15/100)&amp;"F"))</f>
        <v>4F</v>
      </c>
      <c r="S15" s="36">
        <f>VLOOKUP(R15,【1】定价因子!D:F,3,0)</f>
        <v>1</v>
      </c>
      <c r="T15" s="36" t="str">
        <f>IF('【2】运营中心填-基本信息&amp;审核标准'!$C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无</v>
      </c>
      <c r="U15" s="36">
        <f>VLOOKUP($T$1&amp;T15,【1】定价因子!E:F,2,0)</f>
        <v>1</v>
      </c>
      <c r="V15" s="36" t="str">
        <f>IF(COUNTIFS(户型资产表!D:D,I15,户型资产表!G:G,"操作台")&gt;0,"有","无")</f>
        <v>有</v>
      </c>
      <c r="W15" s="36" t="str">
        <f>IF(COUNTIFS(户型资产表!D:D,I15,户型资产表!G:G,"书桌")&gt;0,"有","无")</f>
        <v>有</v>
      </c>
      <c r="X15" s="36" t="str">
        <f>IF(COUNTIFS(户型资产表!D:D,I15,户型资产表!H:H,"单人沙发02")&gt;0,"有","无")</f>
        <v>无</v>
      </c>
      <c r="Y15" s="36" t="str">
        <f>IF(COUNTIFS(户型资产表!D:D,I15,户型资产表!H:H,"双人沙发01")&gt;0,"有","无")</f>
        <v>无</v>
      </c>
      <c r="Z15" s="36" t="str">
        <f>IF(COUNTIFS(户型资产表!D:D,I15,户型资产表!G:G,"餐桌")&gt;0,"有","无")</f>
        <v>无</v>
      </c>
      <c r="AA15" s="36" t="str">
        <f>IF(COUNTIFS(户型资产表!D:D,I15,户型资产表!G:G,"吸油烟机")&gt;0,"有","无")</f>
        <v>无</v>
      </c>
      <c r="AB15" s="36" t="str">
        <f>IF(COUNTIFS(户型资产表!D:D,I15,户型资产表!G:G,"冰箱")&gt;0,"有","无")</f>
        <v>无</v>
      </c>
      <c r="AC15" s="36" t="str">
        <f>IF(COUNTIFS(户型资产表!D:D,I15,户型资产表!G:G,"电视柜")&gt;0,"有","无")</f>
        <v>无</v>
      </c>
      <c r="AD15" s="57" t="str">
        <f t="shared" si="5"/>
        <v>适中</v>
      </c>
      <c r="AE15" s="36">
        <f>VLOOKUP($AD$1&amp;AD15,【1】定价因子!E:F,2,0)</f>
        <v>1</v>
      </c>
      <c r="AF15" s="57" t="str">
        <f t="shared" si="8"/>
        <v>适中</v>
      </c>
      <c r="AG15" s="36">
        <f>VLOOKUP($AF$1&amp;AF15,【1】定价因子!$E:$F,2,0)</f>
        <v>1</v>
      </c>
      <c r="AH15" s="57" t="str">
        <f t="shared" si="6"/>
        <v>适中</v>
      </c>
      <c r="AI15" s="36">
        <f>VLOOKUP($AH$1&amp;AH15,【1】定价因子!$E:$F,2,0)</f>
        <v>1</v>
      </c>
      <c r="AJ15" s="36" t="str">
        <f>VLOOKUP(H15,'【3-1】大区填-采光基本要素'!A:H,8,0)</f>
        <v>1</v>
      </c>
      <c r="AK15" s="36">
        <f>VLOOKUP($AJ$1&amp;AJ15,【1】定价因子!$E:$F,2,0)</f>
        <v>0.91</v>
      </c>
      <c r="AL15" s="58">
        <f t="shared" si="9"/>
        <v>1467.011</v>
      </c>
      <c r="AM15" s="53">
        <v>1300</v>
      </c>
      <c r="AN15" s="59">
        <f t="shared" si="7"/>
        <v>-0.113844408801297</v>
      </c>
    </row>
    <row r="16" s="28" customFormat="1" spans="1:41">
      <c r="A16" s="41" t="str">
        <f>'【2】运营中心填-基本信息&amp;审核标准'!$E$2</f>
        <v>1-51栋</v>
      </c>
      <c r="B16" s="41">
        <f t="shared" si="2"/>
        <v>4</v>
      </c>
      <c r="C16" s="41">
        <f t="shared" si="0"/>
        <v>5</v>
      </c>
      <c r="D16" s="41">
        <f t="shared" si="1"/>
        <v>25</v>
      </c>
      <c r="E16" s="41"/>
      <c r="F16" s="41">
        <f t="shared" si="3"/>
        <v>5</v>
      </c>
      <c r="G16" s="41"/>
      <c r="H16" s="42">
        <v>402</v>
      </c>
      <c r="I16" s="43" t="s">
        <v>484</v>
      </c>
      <c r="J16" s="43" t="s">
        <v>40</v>
      </c>
      <c r="K16" s="41"/>
      <c r="L16" s="44">
        <f>VLOOKUP(J16,'【3】大区填-楼栋基准格局定价'!B:H,7,0)</f>
        <v>1612.1</v>
      </c>
      <c r="M16" s="45" t="str">
        <f t="shared" si="4"/>
        <v>适中</v>
      </c>
      <c r="N16" s="45">
        <v>16.13</v>
      </c>
      <c r="O16" s="41">
        <f>VLOOKUP($M$1&amp;M16,【1】定价因子!E:F,2,0)</f>
        <v>1</v>
      </c>
      <c r="P16" s="41" t="str">
        <f>IF(COUNTIFS(户型资产表!D:D,I16,户型资产表!G:G,"阳台门")&gt;0,"有","无")</f>
        <v>无</v>
      </c>
      <c r="Q16" s="41">
        <f>VLOOKUP($P$1&amp;P16,【1】定价因子!E:F,2,0)</f>
        <v>1</v>
      </c>
      <c r="R16" s="41" t="str">
        <f>IF('【2】运营中心填-基本信息&amp;审核标准'!$C$4="是","无",IF(INT(H16/100)&gt;9,"9F",INT(H16/100)&amp;"F"))</f>
        <v>4F</v>
      </c>
      <c r="S16" s="41">
        <f>VLOOKUP(R16,【1】定价因子!D:F,3,0)</f>
        <v>1</v>
      </c>
      <c r="T16" s="41" t="str">
        <f>IF('【2】运营中心填-基本信息&amp;审核标准'!$C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无</v>
      </c>
      <c r="U16" s="41">
        <f>VLOOKUP($T$1&amp;T16,【1】定价因子!E:F,2,0)</f>
        <v>1</v>
      </c>
      <c r="V16" s="41" t="str">
        <f>IF(COUNTIFS(户型资产表!D:D,I16,户型资产表!G:G,"操作台")&gt;0,"有","无")</f>
        <v>有</v>
      </c>
      <c r="W16" s="41" t="str">
        <f>IF(COUNTIFS(户型资产表!D:D,I16,户型资产表!G:G,"书桌")&gt;0,"有","无")</f>
        <v>有</v>
      </c>
      <c r="X16" s="41" t="str">
        <f>IF(COUNTIFS(户型资产表!D:D,I16,户型资产表!H:H,"单人沙发02")&gt;0,"有","无")</f>
        <v>无</v>
      </c>
      <c r="Y16" s="41" t="str">
        <f>IF(COUNTIFS(户型资产表!D:D,I16,户型资产表!H:H,"双人沙发01")&gt;0,"有","无")</f>
        <v>无</v>
      </c>
      <c r="Z16" s="41" t="str">
        <f>IF(COUNTIFS(户型资产表!D:D,I16,户型资产表!G:G,"餐桌")&gt;0,"有","无")</f>
        <v>无</v>
      </c>
      <c r="AA16" s="41" t="str">
        <f>IF(COUNTIFS(户型资产表!D:D,I16,户型资产表!G:G,"吸油烟机")&gt;0,"有","无")</f>
        <v>无</v>
      </c>
      <c r="AB16" s="41" t="str">
        <f>IF(COUNTIFS(户型资产表!D:D,I16,户型资产表!G:G,"冰箱")&gt;0,"有","无")</f>
        <v>无</v>
      </c>
      <c r="AC16" s="41" t="str">
        <f>IF(COUNTIFS(户型资产表!D:D,I16,户型资产表!G:G,"电视柜")&gt;0,"有","无")</f>
        <v>无</v>
      </c>
      <c r="AD16" s="45" t="str">
        <f t="shared" si="5"/>
        <v>适中</v>
      </c>
      <c r="AE16" s="41">
        <f>VLOOKUP($AD$1&amp;AD16,【1】定价因子!E:F,2,0)</f>
        <v>1</v>
      </c>
      <c r="AF16" s="45" t="str">
        <f t="shared" si="8"/>
        <v>适中</v>
      </c>
      <c r="AG16" s="41">
        <f>VLOOKUP($AF$1&amp;AF16,【1】定价因子!$E:$F,2,0)</f>
        <v>1</v>
      </c>
      <c r="AH16" s="45" t="str">
        <f t="shared" si="6"/>
        <v>适中</v>
      </c>
      <c r="AI16" s="41">
        <f>VLOOKUP($AH$1&amp;AH16,【1】定价因子!$E:$F,2,0)</f>
        <v>1</v>
      </c>
      <c r="AJ16" s="41" t="str">
        <f>VLOOKUP(H16,'【3-1】大区填-采光基本要素'!A:H,8,0)</f>
        <v>2</v>
      </c>
      <c r="AK16" s="41">
        <f>VLOOKUP($AJ$1&amp;AJ16,【1】定价因子!$E:$F,2,0)</f>
        <v>0.96</v>
      </c>
      <c r="AL16" s="46">
        <f t="shared" si="9"/>
        <v>1547.616</v>
      </c>
      <c r="AM16" s="41">
        <v>1350</v>
      </c>
      <c r="AN16" s="47">
        <f t="shared" si="7"/>
        <v>-0.127690589913777</v>
      </c>
      <c r="AO16" s="28">
        <v>1518</v>
      </c>
    </row>
    <row r="17" spans="1:41">
      <c r="A17" s="53" t="str">
        <f>'【2】运营中心填-基本信息&amp;审核标准'!$E$2</f>
        <v>1-51栋</v>
      </c>
      <c r="B17" s="13">
        <f t="shared" si="2"/>
        <v>4</v>
      </c>
      <c r="C17" s="13">
        <f t="shared" si="0"/>
        <v>5</v>
      </c>
      <c r="D17" s="13">
        <f t="shared" si="1"/>
        <v>25</v>
      </c>
      <c r="E17" s="13"/>
      <c r="F17" s="13">
        <f t="shared" si="3"/>
        <v>5</v>
      </c>
      <c r="G17" s="13"/>
      <c r="H17" s="54">
        <v>403</v>
      </c>
      <c r="I17" s="55" t="s">
        <v>485</v>
      </c>
      <c r="J17" s="55" t="s">
        <v>40</v>
      </c>
      <c r="K17" s="13"/>
      <c r="L17" s="56">
        <f>VLOOKUP(J17,'【3】大区填-楼栋基准格局定价'!B:H,7,0)</f>
        <v>1612.1</v>
      </c>
      <c r="M17" s="57" t="str">
        <f t="shared" si="4"/>
        <v>适中</v>
      </c>
      <c r="N17" s="57">
        <v>14.44</v>
      </c>
      <c r="O17" s="36">
        <f>VLOOKUP($M$1&amp;M17,【1】定价因子!E:F,2,0)</f>
        <v>1</v>
      </c>
      <c r="P17" s="36" t="str">
        <f>IF(COUNTIFS(户型资产表!D:D,I17,户型资产表!G:G,"阳台门")&gt;0,"有","无")</f>
        <v>无</v>
      </c>
      <c r="Q17" s="36">
        <f>VLOOKUP($P$1&amp;P17,【1】定价因子!E:F,2,0)</f>
        <v>1</v>
      </c>
      <c r="R17" s="36" t="str">
        <f>IF('【2】运营中心填-基本信息&amp;审核标准'!$C$4="是","无",IF(INT(H17/100)&gt;9,"9F",INT(H17/100)&amp;"F"))</f>
        <v>4F</v>
      </c>
      <c r="S17" s="36">
        <f>VLOOKUP(R17,【1】定价因子!D:F,3,0)</f>
        <v>1</v>
      </c>
      <c r="T17" s="36" t="str">
        <f>IF('【2】运营中心填-基本信息&amp;审核标准'!$C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无</v>
      </c>
      <c r="U17" s="36">
        <f>VLOOKUP($T$1&amp;T17,【1】定价因子!E:F,2,0)</f>
        <v>1</v>
      </c>
      <c r="V17" s="36" t="str">
        <f>IF(COUNTIFS(户型资产表!D:D,I17,户型资产表!G:G,"操作台")&gt;0,"有","无")</f>
        <v>有</v>
      </c>
      <c r="W17" s="36" t="str">
        <f>IF(COUNTIFS(户型资产表!D:D,I17,户型资产表!G:G,"书桌")&gt;0,"有","无")</f>
        <v>有</v>
      </c>
      <c r="X17" s="36" t="str">
        <f>IF(COUNTIFS(户型资产表!D:D,I17,户型资产表!H:H,"单人沙发02")&gt;0,"有","无")</f>
        <v>无</v>
      </c>
      <c r="Y17" s="36" t="str">
        <f>IF(COUNTIFS(户型资产表!D:D,I17,户型资产表!H:H,"双人沙发01")&gt;0,"有","无")</f>
        <v>无</v>
      </c>
      <c r="Z17" s="36" t="str">
        <f>IF(COUNTIFS(户型资产表!D:D,I17,户型资产表!G:G,"餐桌")&gt;0,"有","无")</f>
        <v>无</v>
      </c>
      <c r="AA17" s="36" t="str">
        <f>IF(COUNTIFS(户型资产表!D:D,I17,户型资产表!G:G,"吸油烟机")&gt;0,"有","无")</f>
        <v>无</v>
      </c>
      <c r="AB17" s="36" t="str">
        <f>IF(COUNTIFS(户型资产表!D:D,I17,户型资产表!G:G,"冰箱")&gt;0,"有","无")</f>
        <v>无</v>
      </c>
      <c r="AC17" s="36" t="str">
        <f>IF(COUNTIFS(户型资产表!D:D,I17,户型资产表!G:G,"电视柜")&gt;0,"有","无")</f>
        <v>无</v>
      </c>
      <c r="AD17" s="57" t="str">
        <f t="shared" si="5"/>
        <v>适中</v>
      </c>
      <c r="AE17" s="36">
        <f>VLOOKUP($AD$1&amp;AD17,【1】定价因子!E:F,2,0)</f>
        <v>1</v>
      </c>
      <c r="AF17" s="57" t="str">
        <f t="shared" si="8"/>
        <v>适中</v>
      </c>
      <c r="AG17" s="36">
        <f>VLOOKUP($AF$1&amp;AF17,【1】定价因子!$E:$F,2,0)</f>
        <v>1</v>
      </c>
      <c r="AH17" s="57" t="str">
        <f t="shared" si="6"/>
        <v>适中</v>
      </c>
      <c r="AI17" s="36">
        <f>VLOOKUP($AH$1&amp;AH17,【1】定价因子!$E:$F,2,0)</f>
        <v>1</v>
      </c>
      <c r="AJ17" s="36" t="str">
        <f>VLOOKUP(H17,'【3-1】大区填-采光基本要素'!A:H,8,0)</f>
        <v>2</v>
      </c>
      <c r="AK17" s="36">
        <f>VLOOKUP($AJ$1&amp;AJ17,【1】定价因子!$E:$F,2,0)</f>
        <v>0.96</v>
      </c>
      <c r="AL17" s="58">
        <f t="shared" si="9"/>
        <v>1547.616</v>
      </c>
      <c r="AM17" s="53">
        <v>1518</v>
      </c>
      <c r="AN17" s="59">
        <f t="shared" si="7"/>
        <v>-0.0191365299919359</v>
      </c>
    </row>
    <row r="18" s="28" customFormat="1" spans="1:41">
      <c r="A18" s="41" t="str">
        <f>'【2】运营中心填-基本信息&amp;审核标准'!$E$2</f>
        <v>1-51栋</v>
      </c>
      <c r="B18" s="41">
        <f t="shared" si="2"/>
        <v>4</v>
      </c>
      <c r="C18" s="41">
        <f t="shared" si="0"/>
        <v>5</v>
      </c>
      <c r="D18" s="41">
        <f t="shared" si="1"/>
        <v>25</v>
      </c>
      <c r="E18" s="41"/>
      <c r="F18" s="41">
        <f t="shared" si="3"/>
        <v>5</v>
      </c>
      <c r="G18" s="41"/>
      <c r="H18" s="42">
        <v>404</v>
      </c>
      <c r="I18" s="43" t="s">
        <v>486</v>
      </c>
      <c r="J18" s="43" t="s">
        <v>40</v>
      </c>
      <c r="K18" s="41"/>
      <c r="L18" s="44">
        <f>VLOOKUP(J18,'【3】大区填-楼栋基准格局定价'!B:H,7,0)</f>
        <v>1612.1</v>
      </c>
      <c r="M18" s="45" t="str">
        <f t="shared" si="4"/>
        <v>适中</v>
      </c>
      <c r="N18" s="45">
        <v>16.5</v>
      </c>
      <c r="O18" s="41">
        <f>VLOOKUP($M$1&amp;M18,【1】定价因子!E:F,2,0)</f>
        <v>1</v>
      </c>
      <c r="P18" s="41" t="str">
        <f>IF(COUNTIFS(户型资产表!D:D,I18,户型资产表!G:G,"阳台门")&gt;0,"有","无")</f>
        <v>无</v>
      </c>
      <c r="Q18" s="41">
        <f>VLOOKUP($P$1&amp;P18,【1】定价因子!E:F,2,0)</f>
        <v>1</v>
      </c>
      <c r="R18" s="41" t="str">
        <f>IF('【2】运营中心填-基本信息&amp;审核标准'!$C$4="是","无",IF(INT(H18/100)&gt;9,"9F",INT(H18/100)&amp;"F"))</f>
        <v>4F</v>
      </c>
      <c r="S18" s="41">
        <f>VLOOKUP(R18,【1】定价因子!D:F,3,0)</f>
        <v>1</v>
      </c>
      <c r="T18" s="41" t="str">
        <f>IF('【2】运营中心填-基本信息&amp;审核标准'!$C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无</v>
      </c>
      <c r="U18" s="41">
        <f>VLOOKUP($T$1&amp;T18,【1】定价因子!E:F,2,0)</f>
        <v>1</v>
      </c>
      <c r="V18" s="41" t="str">
        <f>IF(COUNTIFS(户型资产表!D:D,I18,户型资产表!G:G,"操作台")&gt;0,"有","无")</f>
        <v>有</v>
      </c>
      <c r="W18" s="41" t="str">
        <f>IF(COUNTIFS(户型资产表!D:D,I18,户型资产表!G:G,"书桌")&gt;0,"有","无")</f>
        <v>有</v>
      </c>
      <c r="X18" s="41" t="str">
        <f>IF(COUNTIFS(户型资产表!D:D,I18,户型资产表!H:H,"单人沙发02")&gt;0,"有","无")</f>
        <v>无</v>
      </c>
      <c r="Y18" s="41" t="str">
        <f>IF(COUNTIFS(户型资产表!D:D,I18,户型资产表!H:H,"双人沙发01")&gt;0,"有","无")</f>
        <v>无</v>
      </c>
      <c r="Z18" s="41" t="str">
        <f>IF(COUNTIFS(户型资产表!D:D,I18,户型资产表!G:G,"餐桌")&gt;0,"有","无")</f>
        <v>无</v>
      </c>
      <c r="AA18" s="41" t="str">
        <f>IF(COUNTIFS(户型资产表!D:D,I18,户型资产表!G:G,"吸油烟机")&gt;0,"有","无")</f>
        <v>无</v>
      </c>
      <c r="AB18" s="41" t="str">
        <f>IF(COUNTIFS(户型资产表!D:D,I18,户型资产表!G:G,"冰箱")&gt;0,"有","无")</f>
        <v>无</v>
      </c>
      <c r="AC18" s="41" t="str">
        <f>IF(COUNTIFS(户型资产表!D:D,I18,户型资产表!G:G,"电视柜")&gt;0,"有","无")</f>
        <v>无</v>
      </c>
      <c r="AD18" s="45" t="str">
        <f t="shared" si="5"/>
        <v>适中</v>
      </c>
      <c r="AE18" s="41">
        <f>VLOOKUP($AD$1&amp;AD18,【1】定价因子!E:F,2,0)</f>
        <v>1</v>
      </c>
      <c r="AF18" s="45" t="str">
        <f t="shared" si="8"/>
        <v>适中</v>
      </c>
      <c r="AG18" s="41">
        <f>VLOOKUP($AF$1&amp;AF18,【1】定价因子!$E:$F,2,0)</f>
        <v>1</v>
      </c>
      <c r="AH18" s="45" t="str">
        <f t="shared" si="6"/>
        <v>适中</v>
      </c>
      <c r="AI18" s="41">
        <f>VLOOKUP($AH$1&amp;AH18,【1】定价因子!$E:$F,2,0)</f>
        <v>1</v>
      </c>
      <c r="AJ18" s="41" t="str">
        <f>VLOOKUP(H18,'【3-1】大区填-采光基本要素'!A:H,8,0)</f>
        <v>2</v>
      </c>
      <c r="AK18" s="41">
        <f>VLOOKUP($AJ$1&amp;AJ18,【1】定价因子!$E:$F,2,0)</f>
        <v>0.96</v>
      </c>
      <c r="AL18" s="46">
        <f t="shared" si="9"/>
        <v>1547.616</v>
      </c>
      <c r="AM18" s="41">
        <v>1250</v>
      </c>
      <c r="AN18" s="47">
        <f t="shared" si="7"/>
        <v>-0.192306101772016</v>
      </c>
      <c r="AO18" s="28">
        <v>1418</v>
      </c>
    </row>
    <row r="19" s="29" customFormat="1" spans="1:41">
      <c r="A19" s="41" t="str">
        <f>'【2】运营中心填-基本信息&amp;审核标准'!$E$2</f>
        <v>1-51栋</v>
      </c>
      <c r="B19" s="48">
        <f t="shared" si="2"/>
        <v>4</v>
      </c>
      <c r="C19" s="48">
        <f t="shared" si="0"/>
        <v>5</v>
      </c>
      <c r="D19" s="48">
        <f t="shared" si="1"/>
        <v>25</v>
      </c>
      <c r="E19" s="48"/>
      <c r="F19" s="48">
        <f t="shared" si="3"/>
        <v>5</v>
      </c>
      <c r="G19" s="48"/>
      <c r="H19" s="49">
        <v>405</v>
      </c>
      <c r="I19" s="50" t="s">
        <v>483</v>
      </c>
      <c r="J19" s="50" t="s">
        <v>40</v>
      </c>
      <c r="K19" s="48"/>
      <c r="L19" s="51">
        <f>VLOOKUP(J19,'【3】大区填-楼栋基准格局定价'!B:H,7,0)</f>
        <v>1612.1</v>
      </c>
      <c r="M19" s="45" t="str">
        <f t="shared" si="4"/>
        <v>适中</v>
      </c>
      <c r="N19" s="45">
        <v>13.49</v>
      </c>
      <c r="O19" s="41">
        <f>VLOOKUP($M$1&amp;M19,【1】定价因子!E:F,2,0)</f>
        <v>1</v>
      </c>
      <c r="P19" s="41" t="str">
        <f>IF(COUNTIFS(户型资产表!D:D,I19,户型资产表!G:G,"阳台门")&gt;0,"有","无")</f>
        <v>无</v>
      </c>
      <c r="Q19" s="41">
        <f>VLOOKUP($P$1&amp;P19,【1】定价因子!E:F,2,0)</f>
        <v>1</v>
      </c>
      <c r="R19" s="41" t="str">
        <f>IF('【2】运营中心填-基本信息&amp;审核标准'!$C$4="是","无",IF(INT(H19/100)&gt;9,"9F",INT(H19/100)&amp;"F"))</f>
        <v>4F</v>
      </c>
      <c r="S19" s="41">
        <f>VLOOKUP(R19,【1】定价因子!D:F,3,0)</f>
        <v>1</v>
      </c>
      <c r="T19" s="41" t="str">
        <f>IF('【2】运营中心填-基本信息&amp;审核标准'!$C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无</v>
      </c>
      <c r="U19" s="41">
        <f>VLOOKUP($T$1&amp;T19,【1】定价因子!E:F,2,0)</f>
        <v>1</v>
      </c>
      <c r="V19" s="41" t="str">
        <f>IF(COUNTIFS(户型资产表!D:D,I19,户型资产表!G:G,"操作台")&gt;0,"有","无")</f>
        <v>有</v>
      </c>
      <c r="W19" s="41" t="str">
        <f>IF(COUNTIFS(户型资产表!D:D,I19,户型资产表!G:G,"书桌")&gt;0,"有","无")</f>
        <v>有</v>
      </c>
      <c r="X19" s="41" t="str">
        <f>IF(COUNTIFS(户型资产表!D:D,I19,户型资产表!H:H,"单人沙发02")&gt;0,"有","无")</f>
        <v>无</v>
      </c>
      <c r="Y19" s="41" t="str">
        <f>IF(COUNTIFS(户型资产表!D:D,I19,户型资产表!H:H,"双人沙发01")&gt;0,"有","无")</f>
        <v>无</v>
      </c>
      <c r="Z19" s="41" t="str">
        <f>IF(COUNTIFS(户型资产表!D:D,I19,户型资产表!G:G,"餐桌")&gt;0,"有","无")</f>
        <v>无</v>
      </c>
      <c r="AA19" s="41" t="str">
        <f>IF(COUNTIFS(户型资产表!D:D,I19,户型资产表!G:G,"吸油烟机")&gt;0,"有","无")</f>
        <v>无</v>
      </c>
      <c r="AB19" s="41" t="str">
        <f>IF(COUNTIFS(户型资产表!D:D,I19,户型资产表!G:G,"冰箱")&gt;0,"有","无")</f>
        <v>无</v>
      </c>
      <c r="AC19" s="41" t="str">
        <f>IF(COUNTIFS(户型资产表!D:D,I19,户型资产表!G:G,"电视柜")&gt;0,"有","无")</f>
        <v>无</v>
      </c>
      <c r="AD19" s="45" t="str">
        <f t="shared" si="5"/>
        <v>适中</v>
      </c>
      <c r="AE19" s="41">
        <f>VLOOKUP($AD$1&amp;AD19,【1】定价因子!E:F,2,0)</f>
        <v>1</v>
      </c>
      <c r="AF19" s="45" t="str">
        <f t="shared" si="8"/>
        <v>适中</v>
      </c>
      <c r="AG19" s="41">
        <f>VLOOKUP($AF$1&amp;AF19,【1】定价因子!$E:$F,2,0)</f>
        <v>1</v>
      </c>
      <c r="AH19" s="45" t="str">
        <f t="shared" si="6"/>
        <v>适中</v>
      </c>
      <c r="AI19" s="41">
        <f>VLOOKUP($AH$1&amp;AH19,【1】定价因子!$E:$F,2,0)</f>
        <v>1</v>
      </c>
      <c r="AJ19" s="41" t="str">
        <f>VLOOKUP(H19,'【3-1】大区填-采光基本要素'!A:H,8,0)</f>
        <v>1</v>
      </c>
      <c r="AK19" s="41">
        <f>VLOOKUP($AJ$1&amp;AJ19,【1】定价因子!$E:$F,2,0)</f>
        <v>0.91</v>
      </c>
      <c r="AL19" s="46">
        <f t="shared" si="9"/>
        <v>1467.011</v>
      </c>
      <c r="AM19" s="41">
        <v>1150</v>
      </c>
      <c r="AN19" s="52">
        <f t="shared" si="7"/>
        <v>-0.216093130862686</v>
      </c>
      <c r="AO19" s="29">
        <v>1300</v>
      </c>
    </row>
    <row r="20" s="28" customFormat="1" spans="1:41">
      <c r="A20" s="41" t="str">
        <f>'【2】运营中心填-基本信息&amp;审核标准'!$E$2</f>
        <v>1-51栋</v>
      </c>
      <c r="B20" s="41">
        <f t="shared" si="2"/>
        <v>5</v>
      </c>
      <c r="C20" s="41">
        <f t="shared" si="0"/>
        <v>5</v>
      </c>
      <c r="D20" s="41">
        <f t="shared" si="1"/>
        <v>25</v>
      </c>
      <c r="E20" s="41"/>
      <c r="F20" s="41">
        <f t="shared" si="3"/>
        <v>5</v>
      </c>
      <c r="G20" s="41"/>
      <c r="H20" s="42">
        <v>501</v>
      </c>
      <c r="I20" s="43" t="s">
        <v>483</v>
      </c>
      <c r="J20" s="43" t="s">
        <v>40</v>
      </c>
      <c r="K20" s="41"/>
      <c r="L20" s="44">
        <f>VLOOKUP(J20,'【3】大区填-楼栋基准格局定价'!B:H,7,0)</f>
        <v>1612.1</v>
      </c>
      <c r="M20" s="45" t="str">
        <f t="shared" si="4"/>
        <v>适中</v>
      </c>
      <c r="N20" s="45">
        <v>13.11</v>
      </c>
      <c r="O20" s="41">
        <f>VLOOKUP($M$1&amp;M20,【1】定价因子!E:F,2,0)</f>
        <v>1</v>
      </c>
      <c r="P20" s="41" t="str">
        <f>IF(COUNTIFS(户型资产表!D:D,I20,户型资产表!G:G,"阳台门")&gt;0,"有","无")</f>
        <v>无</v>
      </c>
      <c r="Q20" s="41">
        <f>VLOOKUP($P$1&amp;P20,【1】定价因子!E:F,2,0)</f>
        <v>1</v>
      </c>
      <c r="R20" s="41" t="str">
        <f>IF('【2】运营中心填-基本信息&amp;审核标准'!$C$4="是","无",IF(INT(H20/100)&gt;9,"9F",INT(H20/100)&amp;"F"))</f>
        <v>5F</v>
      </c>
      <c r="S20" s="41">
        <f>VLOOKUP(R20,【1】定价因子!D:F,3,0)</f>
        <v>0.99</v>
      </c>
      <c r="T20" s="41" t="str">
        <f>IF('【2】运营中心填-基本信息&amp;审核标准'!$C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无</v>
      </c>
      <c r="U20" s="41">
        <f>VLOOKUP($T$1&amp;T20,【1】定价因子!E:F,2,0)</f>
        <v>1</v>
      </c>
      <c r="V20" s="41" t="str">
        <f>IF(COUNTIFS(户型资产表!D:D,I20,户型资产表!G:G,"操作台")&gt;0,"有","无")</f>
        <v>有</v>
      </c>
      <c r="W20" s="41" t="str">
        <f>IF(COUNTIFS(户型资产表!D:D,I20,户型资产表!G:G,"书桌")&gt;0,"有","无")</f>
        <v>有</v>
      </c>
      <c r="X20" s="41" t="str">
        <f>IF(COUNTIFS(户型资产表!D:D,I20,户型资产表!H:H,"单人沙发02")&gt;0,"有","无")</f>
        <v>无</v>
      </c>
      <c r="Y20" s="41" t="str">
        <f>IF(COUNTIFS(户型资产表!D:D,I20,户型资产表!H:H,"双人沙发01")&gt;0,"有","无")</f>
        <v>无</v>
      </c>
      <c r="Z20" s="41" t="str">
        <f>IF(COUNTIFS(户型资产表!D:D,I20,户型资产表!G:G,"餐桌")&gt;0,"有","无")</f>
        <v>无</v>
      </c>
      <c r="AA20" s="41" t="str">
        <f>IF(COUNTIFS(户型资产表!D:D,I20,户型资产表!G:G,"吸油烟机")&gt;0,"有","无")</f>
        <v>无</v>
      </c>
      <c r="AB20" s="41" t="str">
        <f>IF(COUNTIFS(户型资产表!D:D,I20,户型资产表!G:G,"冰箱")&gt;0,"有","无")</f>
        <v>无</v>
      </c>
      <c r="AC20" s="41" t="str">
        <f>IF(COUNTIFS(户型资产表!D:D,I20,户型资产表!G:G,"电视柜")&gt;0,"有","无")</f>
        <v>无</v>
      </c>
      <c r="AD20" s="45" t="str">
        <f t="shared" si="5"/>
        <v>适中</v>
      </c>
      <c r="AE20" s="41">
        <f>VLOOKUP($AD$1&amp;AD20,【1】定价因子!E:F,2,0)</f>
        <v>1</v>
      </c>
      <c r="AF20" s="45" t="str">
        <f t="shared" si="8"/>
        <v>适中</v>
      </c>
      <c r="AG20" s="41">
        <f>VLOOKUP($AF$1&amp;AF20,【1】定价因子!$E:$F,2,0)</f>
        <v>1</v>
      </c>
      <c r="AH20" s="45" t="str">
        <f t="shared" si="6"/>
        <v>适中</v>
      </c>
      <c r="AI20" s="41">
        <f>VLOOKUP($AH$1&amp;AH20,【1】定价因子!$E:$F,2,0)</f>
        <v>1</v>
      </c>
      <c r="AJ20" s="41">
        <v>3</v>
      </c>
      <c r="AK20" s="41">
        <f>VLOOKUP($AJ$1&amp;AJ20,【1】定价因子!$E:$F,2,0)</f>
        <v>1</v>
      </c>
      <c r="AL20" s="46">
        <f t="shared" si="9"/>
        <v>1595.979</v>
      </c>
      <c r="AM20" s="41">
        <v>1100</v>
      </c>
      <c r="AN20" s="47">
        <f t="shared" si="7"/>
        <v>-0.31076787351212</v>
      </c>
      <c r="AO20" s="28">
        <v>1438</v>
      </c>
    </row>
    <row r="21" spans="1:41">
      <c r="A21" s="53" t="str">
        <f>'【2】运营中心填-基本信息&amp;审核标准'!$E$2</f>
        <v>1-51栋</v>
      </c>
      <c r="B21" s="13">
        <f t="shared" si="2"/>
        <v>5</v>
      </c>
      <c r="C21" s="13">
        <f t="shared" si="0"/>
        <v>5</v>
      </c>
      <c r="D21" s="13">
        <f t="shared" si="1"/>
        <v>25</v>
      </c>
      <c r="E21" s="13"/>
      <c r="F21" s="13">
        <f t="shared" si="3"/>
        <v>5</v>
      </c>
      <c r="G21" s="13"/>
      <c r="H21" s="54">
        <v>502</v>
      </c>
      <c r="I21" s="55" t="s">
        <v>484</v>
      </c>
      <c r="J21" s="55" t="s">
        <v>40</v>
      </c>
      <c r="K21" s="13"/>
      <c r="L21" s="56">
        <f>VLOOKUP(J21,'【3】大区填-楼栋基准格局定价'!B:H,7,0)</f>
        <v>1612.1</v>
      </c>
      <c r="M21" s="57" t="str">
        <f t="shared" si="4"/>
        <v>适中</v>
      </c>
      <c r="N21" s="57">
        <v>16.13</v>
      </c>
      <c r="O21" s="36">
        <f>VLOOKUP($M$1&amp;M21,【1】定价因子!E:F,2,0)</f>
        <v>1</v>
      </c>
      <c r="P21" s="36" t="str">
        <f>IF(COUNTIFS(户型资产表!D:D,I21,户型资产表!G:G,"阳台门")&gt;0,"有","无")</f>
        <v>无</v>
      </c>
      <c r="Q21" s="36">
        <f>VLOOKUP($P$1&amp;P21,【1】定价因子!E:F,2,0)</f>
        <v>1</v>
      </c>
      <c r="R21" s="36" t="str">
        <f>IF('【2】运营中心填-基本信息&amp;审核标准'!$C$4="是","无",IF(INT(H21/100)&gt;9,"9F",INT(H21/100)&amp;"F"))</f>
        <v>5F</v>
      </c>
      <c r="S21" s="36">
        <f>VLOOKUP(R21,【1】定价因子!D:F,3,0)</f>
        <v>0.99</v>
      </c>
      <c r="T21" s="36" t="str">
        <f>IF('【2】运营中心填-基本信息&amp;审核标准'!$C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无</v>
      </c>
      <c r="U21" s="36">
        <f>VLOOKUP($T$1&amp;T21,【1】定价因子!E:F,2,0)</f>
        <v>1</v>
      </c>
      <c r="V21" s="36" t="str">
        <f>IF(COUNTIFS(户型资产表!D:D,I21,户型资产表!G:G,"操作台")&gt;0,"有","无")</f>
        <v>有</v>
      </c>
      <c r="W21" s="36" t="str">
        <f>IF(COUNTIFS(户型资产表!D:D,I21,户型资产表!G:G,"书桌")&gt;0,"有","无")</f>
        <v>有</v>
      </c>
      <c r="X21" s="36" t="str">
        <f>IF(COUNTIFS(户型资产表!D:D,I21,户型资产表!H:H,"单人沙发02")&gt;0,"有","无")</f>
        <v>无</v>
      </c>
      <c r="Y21" s="36" t="str">
        <f>IF(COUNTIFS(户型资产表!D:D,I21,户型资产表!H:H,"双人沙发01")&gt;0,"有","无")</f>
        <v>无</v>
      </c>
      <c r="Z21" s="36" t="str">
        <f>IF(COUNTIFS(户型资产表!D:D,I21,户型资产表!G:G,"餐桌")&gt;0,"有","无")</f>
        <v>无</v>
      </c>
      <c r="AA21" s="36" t="str">
        <f>IF(COUNTIFS(户型资产表!D:D,I21,户型资产表!G:G,"吸油烟机")&gt;0,"有","无")</f>
        <v>无</v>
      </c>
      <c r="AB21" s="36" t="str">
        <f>IF(COUNTIFS(户型资产表!D:D,I21,户型资产表!G:G,"冰箱")&gt;0,"有","无")</f>
        <v>无</v>
      </c>
      <c r="AC21" s="36" t="str">
        <f>IF(COUNTIFS(户型资产表!D:D,I21,户型资产表!G:G,"电视柜")&gt;0,"有","无")</f>
        <v>无</v>
      </c>
      <c r="AD21" s="57" t="str">
        <f t="shared" si="5"/>
        <v>适中</v>
      </c>
      <c r="AE21" s="36">
        <f>VLOOKUP($AD$1&amp;AD21,【1】定价因子!E:F,2,0)</f>
        <v>1</v>
      </c>
      <c r="AF21" s="57" t="str">
        <f t="shared" si="8"/>
        <v>适中</v>
      </c>
      <c r="AG21" s="36">
        <f>VLOOKUP($AF$1&amp;AF21,【1】定价因子!$E:$F,2,0)</f>
        <v>1</v>
      </c>
      <c r="AH21" s="57" t="str">
        <f t="shared" si="6"/>
        <v>适中</v>
      </c>
      <c r="AI21" s="36">
        <f>VLOOKUP($AH$1&amp;AH21,【1】定价因子!$E:$F,2,0)</f>
        <v>1</v>
      </c>
      <c r="AJ21" s="36">
        <v>3</v>
      </c>
      <c r="AK21" s="36">
        <f>VLOOKUP($AJ$1&amp;AJ21,【1】定价因子!$E:$F,2,0)</f>
        <v>1</v>
      </c>
      <c r="AL21" s="58">
        <f t="shared" si="9"/>
        <v>1595.979</v>
      </c>
      <c r="AM21" s="53">
        <v>1518</v>
      </c>
      <c r="AN21" s="59">
        <f t="shared" si="7"/>
        <v>-0.0488596654467258</v>
      </c>
    </row>
    <row r="22" s="28" customFormat="1" spans="1:41">
      <c r="A22" s="41" t="str">
        <f>'【2】运营中心填-基本信息&amp;审核标准'!$E$2</f>
        <v>1-51栋</v>
      </c>
      <c r="B22" s="41">
        <f t="shared" si="2"/>
        <v>5</v>
      </c>
      <c r="C22" s="41">
        <f t="shared" si="0"/>
        <v>5</v>
      </c>
      <c r="D22" s="41">
        <f t="shared" si="1"/>
        <v>25</v>
      </c>
      <c r="E22" s="41"/>
      <c r="F22" s="41">
        <f t="shared" si="3"/>
        <v>5</v>
      </c>
      <c r="G22" s="41"/>
      <c r="H22" s="42">
        <v>503</v>
      </c>
      <c r="I22" s="43" t="s">
        <v>485</v>
      </c>
      <c r="J22" s="43" t="s">
        <v>40</v>
      </c>
      <c r="K22" s="41"/>
      <c r="L22" s="44">
        <f>VLOOKUP(J22,'【3】大区填-楼栋基准格局定价'!B:H,7,0)</f>
        <v>1612.1</v>
      </c>
      <c r="M22" s="45" t="str">
        <f t="shared" si="4"/>
        <v>适中</v>
      </c>
      <c r="N22" s="45">
        <v>14.44</v>
      </c>
      <c r="O22" s="41">
        <f>VLOOKUP($M$1&amp;M22,【1】定价因子!E:F,2,0)</f>
        <v>1</v>
      </c>
      <c r="P22" s="41" t="str">
        <f>IF(COUNTIFS(户型资产表!D:D,I22,户型资产表!G:G,"阳台门")&gt;0,"有","无")</f>
        <v>无</v>
      </c>
      <c r="Q22" s="41">
        <f>VLOOKUP($P$1&amp;P22,【1】定价因子!E:F,2,0)</f>
        <v>1</v>
      </c>
      <c r="R22" s="41" t="str">
        <f>IF('【2】运营中心填-基本信息&amp;审核标准'!$C$4="是","无",IF(INT(H22/100)&gt;9,"9F",INT(H22/100)&amp;"F"))</f>
        <v>5F</v>
      </c>
      <c r="S22" s="41">
        <f>VLOOKUP(R22,【1】定价因子!D:F,3,0)</f>
        <v>0.99</v>
      </c>
      <c r="T22" s="41" t="str">
        <f>IF('【2】运营中心填-基本信息&amp;审核标准'!$C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无</v>
      </c>
      <c r="U22" s="41">
        <f>VLOOKUP($T$1&amp;T22,【1】定价因子!E:F,2,0)</f>
        <v>1</v>
      </c>
      <c r="V22" s="41" t="str">
        <f>IF(COUNTIFS(户型资产表!D:D,I22,户型资产表!G:G,"操作台")&gt;0,"有","无")</f>
        <v>有</v>
      </c>
      <c r="W22" s="41" t="str">
        <f>IF(COUNTIFS(户型资产表!D:D,I22,户型资产表!G:G,"书桌")&gt;0,"有","无")</f>
        <v>有</v>
      </c>
      <c r="X22" s="41" t="str">
        <f>IF(COUNTIFS(户型资产表!D:D,I22,户型资产表!H:H,"单人沙发02")&gt;0,"有","无")</f>
        <v>无</v>
      </c>
      <c r="Y22" s="41" t="str">
        <f>IF(COUNTIFS(户型资产表!D:D,I22,户型资产表!H:H,"双人沙发01")&gt;0,"有","无")</f>
        <v>无</v>
      </c>
      <c r="Z22" s="41" t="str">
        <f>IF(COUNTIFS(户型资产表!D:D,I22,户型资产表!G:G,"餐桌")&gt;0,"有","无")</f>
        <v>无</v>
      </c>
      <c r="AA22" s="41" t="str">
        <f>IF(COUNTIFS(户型资产表!D:D,I22,户型资产表!G:G,"吸油烟机")&gt;0,"有","无")</f>
        <v>无</v>
      </c>
      <c r="AB22" s="41" t="str">
        <f>IF(COUNTIFS(户型资产表!D:D,I22,户型资产表!G:G,"冰箱")&gt;0,"有","无")</f>
        <v>无</v>
      </c>
      <c r="AC22" s="41" t="str">
        <f>IF(COUNTIFS(户型资产表!D:D,I22,户型资产表!G:G,"电视柜")&gt;0,"有","无")</f>
        <v>无</v>
      </c>
      <c r="AD22" s="45" t="str">
        <f t="shared" si="5"/>
        <v>适中</v>
      </c>
      <c r="AE22" s="41">
        <f>VLOOKUP($AD$1&amp;AD22,【1】定价因子!E:F,2,0)</f>
        <v>1</v>
      </c>
      <c r="AF22" s="45" t="str">
        <f t="shared" si="8"/>
        <v>适中</v>
      </c>
      <c r="AG22" s="41">
        <f>VLOOKUP($AF$1&amp;AF22,【1】定价因子!$E:$F,2,0)</f>
        <v>1</v>
      </c>
      <c r="AH22" s="45" t="str">
        <f t="shared" si="6"/>
        <v>适中</v>
      </c>
      <c r="AI22" s="41">
        <f>VLOOKUP($AH$1&amp;AH22,【1】定价因子!$E:$F,2,0)</f>
        <v>1</v>
      </c>
      <c r="AJ22" s="41">
        <v>3</v>
      </c>
      <c r="AK22" s="41">
        <f>VLOOKUP($AJ$1&amp;AJ22,【1】定价因子!$E:$F,2,0)</f>
        <v>1</v>
      </c>
      <c r="AL22" s="46">
        <f t="shared" si="9"/>
        <v>1595.979</v>
      </c>
      <c r="AM22" s="41">
        <v>1350</v>
      </c>
      <c r="AN22" s="47">
        <f t="shared" si="7"/>
        <v>-0.154124208401238</v>
      </c>
      <c r="AO22" s="28">
        <v>1518</v>
      </c>
    </row>
    <row r="23" s="28" customFormat="1" spans="1:41">
      <c r="A23" s="41" t="str">
        <f>'【2】运营中心填-基本信息&amp;审核标准'!$E$2</f>
        <v>1-51栋</v>
      </c>
      <c r="B23" s="41">
        <f t="shared" si="2"/>
        <v>5</v>
      </c>
      <c r="C23" s="41">
        <f t="shared" si="0"/>
        <v>5</v>
      </c>
      <c r="D23" s="41">
        <f t="shared" si="1"/>
        <v>25</v>
      </c>
      <c r="E23" s="41"/>
      <c r="F23" s="41">
        <f t="shared" si="3"/>
        <v>5</v>
      </c>
      <c r="G23" s="41"/>
      <c r="H23" s="42">
        <v>504</v>
      </c>
      <c r="I23" s="43" t="s">
        <v>486</v>
      </c>
      <c r="J23" s="43" t="s">
        <v>40</v>
      </c>
      <c r="K23" s="41"/>
      <c r="L23" s="44">
        <f>VLOOKUP(J23,'【3】大区填-楼栋基准格局定价'!B:H,7,0)</f>
        <v>1612.1</v>
      </c>
      <c r="M23" s="45" t="str">
        <f t="shared" si="4"/>
        <v>适中</v>
      </c>
      <c r="N23" s="45">
        <v>16.5</v>
      </c>
      <c r="O23" s="41">
        <f>VLOOKUP($M$1&amp;M23,【1】定价因子!E:F,2,0)</f>
        <v>1</v>
      </c>
      <c r="P23" s="41" t="str">
        <f>IF(COUNTIFS(户型资产表!D:D,I23,户型资产表!G:G,"阳台门")&gt;0,"有","无")</f>
        <v>无</v>
      </c>
      <c r="Q23" s="41">
        <f>VLOOKUP($P$1&amp;P23,【1】定价因子!E:F,2,0)</f>
        <v>1</v>
      </c>
      <c r="R23" s="41" t="str">
        <f>IF('【2】运营中心填-基本信息&amp;审核标准'!$C$4="是","无",IF(INT(H23/100)&gt;9,"9F",INT(H23/100)&amp;"F"))</f>
        <v>5F</v>
      </c>
      <c r="S23" s="41">
        <f>VLOOKUP(R23,【1】定价因子!D:F,3,0)</f>
        <v>0.99</v>
      </c>
      <c r="T23" s="41" t="str">
        <f>IF('【2】运营中心填-基本信息&amp;审核标准'!$C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无</v>
      </c>
      <c r="U23" s="41">
        <f>VLOOKUP($T$1&amp;T23,【1】定价因子!E:F,2,0)</f>
        <v>1</v>
      </c>
      <c r="V23" s="41" t="str">
        <f>IF(COUNTIFS(户型资产表!D:D,I23,户型资产表!G:G,"操作台")&gt;0,"有","无")</f>
        <v>有</v>
      </c>
      <c r="W23" s="41" t="str">
        <f>IF(COUNTIFS(户型资产表!D:D,I23,户型资产表!G:G,"书桌")&gt;0,"有","无")</f>
        <v>有</v>
      </c>
      <c r="X23" s="41" t="str">
        <f>IF(COUNTIFS(户型资产表!D:D,I23,户型资产表!H:H,"单人沙发02")&gt;0,"有","无")</f>
        <v>无</v>
      </c>
      <c r="Y23" s="41" t="str">
        <f>IF(COUNTIFS(户型资产表!D:D,I23,户型资产表!H:H,"双人沙发01")&gt;0,"有","无")</f>
        <v>无</v>
      </c>
      <c r="Z23" s="41" t="str">
        <f>IF(COUNTIFS(户型资产表!D:D,I23,户型资产表!G:G,"餐桌")&gt;0,"有","无")</f>
        <v>无</v>
      </c>
      <c r="AA23" s="41" t="str">
        <f>IF(COUNTIFS(户型资产表!D:D,I23,户型资产表!G:G,"吸油烟机")&gt;0,"有","无")</f>
        <v>无</v>
      </c>
      <c r="AB23" s="41" t="str">
        <f>IF(COUNTIFS(户型资产表!D:D,I23,户型资产表!G:G,"冰箱")&gt;0,"有","无")</f>
        <v>无</v>
      </c>
      <c r="AC23" s="41" t="str">
        <f>IF(COUNTIFS(户型资产表!D:D,I23,户型资产表!G:G,"电视柜")&gt;0,"有","无")</f>
        <v>无</v>
      </c>
      <c r="AD23" s="45" t="str">
        <f t="shared" si="5"/>
        <v>适中</v>
      </c>
      <c r="AE23" s="41">
        <f>VLOOKUP($AD$1&amp;AD23,【1】定价因子!E:F,2,0)</f>
        <v>1</v>
      </c>
      <c r="AF23" s="45" t="str">
        <f t="shared" si="8"/>
        <v>适中</v>
      </c>
      <c r="AG23" s="41">
        <f>VLOOKUP($AF$1&amp;AF23,【1】定价因子!$E:$F,2,0)</f>
        <v>1</v>
      </c>
      <c r="AH23" s="45" t="str">
        <f t="shared" si="6"/>
        <v>适中</v>
      </c>
      <c r="AI23" s="41">
        <f>VLOOKUP($AH$1&amp;AH23,【1】定价因子!$E:$F,2,0)</f>
        <v>1</v>
      </c>
      <c r="AJ23" s="41">
        <v>3</v>
      </c>
      <c r="AK23" s="41">
        <f>VLOOKUP($AJ$1&amp;AJ23,【1】定价因子!$E:$F,2,0)</f>
        <v>1</v>
      </c>
      <c r="AL23" s="46">
        <f t="shared" si="9"/>
        <v>1595.979</v>
      </c>
      <c r="AM23" s="41">
        <v>1250</v>
      </c>
      <c r="AN23" s="47">
        <f t="shared" si="7"/>
        <v>-0.216781674445591</v>
      </c>
      <c r="AO23" s="28">
        <v>1418</v>
      </c>
    </row>
    <row r="24" s="28" customFormat="1" spans="1:41">
      <c r="A24" s="41" t="str">
        <f>'【2】运营中心填-基本信息&amp;审核标准'!$E$2</f>
        <v>1-51栋</v>
      </c>
      <c r="B24" s="41">
        <f t="shared" si="2"/>
        <v>5</v>
      </c>
      <c r="C24" s="41">
        <f t="shared" si="0"/>
        <v>5</v>
      </c>
      <c r="D24" s="41">
        <f t="shared" si="1"/>
        <v>25</v>
      </c>
      <c r="E24" s="41"/>
      <c r="F24" s="41">
        <f t="shared" si="3"/>
        <v>5</v>
      </c>
      <c r="G24" s="41"/>
      <c r="H24" s="42">
        <v>505</v>
      </c>
      <c r="I24" s="43" t="s">
        <v>483</v>
      </c>
      <c r="J24" s="43" t="s">
        <v>40</v>
      </c>
      <c r="K24" s="41"/>
      <c r="L24" s="44">
        <f>VLOOKUP(J24,'【3】大区填-楼栋基准格局定价'!B:H,7,0)</f>
        <v>1612.1</v>
      </c>
      <c r="M24" s="45" t="str">
        <f t="shared" si="4"/>
        <v>适中</v>
      </c>
      <c r="N24" s="45">
        <v>13.49</v>
      </c>
      <c r="O24" s="41">
        <f>VLOOKUP($M$1&amp;M24,【1】定价因子!E:F,2,0)</f>
        <v>1</v>
      </c>
      <c r="P24" s="41" t="str">
        <f>IF(COUNTIFS(户型资产表!D:D,I24,户型资产表!G:G,"阳台门")&gt;0,"有","无")</f>
        <v>无</v>
      </c>
      <c r="Q24" s="41">
        <f>VLOOKUP($P$1&amp;P24,【1】定价因子!E:F,2,0)</f>
        <v>1</v>
      </c>
      <c r="R24" s="41" t="str">
        <f>IF('【2】运营中心填-基本信息&amp;审核标准'!$C$4="是","无",IF(INT(H24/100)&gt;9,"9F",INT(H24/100)&amp;"F"))</f>
        <v>5F</v>
      </c>
      <c r="S24" s="41">
        <f>VLOOKUP(R24,【1】定价因子!D:F,3,0)</f>
        <v>0.99</v>
      </c>
      <c r="T24" s="41" t="str">
        <f>IF('【2】运营中心填-基本信息&amp;审核标准'!$C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无</v>
      </c>
      <c r="U24" s="41">
        <f>VLOOKUP($T$1&amp;T24,【1】定价因子!E:F,2,0)</f>
        <v>1</v>
      </c>
      <c r="V24" s="41" t="str">
        <f>IF(COUNTIFS(户型资产表!D:D,I24,户型资产表!G:G,"操作台")&gt;0,"有","无")</f>
        <v>有</v>
      </c>
      <c r="W24" s="41" t="str">
        <f>IF(COUNTIFS(户型资产表!D:D,I24,户型资产表!G:G,"书桌")&gt;0,"有","无")</f>
        <v>有</v>
      </c>
      <c r="X24" s="41" t="str">
        <f>IF(COUNTIFS(户型资产表!D:D,I24,户型资产表!H:H,"单人沙发02")&gt;0,"有","无")</f>
        <v>无</v>
      </c>
      <c r="Y24" s="41" t="str">
        <f>IF(COUNTIFS(户型资产表!D:D,I24,户型资产表!H:H,"双人沙发01")&gt;0,"有","无")</f>
        <v>无</v>
      </c>
      <c r="Z24" s="41" t="str">
        <f>IF(COUNTIFS(户型资产表!D:D,I24,户型资产表!G:G,"餐桌")&gt;0,"有","无")</f>
        <v>无</v>
      </c>
      <c r="AA24" s="41" t="str">
        <f>IF(COUNTIFS(户型资产表!D:D,I24,户型资产表!G:G,"吸油烟机")&gt;0,"有","无")</f>
        <v>无</v>
      </c>
      <c r="AB24" s="41" t="str">
        <f>IF(COUNTIFS(户型资产表!D:D,I24,户型资产表!G:G,"冰箱")&gt;0,"有","无")</f>
        <v>无</v>
      </c>
      <c r="AC24" s="41" t="str">
        <f>IF(COUNTIFS(户型资产表!D:D,I24,户型资产表!G:G,"电视柜")&gt;0,"有","无")</f>
        <v>无</v>
      </c>
      <c r="AD24" s="45" t="str">
        <f t="shared" si="5"/>
        <v>适中</v>
      </c>
      <c r="AE24" s="41">
        <f>VLOOKUP($AD$1&amp;AD24,【1】定价因子!E:F,2,0)</f>
        <v>1</v>
      </c>
      <c r="AF24" s="45" t="str">
        <f t="shared" si="8"/>
        <v>适中</v>
      </c>
      <c r="AG24" s="41">
        <f>VLOOKUP($AF$1&amp;AF24,【1】定价因子!$E:$F,2,0)</f>
        <v>1</v>
      </c>
      <c r="AH24" s="45" t="str">
        <f t="shared" si="6"/>
        <v>适中</v>
      </c>
      <c r="AI24" s="41">
        <f>VLOOKUP($AH$1&amp;AH24,【1】定价因子!$E:$F,2,0)</f>
        <v>1</v>
      </c>
      <c r="AJ24" s="41">
        <v>3</v>
      </c>
      <c r="AK24" s="41">
        <f>VLOOKUP($AJ$1&amp;AJ24,【1】定价因子!$E:$F,2,0)</f>
        <v>1</v>
      </c>
      <c r="AL24" s="46">
        <f t="shared" si="9"/>
        <v>1595.979</v>
      </c>
      <c r="AM24" s="41">
        <v>1200</v>
      </c>
      <c r="AN24" s="47">
        <f t="shared" si="7"/>
        <v>-0.248110407467767</v>
      </c>
      <c r="AO24" s="28">
        <v>1438</v>
      </c>
    </row>
    <row r="25" spans="1:41">
      <c r="A25" s="53" t="str">
        <f>'【2】运营中心填-基本信息&amp;审核标准'!$E$2</f>
        <v>1-51栋</v>
      </c>
      <c r="B25" s="13">
        <f t="shared" si="2"/>
        <v>6</v>
      </c>
      <c r="C25" s="13">
        <f t="shared" si="0"/>
        <v>5</v>
      </c>
      <c r="D25" s="13">
        <f t="shared" si="1"/>
        <v>25</v>
      </c>
      <c r="E25" s="13"/>
      <c r="F25" s="13">
        <f t="shared" si="3"/>
        <v>5</v>
      </c>
      <c r="G25" s="13"/>
      <c r="H25" s="54">
        <v>601</v>
      </c>
      <c r="I25" s="55" t="s">
        <v>483</v>
      </c>
      <c r="J25" s="55" t="s">
        <v>40</v>
      </c>
      <c r="K25" s="13"/>
      <c r="L25" s="56">
        <f>VLOOKUP(J25,'【3】大区填-楼栋基准格局定价'!B:H,7,0)</f>
        <v>1612.1</v>
      </c>
      <c r="M25" s="57" t="str">
        <f t="shared" si="4"/>
        <v>适中</v>
      </c>
      <c r="N25" s="57">
        <v>13.11</v>
      </c>
      <c r="O25" s="36">
        <f>VLOOKUP($M$1&amp;M25,【1】定价因子!E:F,2,0)</f>
        <v>1</v>
      </c>
      <c r="P25" s="36" t="str">
        <f>IF(COUNTIFS(户型资产表!D:D,I25,户型资产表!G:G,"阳台门")&gt;0,"有","无")</f>
        <v>无</v>
      </c>
      <c r="Q25" s="36">
        <f>VLOOKUP($P$1&amp;P25,【1】定价因子!E:F,2,0)</f>
        <v>1</v>
      </c>
      <c r="R25" s="36" t="str">
        <f>IF('【2】运营中心填-基本信息&amp;审核标准'!$C$4="是","无",IF(INT(H25/100)&gt;9,"9F",INT(H25/100)&amp;"F"))</f>
        <v>6F</v>
      </c>
      <c r="S25" s="36">
        <f>VLOOKUP(R25,【1】定价因子!D:F,3,0)</f>
        <v>0.98</v>
      </c>
      <c r="T25" s="36" t="str">
        <f>IF('【2】运营中心填-基本信息&amp;审核标准'!$C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无</v>
      </c>
      <c r="U25" s="36">
        <f>VLOOKUP($T$1&amp;T25,【1】定价因子!E:F,2,0)</f>
        <v>1</v>
      </c>
      <c r="V25" s="36" t="str">
        <f>IF(COUNTIFS(户型资产表!D:D,I25,户型资产表!G:G,"操作台")&gt;0,"有","无")</f>
        <v>有</v>
      </c>
      <c r="W25" s="36" t="str">
        <f>IF(COUNTIFS(户型资产表!D:D,I25,户型资产表!G:G,"书桌")&gt;0,"有","无")</f>
        <v>有</v>
      </c>
      <c r="X25" s="36" t="str">
        <f>IF(COUNTIFS(户型资产表!D:D,I25,户型资产表!H:H,"单人沙发02")&gt;0,"有","无")</f>
        <v>无</v>
      </c>
      <c r="Y25" s="36" t="str">
        <f>IF(COUNTIFS(户型资产表!D:D,I25,户型资产表!H:H,"双人沙发01")&gt;0,"有","无")</f>
        <v>无</v>
      </c>
      <c r="Z25" s="36" t="str">
        <f>IF(COUNTIFS(户型资产表!D:D,I25,户型资产表!G:G,"餐桌")&gt;0,"有","无")</f>
        <v>无</v>
      </c>
      <c r="AA25" s="36" t="str">
        <f>IF(COUNTIFS(户型资产表!D:D,I25,户型资产表!G:G,"吸油烟机")&gt;0,"有","无")</f>
        <v>无</v>
      </c>
      <c r="AB25" s="36" t="str">
        <f>IF(COUNTIFS(户型资产表!D:D,I25,户型资产表!G:G,"冰箱")&gt;0,"有","无")</f>
        <v>无</v>
      </c>
      <c r="AC25" s="36" t="str">
        <f>IF(COUNTIFS(户型资产表!D:D,I25,户型资产表!G:G,"电视柜")&gt;0,"有","无")</f>
        <v>无</v>
      </c>
      <c r="AD25" s="57" t="str">
        <f t="shared" si="5"/>
        <v>适中</v>
      </c>
      <c r="AE25" s="36">
        <f>VLOOKUP($AD$1&amp;AD25,【1】定价因子!E:F,2,0)</f>
        <v>1</v>
      </c>
      <c r="AF25" s="57" t="str">
        <f t="shared" si="8"/>
        <v>适中</v>
      </c>
      <c r="AG25" s="36">
        <f>VLOOKUP($AF$1&amp;AF25,【1】定价因子!$E:$F,2,0)</f>
        <v>1</v>
      </c>
      <c r="AH25" s="57" t="str">
        <f t="shared" si="6"/>
        <v>适中</v>
      </c>
      <c r="AI25" s="36">
        <f>VLOOKUP($AH$1&amp;AH25,【1】定价因子!$E:$F,2,0)</f>
        <v>1</v>
      </c>
      <c r="AJ25" s="36" t="str">
        <f>VLOOKUP(H25,'【3-1】大区填-采光基本要素'!A:H,8,0)</f>
        <v>3</v>
      </c>
      <c r="AK25" s="36">
        <f>VLOOKUP($AJ$1&amp;AJ25,【1】定价因子!$E:$F,2,0)</f>
        <v>1</v>
      </c>
      <c r="AL25" s="58">
        <f t="shared" si="9"/>
        <v>1579.858</v>
      </c>
      <c r="AM25" s="53">
        <v>1428</v>
      </c>
      <c r="AN25" s="59">
        <f t="shared" si="7"/>
        <v>-0.0961212969773233</v>
      </c>
    </row>
    <row r="26" s="28" customFormat="1" spans="1:41">
      <c r="A26" s="41" t="str">
        <f>'【2】运营中心填-基本信息&amp;审核标准'!$E$2</f>
        <v>1-51栋</v>
      </c>
      <c r="B26" s="41">
        <f t="shared" si="2"/>
        <v>6</v>
      </c>
      <c r="C26" s="41">
        <f t="shared" si="0"/>
        <v>5</v>
      </c>
      <c r="D26" s="41">
        <f t="shared" si="1"/>
        <v>25</v>
      </c>
      <c r="E26" s="41"/>
      <c r="F26" s="41">
        <f t="shared" si="3"/>
        <v>5</v>
      </c>
      <c r="G26" s="41"/>
      <c r="H26" s="42">
        <v>602</v>
      </c>
      <c r="I26" s="43" t="s">
        <v>484</v>
      </c>
      <c r="J26" s="43" t="s">
        <v>40</v>
      </c>
      <c r="K26" s="41"/>
      <c r="L26" s="44">
        <f>VLOOKUP(J26,'【3】大区填-楼栋基准格局定价'!B:H,7,0)</f>
        <v>1612.1</v>
      </c>
      <c r="M26" s="45" t="str">
        <f t="shared" si="4"/>
        <v>适中</v>
      </c>
      <c r="N26" s="45">
        <v>16.13</v>
      </c>
      <c r="O26" s="41">
        <f>VLOOKUP($M$1&amp;M26,【1】定价因子!E:F,2,0)</f>
        <v>1</v>
      </c>
      <c r="P26" s="41" t="str">
        <f>IF(COUNTIFS(户型资产表!D:D,I26,户型资产表!G:G,"阳台门")&gt;0,"有","无")</f>
        <v>无</v>
      </c>
      <c r="Q26" s="41">
        <f>VLOOKUP($P$1&amp;P26,【1】定价因子!E:F,2,0)</f>
        <v>1</v>
      </c>
      <c r="R26" s="41" t="str">
        <f>IF('【2】运营中心填-基本信息&amp;审核标准'!$C$4="是","无",IF(INT(H26/100)&gt;9,"9F",INT(H26/100)&amp;"F"))</f>
        <v>6F</v>
      </c>
      <c r="S26" s="41">
        <f>VLOOKUP(R26,【1】定价因子!D:F,3,0)</f>
        <v>0.98</v>
      </c>
      <c r="T26" s="41" t="str">
        <f>IF('【2】运营中心填-基本信息&amp;审核标准'!$C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无</v>
      </c>
      <c r="U26" s="41">
        <f>VLOOKUP($T$1&amp;T26,【1】定价因子!E:F,2,0)</f>
        <v>1</v>
      </c>
      <c r="V26" s="41" t="str">
        <f>IF(COUNTIFS(户型资产表!D:D,I26,户型资产表!G:G,"操作台")&gt;0,"有","无")</f>
        <v>有</v>
      </c>
      <c r="W26" s="41" t="str">
        <f>IF(COUNTIFS(户型资产表!D:D,I26,户型资产表!G:G,"书桌")&gt;0,"有","无")</f>
        <v>有</v>
      </c>
      <c r="X26" s="41" t="str">
        <f>IF(COUNTIFS(户型资产表!D:D,I26,户型资产表!H:H,"单人沙发02")&gt;0,"有","无")</f>
        <v>无</v>
      </c>
      <c r="Y26" s="41" t="str">
        <f>IF(COUNTIFS(户型资产表!D:D,I26,户型资产表!H:H,"双人沙发01")&gt;0,"有","无")</f>
        <v>无</v>
      </c>
      <c r="Z26" s="41" t="str">
        <f>IF(COUNTIFS(户型资产表!D:D,I26,户型资产表!G:G,"餐桌")&gt;0,"有","无")</f>
        <v>无</v>
      </c>
      <c r="AA26" s="41" t="str">
        <f>IF(COUNTIFS(户型资产表!D:D,I26,户型资产表!G:G,"吸油烟机")&gt;0,"有","无")</f>
        <v>无</v>
      </c>
      <c r="AB26" s="41" t="str">
        <f>IF(COUNTIFS(户型资产表!D:D,I26,户型资产表!G:G,"冰箱")&gt;0,"有","无")</f>
        <v>无</v>
      </c>
      <c r="AC26" s="41" t="str">
        <f>IF(COUNTIFS(户型资产表!D:D,I26,户型资产表!G:G,"电视柜")&gt;0,"有","无")</f>
        <v>无</v>
      </c>
      <c r="AD26" s="45" t="str">
        <f t="shared" si="5"/>
        <v>适中</v>
      </c>
      <c r="AE26" s="41">
        <f>VLOOKUP($AD$1&amp;AD26,【1】定价因子!E:F,2,0)</f>
        <v>1</v>
      </c>
      <c r="AF26" s="45" t="str">
        <f t="shared" si="8"/>
        <v>适中</v>
      </c>
      <c r="AG26" s="41">
        <f>VLOOKUP($AF$1&amp;AF26,【1】定价因子!$E:$F,2,0)</f>
        <v>1</v>
      </c>
      <c r="AH26" s="45" t="str">
        <f t="shared" si="6"/>
        <v>适中</v>
      </c>
      <c r="AI26" s="41">
        <f>VLOOKUP($AH$1&amp;AH26,【1】定价因子!$E:$F,2,0)</f>
        <v>1</v>
      </c>
      <c r="AJ26" s="41">
        <v>3</v>
      </c>
      <c r="AK26" s="41">
        <f>VLOOKUP($AJ$1&amp;AJ26,【1】定价因子!$E:$F,2,0)</f>
        <v>1</v>
      </c>
      <c r="AL26" s="46">
        <f t="shared" si="9"/>
        <v>1579.858</v>
      </c>
      <c r="AM26" s="41">
        <v>1300</v>
      </c>
      <c r="AN26" s="47">
        <f t="shared" si="7"/>
        <v>-0.177141236744062</v>
      </c>
      <c r="AO26" s="28">
        <v>1518</v>
      </c>
    </row>
    <row r="27" s="28" customFormat="1" spans="1:41">
      <c r="A27" s="41" t="str">
        <f>'【2】运营中心填-基本信息&amp;审核标准'!$E$2</f>
        <v>1-51栋</v>
      </c>
      <c r="B27" s="41">
        <f t="shared" si="2"/>
        <v>6</v>
      </c>
      <c r="C27" s="41">
        <f t="shared" si="0"/>
        <v>5</v>
      </c>
      <c r="D27" s="41">
        <f t="shared" si="1"/>
        <v>25</v>
      </c>
      <c r="E27" s="41"/>
      <c r="F27" s="41">
        <f t="shared" si="3"/>
        <v>5</v>
      </c>
      <c r="G27" s="41"/>
      <c r="H27" s="42">
        <v>603</v>
      </c>
      <c r="I27" s="43" t="s">
        <v>485</v>
      </c>
      <c r="J27" s="43" t="s">
        <v>40</v>
      </c>
      <c r="K27" s="41"/>
      <c r="L27" s="44">
        <f>VLOOKUP(J27,'【3】大区填-楼栋基准格局定价'!B:H,7,0)</f>
        <v>1612.1</v>
      </c>
      <c r="M27" s="45" t="str">
        <f t="shared" si="4"/>
        <v>适中</v>
      </c>
      <c r="N27" s="45">
        <v>14.44</v>
      </c>
      <c r="O27" s="41">
        <f>VLOOKUP($M$1&amp;M27,【1】定价因子!E:F,2,0)</f>
        <v>1</v>
      </c>
      <c r="P27" s="41" t="str">
        <f>IF(COUNTIFS(户型资产表!D:D,I27,户型资产表!G:G,"阳台门")&gt;0,"有","无")</f>
        <v>无</v>
      </c>
      <c r="Q27" s="41">
        <f>VLOOKUP($P$1&amp;P27,【1】定价因子!E:F,2,0)</f>
        <v>1</v>
      </c>
      <c r="R27" s="41" t="str">
        <f>IF('【2】运营中心填-基本信息&amp;审核标准'!$C$4="是","无",IF(INT(H27/100)&gt;9,"9F",INT(H27/100)&amp;"F"))</f>
        <v>6F</v>
      </c>
      <c r="S27" s="41">
        <f>VLOOKUP(R27,【1】定价因子!D:F,3,0)</f>
        <v>0.98</v>
      </c>
      <c r="T27" s="41" t="str">
        <f>IF('【2】运营中心填-基本信息&amp;审核标准'!$C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无</v>
      </c>
      <c r="U27" s="41">
        <f>VLOOKUP($T$1&amp;T27,【1】定价因子!E:F,2,0)</f>
        <v>1</v>
      </c>
      <c r="V27" s="41" t="str">
        <f>IF(COUNTIFS(户型资产表!D:D,I27,户型资产表!G:G,"操作台")&gt;0,"有","无")</f>
        <v>有</v>
      </c>
      <c r="W27" s="41" t="str">
        <f>IF(COUNTIFS(户型资产表!D:D,I27,户型资产表!G:G,"书桌")&gt;0,"有","无")</f>
        <v>有</v>
      </c>
      <c r="X27" s="41" t="str">
        <f>IF(COUNTIFS(户型资产表!D:D,I27,户型资产表!H:H,"单人沙发02")&gt;0,"有","无")</f>
        <v>无</v>
      </c>
      <c r="Y27" s="41" t="str">
        <f>IF(COUNTIFS(户型资产表!D:D,I27,户型资产表!H:H,"双人沙发01")&gt;0,"有","无")</f>
        <v>无</v>
      </c>
      <c r="Z27" s="41" t="str">
        <f>IF(COUNTIFS(户型资产表!D:D,I27,户型资产表!G:G,"餐桌")&gt;0,"有","无")</f>
        <v>无</v>
      </c>
      <c r="AA27" s="41" t="str">
        <f>IF(COUNTIFS(户型资产表!D:D,I27,户型资产表!G:G,"吸油烟机")&gt;0,"有","无")</f>
        <v>无</v>
      </c>
      <c r="AB27" s="41" t="str">
        <f>IF(COUNTIFS(户型资产表!D:D,I27,户型资产表!G:G,"冰箱")&gt;0,"有","无")</f>
        <v>无</v>
      </c>
      <c r="AC27" s="41" t="str">
        <f>IF(COUNTIFS(户型资产表!D:D,I27,户型资产表!G:G,"电视柜")&gt;0,"有","无")</f>
        <v>无</v>
      </c>
      <c r="AD27" s="45" t="str">
        <f t="shared" si="5"/>
        <v>适中</v>
      </c>
      <c r="AE27" s="41">
        <f>VLOOKUP($AD$1&amp;AD27,【1】定价因子!E:F,2,0)</f>
        <v>1</v>
      </c>
      <c r="AF27" s="45" t="str">
        <f t="shared" si="8"/>
        <v>适中</v>
      </c>
      <c r="AG27" s="41">
        <f>VLOOKUP($AF$1&amp;AF27,【1】定价因子!$E:$F,2,0)</f>
        <v>1</v>
      </c>
      <c r="AH27" s="45" t="str">
        <f t="shared" si="6"/>
        <v>适中</v>
      </c>
      <c r="AI27" s="41">
        <f>VLOOKUP($AH$1&amp;AH27,【1】定价因子!$E:$F,2,0)</f>
        <v>1</v>
      </c>
      <c r="AJ27" s="41">
        <v>3</v>
      </c>
      <c r="AK27" s="41">
        <f>VLOOKUP($AJ$1&amp;AJ27,【1】定价因子!$E:$F,2,0)</f>
        <v>1</v>
      </c>
      <c r="AL27" s="46">
        <f t="shared" si="9"/>
        <v>1579.858</v>
      </c>
      <c r="AM27" s="41">
        <v>1300</v>
      </c>
      <c r="AN27" s="47">
        <f t="shared" si="7"/>
        <v>-0.177141236744062</v>
      </c>
      <c r="AO27" s="28">
        <v>1518</v>
      </c>
    </row>
    <row r="28" s="28" customFormat="1" spans="1:41">
      <c r="A28" s="41" t="str">
        <f>'【2】运营中心填-基本信息&amp;审核标准'!$E$2</f>
        <v>1-51栋</v>
      </c>
      <c r="B28" s="41">
        <f t="shared" si="2"/>
        <v>6</v>
      </c>
      <c r="C28" s="41">
        <f t="shared" si="0"/>
        <v>5</v>
      </c>
      <c r="D28" s="41">
        <f t="shared" si="1"/>
        <v>25</v>
      </c>
      <c r="E28" s="41"/>
      <c r="F28" s="41">
        <f t="shared" si="3"/>
        <v>5</v>
      </c>
      <c r="G28" s="41"/>
      <c r="H28" s="42">
        <v>604</v>
      </c>
      <c r="I28" s="43" t="s">
        <v>486</v>
      </c>
      <c r="J28" s="43" t="s">
        <v>40</v>
      </c>
      <c r="K28" s="41"/>
      <c r="L28" s="44">
        <f>VLOOKUP(J28,'【3】大区填-楼栋基准格局定价'!B:H,7,0)</f>
        <v>1612.1</v>
      </c>
      <c r="M28" s="45" t="str">
        <f t="shared" si="4"/>
        <v>适中</v>
      </c>
      <c r="N28" s="45">
        <v>16.5</v>
      </c>
      <c r="O28" s="41">
        <f>VLOOKUP($M$1&amp;M28,【1】定价因子!E:F,2,0)</f>
        <v>1</v>
      </c>
      <c r="P28" s="41" t="str">
        <f>IF(COUNTIFS(户型资产表!D:D,I28,户型资产表!G:G,"阳台门")&gt;0,"有","无")</f>
        <v>无</v>
      </c>
      <c r="Q28" s="41">
        <f>VLOOKUP($P$1&amp;P28,【1】定价因子!E:F,2,0)</f>
        <v>1</v>
      </c>
      <c r="R28" s="41" t="str">
        <f>IF('【2】运营中心填-基本信息&amp;审核标准'!$C$4="是","无",IF(INT(H28/100)&gt;9,"9F",INT(H28/100)&amp;"F"))</f>
        <v>6F</v>
      </c>
      <c r="S28" s="41">
        <f>VLOOKUP(R28,【1】定价因子!D:F,3,0)</f>
        <v>0.98</v>
      </c>
      <c r="T28" s="41" t="str">
        <f>IF('【2】运营中心填-基本信息&amp;审核标准'!$C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无</v>
      </c>
      <c r="U28" s="41">
        <f>VLOOKUP($T$1&amp;T28,【1】定价因子!E:F,2,0)</f>
        <v>1</v>
      </c>
      <c r="V28" s="41" t="str">
        <f>IF(COUNTIFS(户型资产表!D:D,I28,户型资产表!G:G,"操作台")&gt;0,"有","无")</f>
        <v>有</v>
      </c>
      <c r="W28" s="41" t="str">
        <f>IF(COUNTIFS(户型资产表!D:D,I28,户型资产表!G:G,"书桌")&gt;0,"有","无")</f>
        <v>有</v>
      </c>
      <c r="X28" s="41" t="str">
        <f>IF(COUNTIFS(户型资产表!D:D,I28,户型资产表!H:H,"单人沙发02")&gt;0,"有","无")</f>
        <v>无</v>
      </c>
      <c r="Y28" s="41" t="str">
        <f>IF(COUNTIFS(户型资产表!D:D,I28,户型资产表!H:H,"双人沙发01")&gt;0,"有","无")</f>
        <v>无</v>
      </c>
      <c r="Z28" s="41" t="str">
        <f>IF(COUNTIFS(户型资产表!D:D,I28,户型资产表!G:G,"餐桌")&gt;0,"有","无")</f>
        <v>无</v>
      </c>
      <c r="AA28" s="41" t="str">
        <f>IF(COUNTIFS(户型资产表!D:D,I28,户型资产表!G:G,"吸油烟机")&gt;0,"有","无")</f>
        <v>无</v>
      </c>
      <c r="AB28" s="41" t="str">
        <f>IF(COUNTIFS(户型资产表!D:D,I28,户型资产表!G:G,"冰箱")&gt;0,"有","无")</f>
        <v>无</v>
      </c>
      <c r="AC28" s="41" t="str">
        <f>IF(COUNTIFS(户型资产表!D:D,I28,户型资产表!G:G,"电视柜")&gt;0,"有","无")</f>
        <v>无</v>
      </c>
      <c r="AD28" s="45" t="str">
        <f t="shared" si="5"/>
        <v>适中</v>
      </c>
      <c r="AE28" s="41">
        <f>VLOOKUP($AD$1&amp;AD28,【1】定价因子!E:F,2,0)</f>
        <v>1</v>
      </c>
      <c r="AF28" s="45" t="str">
        <f t="shared" si="8"/>
        <v>适中</v>
      </c>
      <c r="AG28" s="41">
        <f>VLOOKUP($AF$1&amp;AF28,【1】定价因子!$E:$F,2,0)</f>
        <v>1</v>
      </c>
      <c r="AH28" s="45" t="str">
        <f t="shared" si="6"/>
        <v>适中</v>
      </c>
      <c r="AI28" s="41">
        <f>VLOOKUP($AH$1&amp;AH28,【1】定价因子!$E:$F,2,0)</f>
        <v>1</v>
      </c>
      <c r="AJ28" s="41">
        <v>3</v>
      </c>
      <c r="AK28" s="41">
        <f>VLOOKUP($AJ$1&amp;AJ28,【1】定价因子!$E:$F,2,0)</f>
        <v>1</v>
      </c>
      <c r="AL28" s="46">
        <f t="shared" si="9"/>
        <v>1579.858</v>
      </c>
      <c r="AM28" s="41">
        <v>1250</v>
      </c>
      <c r="AN28" s="47">
        <f t="shared" si="7"/>
        <v>-0.208789650715444</v>
      </c>
      <c r="AO28" s="28">
        <v>1418</v>
      </c>
    </row>
    <row r="29" s="28" customFormat="1" spans="1:41">
      <c r="A29" s="41" t="str">
        <f>'【2】运营中心填-基本信息&amp;审核标准'!$E$2</f>
        <v>1-51栋</v>
      </c>
      <c r="B29" s="41">
        <f t="shared" si="2"/>
        <v>6</v>
      </c>
      <c r="C29" s="41">
        <f t="shared" si="0"/>
        <v>5</v>
      </c>
      <c r="D29" s="41">
        <f t="shared" si="1"/>
        <v>25</v>
      </c>
      <c r="E29" s="41"/>
      <c r="F29" s="41">
        <f t="shared" si="3"/>
        <v>5</v>
      </c>
      <c r="G29" s="41"/>
      <c r="H29" s="42">
        <v>605</v>
      </c>
      <c r="I29" s="43" t="s">
        <v>483</v>
      </c>
      <c r="J29" s="43" t="s">
        <v>40</v>
      </c>
      <c r="K29" s="41"/>
      <c r="L29" s="44">
        <f>VLOOKUP(J29,'【3】大区填-楼栋基准格局定价'!B:H,7,0)</f>
        <v>1612.1</v>
      </c>
      <c r="M29" s="45" t="str">
        <f t="shared" si="4"/>
        <v>适中</v>
      </c>
      <c r="N29" s="45">
        <v>13.49</v>
      </c>
      <c r="O29" s="41">
        <f>VLOOKUP($M$1&amp;M29,【1】定价因子!E:F,2,0)</f>
        <v>1</v>
      </c>
      <c r="P29" s="41" t="str">
        <f>IF(COUNTIFS(户型资产表!D:D,I29,户型资产表!G:G,"阳台门")&gt;0,"有","无")</f>
        <v>无</v>
      </c>
      <c r="Q29" s="41">
        <f>VLOOKUP($P$1&amp;P29,【1】定价因子!E:F,2,0)</f>
        <v>1</v>
      </c>
      <c r="R29" s="41" t="str">
        <f>IF('【2】运营中心填-基本信息&amp;审核标准'!$C$4="是","无",IF(INT(H29/100)&gt;9,"9F",INT(H29/100)&amp;"F"))</f>
        <v>6F</v>
      </c>
      <c r="S29" s="41">
        <f>VLOOKUP(R29,【1】定价因子!D:F,3,0)</f>
        <v>0.98</v>
      </c>
      <c r="T29" s="41" t="str">
        <f>IF('【2】运营中心填-基本信息&amp;审核标准'!$C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无</v>
      </c>
      <c r="U29" s="41">
        <f>VLOOKUP($T$1&amp;T29,【1】定价因子!E:F,2,0)</f>
        <v>1</v>
      </c>
      <c r="V29" s="41" t="str">
        <f>IF(COUNTIFS(户型资产表!D:D,I29,户型资产表!G:G,"操作台")&gt;0,"有","无")</f>
        <v>有</v>
      </c>
      <c r="W29" s="41" t="str">
        <f>IF(COUNTIFS(户型资产表!D:D,I29,户型资产表!G:G,"书桌")&gt;0,"有","无")</f>
        <v>有</v>
      </c>
      <c r="X29" s="41" t="str">
        <f>IF(COUNTIFS(户型资产表!D:D,I29,户型资产表!H:H,"单人沙发02")&gt;0,"有","无")</f>
        <v>无</v>
      </c>
      <c r="Y29" s="41" t="str">
        <f>IF(COUNTIFS(户型资产表!D:D,I29,户型资产表!H:H,"双人沙发01")&gt;0,"有","无")</f>
        <v>无</v>
      </c>
      <c r="Z29" s="41" t="str">
        <f>IF(COUNTIFS(户型资产表!D:D,I29,户型资产表!G:G,"餐桌")&gt;0,"有","无")</f>
        <v>无</v>
      </c>
      <c r="AA29" s="41" t="str">
        <f>IF(COUNTIFS(户型资产表!D:D,I29,户型资产表!G:G,"吸油烟机")&gt;0,"有","无")</f>
        <v>无</v>
      </c>
      <c r="AB29" s="41" t="str">
        <f>IF(COUNTIFS(户型资产表!D:D,I29,户型资产表!G:G,"冰箱")&gt;0,"有","无")</f>
        <v>无</v>
      </c>
      <c r="AC29" s="41" t="str">
        <f>IF(COUNTIFS(户型资产表!D:D,I29,户型资产表!G:G,"电视柜")&gt;0,"有","无")</f>
        <v>无</v>
      </c>
      <c r="AD29" s="45" t="str">
        <f t="shared" si="5"/>
        <v>适中</v>
      </c>
      <c r="AE29" s="41">
        <f>VLOOKUP($AD$1&amp;AD29,【1】定价因子!E:F,2,0)</f>
        <v>1</v>
      </c>
      <c r="AF29" s="45" t="str">
        <f t="shared" si="8"/>
        <v>适中</v>
      </c>
      <c r="AG29" s="41">
        <f>VLOOKUP($AF$1&amp;AF29,【1】定价因子!$E:$F,2,0)</f>
        <v>1</v>
      </c>
      <c r="AH29" s="45" t="str">
        <f t="shared" si="6"/>
        <v>适中</v>
      </c>
      <c r="AI29" s="41">
        <f>VLOOKUP($AH$1&amp;AH29,【1】定价因子!$E:$F,2,0)</f>
        <v>1</v>
      </c>
      <c r="AJ29" s="41" t="str">
        <f>VLOOKUP(H29,'【3-1】大区填-采光基本要素'!A:H,8,0)</f>
        <v>3</v>
      </c>
      <c r="AK29" s="41">
        <f>VLOOKUP($AJ$1&amp;AJ29,【1】定价因子!$E:$F,2,0)</f>
        <v>1</v>
      </c>
      <c r="AL29" s="46">
        <f t="shared" si="9"/>
        <v>1579.858</v>
      </c>
      <c r="AM29" s="41">
        <v>1150</v>
      </c>
      <c r="AN29" s="47">
        <f t="shared" si="7"/>
        <v>-0.272086478658208</v>
      </c>
      <c r="AO29" s="28">
        <v>1428</v>
      </c>
    </row>
    <row r="30" s="28" customFormat="1" spans="1:41">
      <c r="A30" s="41" t="str">
        <f>'【2】运营中心填-基本信息&amp;审核标准'!$E$2</f>
        <v>1-51栋</v>
      </c>
      <c r="B30" s="41">
        <f t="shared" si="2"/>
        <v>7</v>
      </c>
      <c r="C30" s="41">
        <f t="shared" si="0"/>
        <v>2</v>
      </c>
      <c r="D30" s="41">
        <f t="shared" si="1"/>
        <v>2</v>
      </c>
      <c r="E30" s="41"/>
      <c r="F30" s="41" t="str">
        <f t="shared" si="3"/>
        <v/>
      </c>
      <c r="G30" s="41"/>
      <c r="H30" s="42">
        <v>701</v>
      </c>
      <c r="I30" s="43" t="s">
        <v>483</v>
      </c>
      <c r="J30" s="43" t="s">
        <v>40</v>
      </c>
      <c r="K30" s="41"/>
      <c r="L30" s="44">
        <f>VLOOKUP(J30,'【3】大区填-楼栋基准格局定价'!B:H,7,0)</f>
        <v>1612.1</v>
      </c>
      <c r="M30" s="45" t="str">
        <f t="shared" si="4"/>
        <v>适中</v>
      </c>
      <c r="N30" s="45">
        <v>13.35</v>
      </c>
      <c r="O30" s="41">
        <f>VLOOKUP($M$1&amp;M30,【1】定价因子!E:F,2,0)</f>
        <v>1</v>
      </c>
      <c r="P30" s="41" t="str">
        <f>IF(COUNTIFS(户型资产表!D:D,I30,户型资产表!G:G,"阳台门")&gt;0,"有","无")</f>
        <v>无</v>
      </c>
      <c r="Q30" s="41">
        <f>VLOOKUP($P$1&amp;P30,【1】定价因子!E:F,2,0)</f>
        <v>1</v>
      </c>
      <c r="R30" s="41" t="str">
        <f>IF('【2】运营中心填-基本信息&amp;审核标准'!$C$4="是","无",IF(INT(H30/100)&gt;9,"9F",INT(H30/100)&amp;"F"))</f>
        <v>7F</v>
      </c>
      <c r="S30" s="41">
        <f>VLOOKUP(R30,【1】定价因子!D:F,3,0)</f>
        <v>0.96</v>
      </c>
      <c r="T30" s="41" t="str">
        <f>IF('【2】运营中心填-基本信息&amp;审核标准'!$C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无</v>
      </c>
      <c r="U30" s="41">
        <f>VLOOKUP($T$1&amp;T30,【1】定价因子!E:F,2,0)</f>
        <v>1</v>
      </c>
      <c r="V30" s="41" t="str">
        <f>IF(COUNTIFS(户型资产表!D:D,I30,户型资产表!G:G,"操作台")&gt;0,"有","无")</f>
        <v>有</v>
      </c>
      <c r="W30" s="41" t="str">
        <f>IF(COUNTIFS(户型资产表!D:D,I30,户型资产表!G:G,"书桌")&gt;0,"有","无")</f>
        <v>有</v>
      </c>
      <c r="X30" s="41" t="str">
        <f>IF(COUNTIFS(户型资产表!D:D,I30,户型资产表!H:H,"单人沙发02")&gt;0,"有","无")</f>
        <v>无</v>
      </c>
      <c r="Y30" s="41" t="str">
        <f>IF(COUNTIFS(户型资产表!D:D,I30,户型资产表!H:H,"双人沙发01")&gt;0,"有","无")</f>
        <v>无</v>
      </c>
      <c r="Z30" s="41" t="str">
        <f>IF(COUNTIFS(户型资产表!D:D,I30,户型资产表!G:G,"餐桌")&gt;0,"有","无")</f>
        <v>无</v>
      </c>
      <c r="AA30" s="41" t="str">
        <f>IF(COUNTIFS(户型资产表!D:D,I30,户型资产表!G:G,"吸油烟机")&gt;0,"有","无")</f>
        <v>无</v>
      </c>
      <c r="AB30" s="41" t="str">
        <f>IF(COUNTIFS(户型资产表!D:D,I30,户型资产表!G:G,"冰箱")&gt;0,"有","无")</f>
        <v>无</v>
      </c>
      <c r="AC30" s="41" t="str">
        <f>IF(COUNTIFS(户型资产表!D:D,I30,户型资产表!G:G,"电视柜")&gt;0,"有","无")</f>
        <v>无</v>
      </c>
      <c r="AD30" s="45" t="str">
        <f t="shared" si="5"/>
        <v>适中</v>
      </c>
      <c r="AE30" s="41">
        <f>VLOOKUP($AD$1&amp;AD30,【1】定价因子!E:F,2,0)</f>
        <v>1</v>
      </c>
      <c r="AF30" s="45" t="str">
        <f t="shared" si="8"/>
        <v>适中</v>
      </c>
      <c r="AG30" s="41">
        <f>VLOOKUP($AF$1&amp;AF30,【1】定价因子!$E:$F,2,0)</f>
        <v>1</v>
      </c>
      <c r="AH30" s="45" t="str">
        <f t="shared" si="6"/>
        <v>适中</v>
      </c>
      <c r="AI30" s="41">
        <f>VLOOKUP($AH$1&amp;AH30,【1】定价因子!$E:$F,2,0)</f>
        <v>1</v>
      </c>
      <c r="AJ30" s="41" t="str">
        <f>VLOOKUP(H30,'【3-1】大区填-采光基本要素'!A:H,8,0)</f>
        <v>4</v>
      </c>
      <c r="AK30" s="41">
        <f>VLOOKUP($AJ$1&amp;AJ30,【1】定价因子!$E:$F,2,0)</f>
        <v>1.03</v>
      </c>
      <c r="AL30" s="46">
        <f t="shared" si="9"/>
        <v>1594.04448</v>
      </c>
      <c r="AM30" s="41">
        <v>1150</v>
      </c>
      <c r="AN30" s="47">
        <f t="shared" si="7"/>
        <v>-0.278564673427432</v>
      </c>
      <c r="AO30" s="28">
        <v>1438</v>
      </c>
    </row>
    <row r="31" spans="1:41">
      <c r="A31" s="53" t="str">
        <f>'【2】运营中心填-基本信息&amp;审核标准'!$E$2</f>
        <v>1-51栋</v>
      </c>
      <c r="B31" s="13">
        <f t="shared" si="2"/>
        <v>7</v>
      </c>
      <c r="C31" s="13">
        <f t="shared" si="0"/>
        <v>2</v>
      </c>
      <c r="D31" s="13">
        <f t="shared" si="1"/>
        <v>2</v>
      </c>
      <c r="E31" s="13"/>
      <c r="F31" s="13" t="str">
        <f t="shared" si="3"/>
        <v/>
      </c>
      <c r="G31" s="13"/>
      <c r="H31" s="54">
        <v>702</v>
      </c>
      <c r="I31" s="55" t="s">
        <v>483</v>
      </c>
      <c r="J31" s="55" t="s">
        <v>40</v>
      </c>
      <c r="K31" s="13"/>
      <c r="L31" s="56">
        <f>VLOOKUP(J31,'【3】大区填-楼栋基准格局定价'!B:H,7,0)</f>
        <v>1612.1</v>
      </c>
      <c r="M31" s="57" t="str">
        <f t="shared" si="4"/>
        <v>适中</v>
      </c>
      <c r="N31" s="57">
        <v>13.76</v>
      </c>
      <c r="O31" s="36">
        <f>VLOOKUP($M$1&amp;M31,【1】定价因子!E:F,2,0)</f>
        <v>1</v>
      </c>
      <c r="P31" s="36" t="str">
        <f>IF(COUNTIFS(户型资产表!D:D,I31,户型资产表!G:G,"阳台门")&gt;0,"有","无")</f>
        <v>无</v>
      </c>
      <c r="Q31" s="36">
        <f>VLOOKUP($P$1&amp;P31,【1】定价因子!E:F,2,0)</f>
        <v>1</v>
      </c>
      <c r="R31" s="36" t="str">
        <f>IF('【2】运营中心填-基本信息&amp;审核标准'!$C$4="是","无",IF(INT(H31/100)&gt;9,"9F",INT(H31/100)&amp;"F"))</f>
        <v>7F</v>
      </c>
      <c r="S31" s="36">
        <f>VLOOKUP(R31,【1】定价因子!D:F,3,0)</f>
        <v>0.96</v>
      </c>
      <c r="T31" s="36" t="str">
        <f>IF('【2】运营中心填-基本信息&amp;审核标准'!$C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无</v>
      </c>
      <c r="U31" s="36">
        <f>VLOOKUP($T$1&amp;T31,【1】定价因子!E:F,2,0)</f>
        <v>1</v>
      </c>
      <c r="V31" s="36" t="str">
        <f>IF(COUNTIFS(户型资产表!D:D,I31,户型资产表!G:G,"操作台")&gt;0,"有","无")</f>
        <v>有</v>
      </c>
      <c r="W31" s="36" t="str">
        <f>IF(COUNTIFS(户型资产表!D:D,I31,户型资产表!G:G,"书桌")&gt;0,"有","无")</f>
        <v>有</v>
      </c>
      <c r="X31" s="36" t="str">
        <f>IF(COUNTIFS(户型资产表!D:D,I31,户型资产表!H:H,"单人沙发02")&gt;0,"有","无")</f>
        <v>无</v>
      </c>
      <c r="Y31" s="36" t="str">
        <f>IF(COUNTIFS(户型资产表!D:D,I31,户型资产表!H:H,"双人沙发01")&gt;0,"有","无")</f>
        <v>无</v>
      </c>
      <c r="Z31" s="36" t="str">
        <f>IF(COUNTIFS(户型资产表!D:D,I31,户型资产表!G:G,"餐桌")&gt;0,"有","无")</f>
        <v>无</v>
      </c>
      <c r="AA31" s="36" t="str">
        <f>IF(COUNTIFS(户型资产表!D:D,I31,户型资产表!G:G,"吸油烟机")&gt;0,"有","无")</f>
        <v>无</v>
      </c>
      <c r="AB31" s="36" t="str">
        <f>IF(COUNTIFS(户型资产表!D:D,I31,户型资产表!G:G,"冰箱")&gt;0,"有","无")</f>
        <v>无</v>
      </c>
      <c r="AC31" s="36" t="str">
        <f>IF(COUNTIFS(户型资产表!D:D,I31,户型资产表!G:G,"电视柜")&gt;0,"有","无")</f>
        <v>无</v>
      </c>
      <c r="AD31" s="57" t="str">
        <f t="shared" si="5"/>
        <v>适中</v>
      </c>
      <c r="AE31" s="36">
        <f>VLOOKUP($AD$1&amp;AD31,【1】定价因子!E:F,2,0)</f>
        <v>1</v>
      </c>
      <c r="AF31" s="57" t="str">
        <f t="shared" si="8"/>
        <v>适中</v>
      </c>
      <c r="AG31" s="36">
        <f>VLOOKUP($AF$1&amp;AF31,【1】定价因子!$E:$F,2,0)</f>
        <v>1</v>
      </c>
      <c r="AH31" s="57" t="str">
        <f t="shared" si="6"/>
        <v>适中</v>
      </c>
      <c r="AI31" s="36">
        <f>VLOOKUP($AH$1&amp;AH31,【1】定价因子!$E:$F,2,0)</f>
        <v>1</v>
      </c>
      <c r="AJ31" s="36" t="str">
        <f>VLOOKUP(H31,'【3-1】大区填-采光基本要素'!A:H,8,0)</f>
        <v>3</v>
      </c>
      <c r="AK31" s="36">
        <f>VLOOKUP($AJ$1&amp;AJ31,【1】定价因子!$E:$F,2,0)</f>
        <v>1</v>
      </c>
      <c r="AL31" s="58">
        <f t="shared" si="9"/>
        <v>1547.616</v>
      </c>
      <c r="AM31" s="13">
        <v>1398</v>
      </c>
      <c r="AN31" s="59">
        <f t="shared" si="7"/>
        <v>-0.0966751442218224</v>
      </c>
    </row>
    <row r="37" spans="39:39">
      <c r="AM37" s="2" t="s">
        <v>301</v>
      </c>
    </row>
  </sheetData>
  <autoFilter xmlns:etc="http://www.wps.cn/officeDocument/2017/etCustomData" ref="A1:AN31" etc:filterBottomFollowUsedRange="0"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6"/>
  <sheetViews>
    <sheetView workbookViewId="0">
      <selection activeCell="A1" sqref="A1:S276"/>
    </sheetView>
  </sheetViews>
  <sheetFormatPr defaultColWidth="9.11111111111111" defaultRowHeight="13.8"/>
  <sheetData>
    <row r="1" spans="1:19">
      <c r="A1" t="s">
        <v>487</v>
      </c>
    </row>
    <row r="2" spans="1:19">
      <c r="A2" t="s">
        <v>25</v>
      </c>
      <c r="B2" t="s">
        <v>488</v>
      </c>
      <c r="C2" t="s">
        <v>489</v>
      </c>
      <c r="D2" t="s">
        <v>490</v>
      </c>
      <c r="E2" t="s">
        <v>491</v>
      </c>
      <c r="F2" t="s">
        <v>492</v>
      </c>
      <c r="G2" t="s">
        <v>493</v>
      </c>
      <c r="H2" t="s">
        <v>494</v>
      </c>
      <c r="I2" t="s">
        <v>495</v>
      </c>
      <c r="J2" t="s">
        <v>496</v>
      </c>
      <c r="K2" t="s">
        <v>497</v>
      </c>
      <c r="L2" t="s">
        <v>498</v>
      </c>
      <c r="M2" t="s">
        <v>499</v>
      </c>
      <c r="N2" t="s">
        <v>500</v>
      </c>
      <c r="O2" t="s">
        <v>501</v>
      </c>
      <c r="P2" t="s">
        <v>324</v>
      </c>
      <c r="Q2" t="s">
        <v>502</v>
      </c>
      <c r="R2" t="s">
        <v>503</v>
      </c>
      <c r="S2" t="s">
        <v>504</v>
      </c>
    </row>
    <row r="3" spans="1:19">
      <c r="A3" t="s">
        <v>505</v>
      </c>
      <c r="K3" t="s">
        <v>506</v>
      </c>
    </row>
    <row r="4" spans="1:19">
      <c r="A4">
        <v>1</v>
      </c>
      <c r="B4" t="s">
        <v>507</v>
      </c>
      <c r="C4" t="s">
        <v>508</v>
      </c>
      <c r="D4" t="s">
        <v>480</v>
      </c>
      <c r="E4" t="s">
        <v>509</v>
      </c>
      <c r="F4" t="s">
        <v>510</v>
      </c>
      <c r="G4" t="s">
        <v>511</v>
      </c>
      <c r="H4" t="s">
        <v>512</v>
      </c>
      <c r="J4" t="s">
        <v>513</v>
      </c>
      <c r="K4" t="s">
        <v>506</v>
      </c>
      <c r="L4" t="s">
        <v>514</v>
      </c>
      <c r="M4" t="s">
        <v>515</v>
      </c>
      <c r="N4" t="s">
        <v>514</v>
      </c>
      <c r="O4">
        <v>1</v>
      </c>
      <c r="P4" t="s">
        <v>516</v>
      </c>
      <c r="Q4">
        <v>920</v>
      </c>
    </row>
    <row r="5" spans="1:19">
      <c r="A5">
        <v>2</v>
      </c>
      <c r="B5" t="s">
        <v>507</v>
      </c>
      <c r="C5" t="s">
        <v>508</v>
      </c>
      <c r="D5" t="s">
        <v>480</v>
      </c>
      <c r="E5" t="s">
        <v>509</v>
      </c>
      <c r="F5" t="s">
        <v>510</v>
      </c>
      <c r="G5" t="s">
        <v>517</v>
      </c>
      <c r="H5" t="s">
        <v>518</v>
      </c>
      <c r="J5" t="s">
        <v>519</v>
      </c>
      <c r="K5" t="s">
        <v>506</v>
      </c>
      <c r="L5" t="s">
        <v>514</v>
      </c>
      <c r="M5" t="s">
        <v>520</v>
      </c>
      <c r="N5" t="s">
        <v>514</v>
      </c>
      <c r="O5">
        <v>1</v>
      </c>
      <c r="P5" t="s">
        <v>521</v>
      </c>
      <c r="Q5">
        <v>380</v>
      </c>
    </row>
    <row r="6" spans="1:19">
      <c r="A6">
        <v>3</v>
      </c>
      <c r="B6" t="s">
        <v>507</v>
      </c>
      <c r="C6" t="s">
        <v>508</v>
      </c>
      <c r="D6" t="s">
        <v>480</v>
      </c>
      <c r="E6" t="s">
        <v>509</v>
      </c>
      <c r="F6" t="s">
        <v>522</v>
      </c>
      <c r="G6" t="s">
        <v>523</v>
      </c>
      <c r="H6" t="s">
        <v>524</v>
      </c>
      <c r="J6" t="s">
        <v>525</v>
      </c>
      <c r="K6" t="s">
        <v>506</v>
      </c>
      <c r="L6" t="s">
        <v>514</v>
      </c>
      <c r="M6" t="s">
        <v>526</v>
      </c>
      <c r="N6" t="s">
        <v>514</v>
      </c>
      <c r="O6">
        <v>1</v>
      </c>
      <c r="P6" t="s">
        <v>527</v>
      </c>
      <c r="Q6">
        <v>14</v>
      </c>
    </row>
    <row r="7" spans="1:19">
      <c r="A7">
        <v>4</v>
      </c>
      <c r="B7" t="s">
        <v>507</v>
      </c>
      <c r="C7" t="s">
        <v>508</v>
      </c>
      <c r="D7" t="s">
        <v>480</v>
      </c>
      <c r="E7" t="s">
        <v>509</v>
      </c>
      <c r="F7" t="s">
        <v>522</v>
      </c>
      <c r="G7" t="s">
        <v>528</v>
      </c>
      <c r="H7" t="s">
        <v>529</v>
      </c>
      <c r="J7" t="s">
        <v>530</v>
      </c>
      <c r="K7" t="s">
        <v>506</v>
      </c>
      <c r="L7" t="s">
        <v>514</v>
      </c>
      <c r="M7" t="s">
        <v>531</v>
      </c>
      <c r="N7" t="s">
        <v>514</v>
      </c>
      <c r="O7">
        <v>1</v>
      </c>
      <c r="P7" t="s">
        <v>527</v>
      </c>
      <c r="Q7">
        <v>33</v>
      </c>
    </row>
    <row r="8" spans="1:19">
      <c r="A8">
        <v>5</v>
      </c>
      <c r="B8" t="s">
        <v>507</v>
      </c>
      <c r="C8" t="s">
        <v>508</v>
      </c>
      <c r="D8" t="s">
        <v>480</v>
      </c>
      <c r="E8" t="s">
        <v>532</v>
      </c>
      <c r="F8" t="s">
        <v>533</v>
      </c>
      <c r="G8" t="s">
        <v>534</v>
      </c>
      <c r="H8" t="s">
        <v>535</v>
      </c>
      <c r="J8" t="s">
        <v>536</v>
      </c>
      <c r="K8" t="s">
        <v>506</v>
      </c>
      <c r="L8" t="s">
        <v>514</v>
      </c>
      <c r="M8" t="s">
        <v>537</v>
      </c>
      <c r="N8" t="s">
        <v>514</v>
      </c>
      <c r="O8">
        <v>1</v>
      </c>
      <c r="P8" t="s">
        <v>527</v>
      </c>
      <c r="Q8">
        <v>0</v>
      </c>
    </row>
    <row r="9" spans="1:19">
      <c r="A9">
        <v>6</v>
      </c>
      <c r="B9" t="s">
        <v>507</v>
      </c>
      <c r="C9" t="s">
        <v>508</v>
      </c>
      <c r="D9" t="s">
        <v>480</v>
      </c>
      <c r="E9" t="s">
        <v>532</v>
      </c>
      <c r="F9" t="s">
        <v>538</v>
      </c>
      <c r="G9" t="s">
        <v>539</v>
      </c>
      <c r="H9" t="s">
        <v>540</v>
      </c>
      <c r="J9" t="s">
        <v>541</v>
      </c>
      <c r="K9" t="s">
        <v>506</v>
      </c>
      <c r="L9" t="s">
        <v>514</v>
      </c>
      <c r="M9" t="s">
        <v>542</v>
      </c>
      <c r="N9" t="s">
        <v>514</v>
      </c>
      <c r="O9">
        <v>1</v>
      </c>
      <c r="P9" t="s">
        <v>527</v>
      </c>
      <c r="Q9">
        <v>223</v>
      </c>
    </row>
    <row r="10" spans="1:19">
      <c r="A10">
        <v>27</v>
      </c>
      <c r="B10" t="s">
        <v>507</v>
      </c>
      <c r="C10" t="s">
        <v>508</v>
      </c>
      <c r="D10" t="s">
        <v>480</v>
      </c>
      <c r="E10" t="s">
        <v>543</v>
      </c>
      <c r="F10" t="s">
        <v>538</v>
      </c>
      <c r="G10" t="s">
        <v>544</v>
      </c>
      <c r="H10" t="s">
        <v>545</v>
      </c>
      <c r="J10" t="s">
        <v>546</v>
      </c>
      <c r="K10" t="s">
        <v>506</v>
      </c>
      <c r="L10" t="s">
        <v>514</v>
      </c>
      <c r="M10" t="s">
        <v>514</v>
      </c>
      <c r="N10" t="s">
        <v>514</v>
      </c>
      <c r="O10">
        <v>1</v>
      </c>
      <c r="P10" t="s">
        <v>547</v>
      </c>
      <c r="Q10">
        <v>640</v>
      </c>
    </row>
    <row r="11" spans="1:19">
      <c r="A11">
        <v>27</v>
      </c>
      <c r="B11" t="s">
        <v>507</v>
      </c>
      <c r="C11" t="s">
        <v>508</v>
      </c>
      <c r="D11" t="s">
        <v>480</v>
      </c>
      <c r="E11" t="s">
        <v>543</v>
      </c>
      <c r="F11" t="s">
        <v>538</v>
      </c>
      <c r="G11" t="s">
        <v>548</v>
      </c>
      <c r="H11" t="s">
        <v>549</v>
      </c>
      <c r="J11" t="s">
        <v>550</v>
      </c>
      <c r="K11" t="s">
        <v>506</v>
      </c>
      <c r="L11" t="s">
        <v>514</v>
      </c>
      <c r="M11" t="s">
        <v>514</v>
      </c>
      <c r="N11" t="s">
        <v>514</v>
      </c>
      <c r="O11">
        <v>1</v>
      </c>
      <c r="P11" t="s">
        <v>547</v>
      </c>
      <c r="Q11">
        <v>425</v>
      </c>
    </row>
    <row r="12" spans="1:19">
      <c r="A12">
        <v>27</v>
      </c>
      <c r="B12" t="s">
        <v>507</v>
      </c>
      <c r="C12" t="s">
        <v>508</v>
      </c>
      <c r="D12" t="s">
        <v>480</v>
      </c>
      <c r="E12" t="s">
        <v>543</v>
      </c>
      <c r="F12" t="s">
        <v>538</v>
      </c>
      <c r="G12" t="s">
        <v>551</v>
      </c>
      <c r="H12" t="s">
        <v>552</v>
      </c>
      <c r="J12" t="s">
        <v>553</v>
      </c>
      <c r="K12" t="s">
        <v>506</v>
      </c>
      <c r="L12" t="s">
        <v>514</v>
      </c>
      <c r="M12" t="s">
        <v>554</v>
      </c>
      <c r="N12" t="s">
        <v>514</v>
      </c>
      <c r="O12">
        <v>1</v>
      </c>
      <c r="P12" t="s">
        <v>527</v>
      </c>
      <c r="Q12">
        <v>922</v>
      </c>
    </row>
    <row r="13" spans="1:19">
      <c r="A13">
        <v>10</v>
      </c>
      <c r="B13" t="s">
        <v>507</v>
      </c>
      <c r="C13" t="s">
        <v>508</v>
      </c>
      <c r="D13" t="s">
        <v>480</v>
      </c>
      <c r="E13" t="s">
        <v>532</v>
      </c>
      <c r="F13" t="s">
        <v>555</v>
      </c>
      <c r="G13" t="s">
        <v>556</v>
      </c>
      <c r="H13" t="s">
        <v>557</v>
      </c>
      <c r="J13" t="s">
        <v>558</v>
      </c>
      <c r="K13" t="s">
        <v>506</v>
      </c>
      <c r="L13" t="s">
        <v>514</v>
      </c>
      <c r="M13" t="s">
        <v>514</v>
      </c>
      <c r="N13" t="s">
        <v>514</v>
      </c>
      <c r="O13">
        <v>1</v>
      </c>
      <c r="P13" t="s">
        <v>527</v>
      </c>
      <c r="Q13">
        <v>1680</v>
      </c>
    </row>
    <row r="14" spans="1:19">
      <c r="A14">
        <v>11</v>
      </c>
      <c r="B14" t="s">
        <v>507</v>
      </c>
      <c r="C14" t="s">
        <v>508</v>
      </c>
      <c r="D14" t="s">
        <v>480</v>
      </c>
      <c r="E14" t="s">
        <v>532</v>
      </c>
      <c r="F14" t="s">
        <v>555</v>
      </c>
      <c r="G14" t="s">
        <v>559</v>
      </c>
      <c r="H14" t="s">
        <v>560</v>
      </c>
      <c r="J14" t="s">
        <v>561</v>
      </c>
      <c r="K14" t="s">
        <v>506</v>
      </c>
      <c r="L14" t="s">
        <v>514</v>
      </c>
      <c r="M14" t="s">
        <v>562</v>
      </c>
      <c r="N14" t="s">
        <v>514</v>
      </c>
      <c r="O14">
        <v>1</v>
      </c>
      <c r="P14" t="s">
        <v>527</v>
      </c>
      <c r="Q14">
        <v>10</v>
      </c>
    </row>
    <row r="15" spans="1:19">
      <c r="A15">
        <v>12</v>
      </c>
      <c r="B15" t="s">
        <v>507</v>
      </c>
      <c r="C15" t="s">
        <v>508</v>
      </c>
      <c r="D15" t="s">
        <v>480</v>
      </c>
      <c r="E15" t="s">
        <v>532</v>
      </c>
      <c r="F15" t="s">
        <v>563</v>
      </c>
      <c r="G15" t="s">
        <v>564</v>
      </c>
      <c r="H15" t="s">
        <v>565</v>
      </c>
      <c r="J15" t="s">
        <v>566</v>
      </c>
      <c r="K15" t="s">
        <v>506</v>
      </c>
      <c r="L15" t="s">
        <v>514</v>
      </c>
      <c r="M15" t="s">
        <v>567</v>
      </c>
      <c r="N15" t="s">
        <v>514</v>
      </c>
      <c r="O15">
        <v>1</v>
      </c>
      <c r="P15" t="s">
        <v>527</v>
      </c>
      <c r="Q15">
        <v>74</v>
      </c>
    </row>
    <row r="16" spans="1:19">
      <c r="A16">
        <v>12</v>
      </c>
      <c r="B16" t="s">
        <v>507</v>
      </c>
      <c r="C16" t="s">
        <v>508</v>
      </c>
      <c r="D16" t="s">
        <v>480</v>
      </c>
      <c r="E16" t="s">
        <v>532</v>
      </c>
      <c r="F16" t="s">
        <v>563</v>
      </c>
      <c r="G16" t="s">
        <v>568</v>
      </c>
      <c r="H16" t="s">
        <v>569</v>
      </c>
      <c r="J16" t="s">
        <v>570</v>
      </c>
      <c r="K16" t="s">
        <v>506</v>
      </c>
      <c r="L16" t="s">
        <v>514</v>
      </c>
      <c r="M16" t="s">
        <v>571</v>
      </c>
      <c r="N16" t="s">
        <v>514</v>
      </c>
      <c r="O16">
        <v>1</v>
      </c>
      <c r="P16" t="s">
        <v>527</v>
      </c>
      <c r="Q16">
        <v>56</v>
      </c>
    </row>
    <row r="17" spans="1:17">
      <c r="A17">
        <v>13</v>
      </c>
      <c r="B17" t="s">
        <v>507</v>
      </c>
      <c r="C17" t="s">
        <v>508</v>
      </c>
      <c r="D17" t="s">
        <v>480</v>
      </c>
      <c r="E17" t="s">
        <v>532</v>
      </c>
      <c r="F17" t="s">
        <v>533</v>
      </c>
      <c r="G17" t="s">
        <v>572</v>
      </c>
      <c r="H17" t="s">
        <v>573</v>
      </c>
      <c r="J17" t="s">
        <v>574</v>
      </c>
      <c r="K17" t="s">
        <v>506</v>
      </c>
      <c r="L17" t="s">
        <v>514</v>
      </c>
      <c r="M17" t="s">
        <v>575</v>
      </c>
      <c r="N17" t="s">
        <v>514</v>
      </c>
      <c r="O17">
        <v>1</v>
      </c>
      <c r="P17" t="s">
        <v>527</v>
      </c>
      <c r="Q17">
        <v>84</v>
      </c>
    </row>
    <row r="18" spans="1:17">
      <c r="A18">
        <v>14</v>
      </c>
      <c r="B18" t="s">
        <v>507</v>
      </c>
      <c r="C18" t="s">
        <v>508</v>
      </c>
      <c r="D18" t="s">
        <v>480</v>
      </c>
      <c r="E18" t="s">
        <v>532</v>
      </c>
      <c r="F18" t="s">
        <v>576</v>
      </c>
      <c r="G18" t="s">
        <v>577</v>
      </c>
      <c r="H18" t="s">
        <v>578</v>
      </c>
      <c r="J18" t="s">
        <v>579</v>
      </c>
      <c r="K18" t="s">
        <v>506</v>
      </c>
      <c r="L18" t="s">
        <v>514</v>
      </c>
      <c r="M18" t="s">
        <v>580</v>
      </c>
      <c r="N18" t="s">
        <v>514</v>
      </c>
      <c r="O18">
        <v>1</v>
      </c>
      <c r="P18" t="s">
        <v>527</v>
      </c>
      <c r="Q18">
        <v>165</v>
      </c>
    </row>
    <row r="19" spans="1:17">
      <c r="A19">
        <v>15</v>
      </c>
      <c r="B19" t="s">
        <v>507</v>
      </c>
      <c r="C19" t="s">
        <v>508</v>
      </c>
      <c r="D19" t="s">
        <v>480</v>
      </c>
      <c r="E19" t="s">
        <v>532</v>
      </c>
      <c r="F19" t="s">
        <v>538</v>
      </c>
      <c r="G19" t="s">
        <v>581</v>
      </c>
      <c r="H19" t="s">
        <v>582</v>
      </c>
      <c r="J19" t="s">
        <v>583</v>
      </c>
      <c r="K19" t="s">
        <v>506</v>
      </c>
      <c r="L19" t="s">
        <v>514</v>
      </c>
      <c r="M19" t="s">
        <v>514</v>
      </c>
      <c r="N19" t="s">
        <v>514</v>
      </c>
      <c r="O19">
        <v>1</v>
      </c>
      <c r="P19" t="s">
        <v>527</v>
      </c>
      <c r="Q19">
        <v>43</v>
      </c>
    </row>
    <row r="20" spans="1:17">
      <c r="A20">
        <v>16</v>
      </c>
      <c r="B20" t="s">
        <v>507</v>
      </c>
      <c r="C20" t="s">
        <v>508</v>
      </c>
      <c r="D20" t="s">
        <v>480</v>
      </c>
      <c r="E20" t="s">
        <v>532</v>
      </c>
      <c r="F20" t="s">
        <v>584</v>
      </c>
      <c r="G20" t="s">
        <v>585</v>
      </c>
      <c r="H20" t="s">
        <v>586</v>
      </c>
      <c r="J20" t="s">
        <v>587</v>
      </c>
      <c r="K20" t="s">
        <v>506</v>
      </c>
      <c r="L20" t="s">
        <v>514</v>
      </c>
      <c r="M20" t="s">
        <v>575</v>
      </c>
      <c r="N20" t="s">
        <v>514</v>
      </c>
      <c r="O20">
        <v>1</v>
      </c>
      <c r="P20" t="s">
        <v>527</v>
      </c>
      <c r="Q20">
        <v>425</v>
      </c>
    </row>
    <row r="21" spans="1:17">
      <c r="A21">
        <v>17</v>
      </c>
      <c r="B21" t="s">
        <v>507</v>
      </c>
      <c r="C21" t="s">
        <v>508</v>
      </c>
      <c r="D21" t="s">
        <v>480</v>
      </c>
      <c r="E21" t="s">
        <v>532</v>
      </c>
      <c r="F21" t="s">
        <v>538</v>
      </c>
      <c r="G21" t="s">
        <v>588</v>
      </c>
      <c r="H21" t="s">
        <v>589</v>
      </c>
      <c r="J21" t="s">
        <v>590</v>
      </c>
      <c r="K21" t="s">
        <v>506</v>
      </c>
      <c r="L21" t="s">
        <v>514</v>
      </c>
      <c r="M21" t="s">
        <v>591</v>
      </c>
      <c r="N21" t="s">
        <v>514</v>
      </c>
      <c r="O21">
        <v>1</v>
      </c>
      <c r="P21" t="s">
        <v>527</v>
      </c>
      <c r="Q21">
        <v>77</v>
      </c>
    </row>
    <row r="22" spans="1:17">
      <c r="A22">
        <v>18</v>
      </c>
      <c r="B22" t="s">
        <v>507</v>
      </c>
      <c r="C22" t="s">
        <v>508</v>
      </c>
      <c r="D22" t="s">
        <v>480</v>
      </c>
      <c r="E22" t="s">
        <v>532</v>
      </c>
      <c r="F22" t="s">
        <v>510</v>
      </c>
      <c r="G22" t="s">
        <v>592</v>
      </c>
      <c r="H22" t="s">
        <v>593</v>
      </c>
      <c r="J22" t="s">
        <v>594</v>
      </c>
      <c r="K22" t="s">
        <v>506</v>
      </c>
      <c r="L22" t="s">
        <v>514</v>
      </c>
      <c r="M22" t="s">
        <v>595</v>
      </c>
      <c r="N22" t="s">
        <v>514</v>
      </c>
      <c r="O22">
        <v>2</v>
      </c>
      <c r="P22" t="s">
        <v>596</v>
      </c>
      <c r="Q22">
        <v>415</v>
      </c>
    </row>
    <row r="23" spans="1:17">
      <c r="A23">
        <v>33</v>
      </c>
      <c r="B23" t="s">
        <v>507</v>
      </c>
      <c r="C23" t="s">
        <v>508</v>
      </c>
      <c r="D23" t="s">
        <v>480</v>
      </c>
      <c r="E23" t="s">
        <v>543</v>
      </c>
      <c r="F23" t="s">
        <v>597</v>
      </c>
      <c r="G23" t="s">
        <v>598</v>
      </c>
      <c r="H23" t="s">
        <v>599</v>
      </c>
      <c r="J23" t="s">
        <v>600</v>
      </c>
      <c r="K23" t="s">
        <v>506</v>
      </c>
      <c r="L23" t="s">
        <v>514</v>
      </c>
      <c r="M23" t="s">
        <v>601</v>
      </c>
      <c r="N23" t="s">
        <v>514</v>
      </c>
      <c r="O23">
        <v>1</v>
      </c>
      <c r="P23" t="s">
        <v>602</v>
      </c>
      <c r="Q23">
        <v>53</v>
      </c>
    </row>
    <row r="24" spans="1:17">
      <c r="A24">
        <v>33</v>
      </c>
      <c r="B24" t="s">
        <v>507</v>
      </c>
      <c r="C24" t="s">
        <v>508</v>
      </c>
      <c r="D24" t="s">
        <v>480</v>
      </c>
      <c r="E24" t="s">
        <v>543</v>
      </c>
      <c r="F24" t="s">
        <v>597</v>
      </c>
      <c r="G24" t="s">
        <v>598</v>
      </c>
      <c r="H24" t="s">
        <v>603</v>
      </c>
      <c r="J24" t="s">
        <v>604</v>
      </c>
      <c r="K24" t="s">
        <v>506</v>
      </c>
      <c r="L24" t="s">
        <v>514</v>
      </c>
      <c r="M24" t="s">
        <v>601</v>
      </c>
      <c r="N24" t="s">
        <v>514</v>
      </c>
      <c r="O24">
        <v>1</v>
      </c>
      <c r="P24" t="s">
        <v>605</v>
      </c>
      <c r="Q24">
        <v>77</v>
      </c>
    </row>
    <row r="25" spans="1:17">
      <c r="A25">
        <v>20</v>
      </c>
      <c r="B25" t="s">
        <v>507</v>
      </c>
      <c r="C25" t="s">
        <v>508</v>
      </c>
      <c r="D25" t="s">
        <v>480</v>
      </c>
      <c r="E25" t="s">
        <v>543</v>
      </c>
      <c r="F25" t="s">
        <v>538</v>
      </c>
      <c r="G25" t="s">
        <v>464</v>
      </c>
      <c r="H25" t="s">
        <v>606</v>
      </c>
      <c r="J25" t="s">
        <v>607</v>
      </c>
      <c r="K25" t="s">
        <v>506</v>
      </c>
      <c r="L25" t="s">
        <v>514</v>
      </c>
      <c r="M25" t="s">
        <v>514</v>
      </c>
      <c r="N25" t="s">
        <v>514</v>
      </c>
      <c r="O25">
        <v>1</v>
      </c>
      <c r="P25" t="s">
        <v>608</v>
      </c>
      <c r="Q25">
        <v>875</v>
      </c>
    </row>
    <row r="26" spans="1:17">
      <c r="A26">
        <v>24</v>
      </c>
      <c r="B26" t="s">
        <v>507</v>
      </c>
      <c r="C26" t="s">
        <v>508</v>
      </c>
      <c r="D26" t="s">
        <v>480</v>
      </c>
      <c r="E26" t="s">
        <v>532</v>
      </c>
      <c r="F26" t="s">
        <v>576</v>
      </c>
      <c r="G26" t="s">
        <v>609</v>
      </c>
      <c r="H26" t="s">
        <v>610</v>
      </c>
      <c r="J26" t="s">
        <v>611</v>
      </c>
      <c r="K26" t="s">
        <v>506</v>
      </c>
      <c r="L26" t="s">
        <v>514</v>
      </c>
      <c r="M26" t="s">
        <v>514</v>
      </c>
      <c r="N26" t="s">
        <v>514</v>
      </c>
      <c r="O26">
        <v>1</v>
      </c>
      <c r="P26" t="s">
        <v>527</v>
      </c>
      <c r="Q26">
        <v>41</v>
      </c>
    </row>
    <row r="27" spans="1:17">
      <c r="A27">
        <v>26</v>
      </c>
      <c r="B27" t="s">
        <v>507</v>
      </c>
      <c r="C27" t="s">
        <v>508</v>
      </c>
      <c r="D27" t="s">
        <v>480</v>
      </c>
      <c r="E27" t="s">
        <v>543</v>
      </c>
      <c r="F27" t="s">
        <v>538</v>
      </c>
      <c r="G27" t="s">
        <v>465</v>
      </c>
      <c r="H27" t="s">
        <v>612</v>
      </c>
      <c r="J27" t="s">
        <v>613</v>
      </c>
      <c r="K27" t="s">
        <v>506</v>
      </c>
      <c r="L27" t="s">
        <v>514</v>
      </c>
      <c r="M27" t="s">
        <v>614</v>
      </c>
      <c r="N27" t="s">
        <v>514</v>
      </c>
      <c r="O27">
        <v>1</v>
      </c>
      <c r="P27" t="s">
        <v>547</v>
      </c>
      <c r="Q27">
        <v>289</v>
      </c>
    </row>
    <row r="28" spans="1:17">
      <c r="A28">
        <v>27</v>
      </c>
      <c r="B28" t="s">
        <v>507</v>
      </c>
      <c r="C28" t="s">
        <v>508</v>
      </c>
      <c r="D28" t="s">
        <v>480</v>
      </c>
      <c r="E28" t="s">
        <v>543</v>
      </c>
      <c r="F28" t="s">
        <v>538</v>
      </c>
      <c r="G28" t="s">
        <v>615</v>
      </c>
      <c r="H28" t="s">
        <v>616</v>
      </c>
      <c r="J28" t="s">
        <v>617</v>
      </c>
      <c r="K28" t="s">
        <v>506</v>
      </c>
      <c r="L28" t="s">
        <v>514</v>
      </c>
      <c r="M28" t="s">
        <v>618</v>
      </c>
      <c r="N28" t="s">
        <v>514</v>
      </c>
      <c r="O28">
        <v>1</v>
      </c>
      <c r="P28" t="s">
        <v>521</v>
      </c>
      <c r="Q28">
        <v>92</v>
      </c>
    </row>
    <row r="29" spans="1:17">
      <c r="A29">
        <v>33</v>
      </c>
      <c r="B29" t="s">
        <v>507</v>
      </c>
      <c r="C29" t="s">
        <v>508</v>
      </c>
      <c r="D29" t="s">
        <v>480</v>
      </c>
      <c r="E29" t="s">
        <v>67</v>
      </c>
      <c r="F29" t="s">
        <v>538</v>
      </c>
      <c r="G29" t="s">
        <v>619</v>
      </c>
      <c r="H29" t="s">
        <v>620</v>
      </c>
      <c r="J29" t="s">
        <v>621</v>
      </c>
      <c r="K29" t="s">
        <v>506</v>
      </c>
      <c r="L29" t="s">
        <v>514</v>
      </c>
      <c r="M29" t="s">
        <v>514</v>
      </c>
      <c r="N29" t="s">
        <v>514</v>
      </c>
      <c r="O29">
        <v>1</v>
      </c>
      <c r="P29" t="s">
        <v>622</v>
      </c>
      <c r="Q29">
        <v>58</v>
      </c>
    </row>
    <row r="30" spans="1:17">
      <c r="A30">
        <v>35</v>
      </c>
      <c r="B30" t="s">
        <v>507</v>
      </c>
      <c r="C30" t="s">
        <v>508</v>
      </c>
      <c r="D30" t="s">
        <v>480</v>
      </c>
      <c r="E30" t="s">
        <v>623</v>
      </c>
      <c r="F30" t="s">
        <v>510</v>
      </c>
      <c r="G30" t="s">
        <v>624</v>
      </c>
      <c r="H30" t="s">
        <v>625</v>
      </c>
      <c r="J30" t="s">
        <v>626</v>
      </c>
      <c r="K30" t="s">
        <v>506</v>
      </c>
      <c r="L30" t="s">
        <v>514</v>
      </c>
      <c r="M30" t="s">
        <v>627</v>
      </c>
      <c r="N30" t="s">
        <v>514</v>
      </c>
      <c r="O30">
        <v>1</v>
      </c>
      <c r="P30" t="s">
        <v>596</v>
      </c>
      <c r="Q30">
        <v>667</v>
      </c>
    </row>
    <row r="31" spans="1:17">
      <c r="A31">
        <v>39</v>
      </c>
      <c r="B31" t="s">
        <v>507</v>
      </c>
      <c r="C31" t="s">
        <v>508</v>
      </c>
      <c r="D31" t="s">
        <v>480</v>
      </c>
      <c r="E31" t="s">
        <v>623</v>
      </c>
      <c r="F31" t="s">
        <v>563</v>
      </c>
      <c r="G31" t="s">
        <v>628</v>
      </c>
      <c r="H31" t="s">
        <v>629</v>
      </c>
      <c r="J31" t="s">
        <v>630</v>
      </c>
      <c r="K31" t="s">
        <v>506</v>
      </c>
      <c r="L31" t="s">
        <v>514</v>
      </c>
      <c r="M31" t="s">
        <v>631</v>
      </c>
      <c r="N31" t="s">
        <v>514</v>
      </c>
      <c r="O31">
        <v>1</v>
      </c>
      <c r="P31" t="s">
        <v>527</v>
      </c>
      <c r="Q31">
        <v>60</v>
      </c>
    </row>
    <row r="32" spans="1:17">
      <c r="A32">
        <v>40</v>
      </c>
      <c r="B32" t="s">
        <v>507</v>
      </c>
      <c r="C32" t="s">
        <v>508</v>
      </c>
      <c r="D32" t="s">
        <v>480</v>
      </c>
      <c r="E32" t="s">
        <v>623</v>
      </c>
      <c r="F32" t="s">
        <v>632</v>
      </c>
      <c r="G32" t="s">
        <v>633</v>
      </c>
      <c r="H32" t="s">
        <v>634</v>
      </c>
      <c r="J32" t="s">
        <v>635</v>
      </c>
      <c r="K32" t="s">
        <v>506</v>
      </c>
      <c r="L32" t="s">
        <v>514</v>
      </c>
      <c r="M32" t="s">
        <v>636</v>
      </c>
      <c r="N32" t="s">
        <v>514</v>
      </c>
      <c r="O32">
        <v>1</v>
      </c>
      <c r="P32" t="s">
        <v>608</v>
      </c>
      <c r="Q32">
        <v>185.4</v>
      </c>
    </row>
    <row r="33" spans="1:17">
      <c r="A33">
        <v>41</v>
      </c>
      <c r="B33" t="s">
        <v>507</v>
      </c>
      <c r="C33" t="s">
        <v>508</v>
      </c>
      <c r="D33" t="s">
        <v>480</v>
      </c>
      <c r="E33" t="s">
        <v>623</v>
      </c>
      <c r="F33" t="s">
        <v>632</v>
      </c>
      <c r="G33" t="s">
        <v>637</v>
      </c>
      <c r="H33" t="s">
        <v>638</v>
      </c>
      <c r="J33" t="s">
        <v>639</v>
      </c>
      <c r="K33" t="s">
        <v>506</v>
      </c>
      <c r="L33" t="s">
        <v>514</v>
      </c>
      <c r="M33" t="s">
        <v>640</v>
      </c>
      <c r="N33" t="s">
        <v>514</v>
      </c>
      <c r="O33">
        <v>1</v>
      </c>
      <c r="P33" t="s">
        <v>608</v>
      </c>
      <c r="Q33">
        <v>474</v>
      </c>
    </row>
    <row r="34" spans="1:17">
      <c r="A34">
        <v>42</v>
      </c>
      <c r="B34" t="s">
        <v>507</v>
      </c>
      <c r="C34" t="s">
        <v>508</v>
      </c>
      <c r="D34" t="s">
        <v>480</v>
      </c>
      <c r="E34" t="s">
        <v>623</v>
      </c>
      <c r="F34" t="s">
        <v>632</v>
      </c>
      <c r="G34" t="s">
        <v>641</v>
      </c>
      <c r="H34" t="s">
        <v>642</v>
      </c>
      <c r="J34" t="s">
        <v>643</v>
      </c>
      <c r="K34" t="s">
        <v>506</v>
      </c>
      <c r="L34" t="s">
        <v>514</v>
      </c>
      <c r="M34" t="s">
        <v>644</v>
      </c>
      <c r="N34" t="s">
        <v>514</v>
      </c>
      <c r="O34">
        <v>1</v>
      </c>
      <c r="P34" t="s">
        <v>527</v>
      </c>
      <c r="Q34">
        <v>30</v>
      </c>
    </row>
    <row r="35" spans="1:17">
      <c r="A35">
        <v>43</v>
      </c>
      <c r="B35" t="s">
        <v>507</v>
      </c>
      <c r="C35" t="s">
        <v>508</v>
      </c>
      <c r="D35" t="s">
        <v>480</v>
      </c>
      <c r="E35" t="s">
        <v>623</v>
      </c>
      <c r="F35" t="s">
        <v>555</v>
      </c>
      <c r="G35" t="s">
        <v>645</v>
      </c>
      <c r="H35" t="s">
        <v>646</v>
      </c>
      <c r="J35" t="s">
        <v>647</v>
      </c>
      <c r="K35" t="s">
        <v>506</v>
      </c>
      <c r="L35" t="s">
        <v>514</v>
      </c>
      <c r="M35" t="s">
        <v>648</v>
      </c>
      <c r="N35" t="s">
        <v>514</v>
      </c>
      <c r="O35">
        <v>1</v>
      </c>
      <c r="P35" t="s">
        <v>649</v>
      </c>
      <c r="Q35">
        <v>370</v>
      </c>
    </row>
    <row r="36" spans="1:17">
      <c r="A36">
        <v>44</v>
      </c>
      <c r="B36" t="s">
        <v>507</v>
      </c>
      <c r="C36" t="s">
        <v>508</v>
      </c>
      <c r="D36" t="s">
        <v>480</v>
      </c>
      <c r="E36" t="s">
        <v>623</v>
      </c>
      <c r="F36" t="s">
        <v>522</v>
      </c>
      <c r="G36" t="s">
        <v>650</v>
      </c>
      <c r="H36" t="s">
        <v>651</v>
      </c>
      <c r="J36" t="s">
        <v>652</v>
      </c>
      <c r="K36" t="s">
        <v>506</v>
      </c>
      <c r="L36" t="s">
        <v>514</v>
      </c>
      <c r="M36" t="s">
        <v>653</v>
      </c>
      <c r="N36" t="s">
        <v>514</v>
      </c>
      <c r="O36">
        <v>1</v>
      </c>
      <c r="P36" t="s">
        <v>547</v>
      </c>
      <c r="Q36">
        <v>4.7</v>
      </c>
    </row>
    <row r="37" spans="1:17">
      <c r="A37">
        <v>46</v>
      </c>
      <c r="B37" t="s">
        <v>507</v>
      </c>
      <c r="C37" t="s">
        <v>508</v>
      </c>
      <c r="D37" t="s">
        <v>480</v>
      </c>
      <c r="E37" t="s">
        <v>623</v>
      </c>
      <c r="F37" t="s">
        <v>632</v>
      </c>
      <c r="G37" t="s">
        <v>654</v>
      </c>
      <c r="H37" t="s">
        <v>655</v>
      </c>
      <c r="J37" t="s">
        <v>656</v>
      </c>
      <c r="K37" t="s">
        <v>506</v>
      </c>
      <c r="L37" t="s">
        <v>514</v>
      </c>
      <c r="M37" t="s">
        <v>657</v>
      </c>
      <c r="N37" t="s">
        <v>514</v>
      </c>
      <c r="O37">
        <v>1</v>
      </c>
      <c r="P37" t="s">
        <v>527</v>
      </c>
      <c r="Q37">
        <v>55</v>
      </c>
    </row>
    <row r="38" spans="1:17">
      <c r="A38">
        <v>47</v>
      </c>
      <c r="B38" t="s">
        <v>507</v>
      </c>
      <c r="C38" t="s">
        <v>508</v>
      </c>
      <c r="D38" t="s">
        <v>480</v>
      </c>
      <c r="E38" t="s">
        <v>623</v>
      </c>
      <c r="F38" t="s">
        <v>632</v>
      </c>
      <c r="G38" t="s">
        <v>658</v>
      </c>
      <c r="H38" t="s">
        <v>659</v>
      </c>
      <c r="J38" t="s">
        <v>660</v>
      </c>
      <c r="K38" t="s">
        <v>506</v>
      </c>
      <c r="L38" t="s">
        <v>514</v>
      </c>
      <c r="M38" t="s">
        <v>661</v>
      </c>
      <c r="N38" t="s">
        <v>514</v>
      </c>
      <c r="O38">
        <v>1</v>
      </c>
      <c r="P38" t="s">
        <v>527</v>
      </c>
      <c r="Q38">
        <v>47</v>
      </c>
    </row>
    <row r="39" spans="1:17">
      <c r="A39">
        <v>1</v>
      </c>
      <c r="B39" t="s">
        <v>507</v>
      </c>
      <c r="C39" t="s">
        <v>508</v>
      </c>
      <c r="D39" t="s">
        <v>481</v>
      </c>
      <c r="E39" t="s">
        <v>509</v>
      </c>
      <c r="F39" t="s">
        <v>510</v>
      </c>
      <c r="G39" t="s">
        <v>511</v>
      </c>
      <c r="H39" t="s">
        <v>512</v>
      </c>
      <c r="J39" t="s">
        <v>513</v>
      </c>
      <c r="K39" t="s">
        <v>506</v>
      </c>
      <c r="L39" t="s">
        <v>514</v>
      </c>
      <c r="M39" t="s">
        <v>515</v>
      </c>
      <c r="N39" t="s">
        <v>514</v>
      </c>
      <c r="O39">
        <v>1</v>
      </c>
      <c r="P39" t="s">
        <v>516</v>
      </c>
      <c r="Q39">
        <v>920</v>
      </c>
    </row>
    <row r="40" spans="1:17">
      <c r="A40">
        <v>2</v>
      </c>
      <c r="B40" t="s">
        <v>507</v>
      </c>
      <c r="C40" t="s">
        <v>508</v>
      </c>
      <c r="D40" t="s">
        <v>481</v>
      </c>
      <c r="E40" t="s">
        <v>509</v>
      </c>
      <c r="F40" t="s">
        <v>510</v>
      </c>
      <c r="G40" t="s">
        <v>517</v>
      </c>
      <c r="H40" t="s">
        <v>518</v>
      </c>
      <c r="J40" t="s">
        <v>519</v>
      </c>
      <c r="K40" t="s">
        <v>506</v>
      </c>
      <c r="L40" t="s">
        <v>514</v>
      </c>
      <c r="M40" t="s">
        <v>520</v>
      </c>
      <c r="N40" t="s">
        <v>514</v>
      </c>
      <c r="O40">
        <v>1</v>
      </c>
      <c r="P40" t="s">
        <v>521</v>
      </c>
      <c r="Q40">
        <v>380</v>
      </c>
    </row>
    <row r="41" spans="1:17">
      <c r="A41">
        <v>3</v>
      </c>
      <c r="B41" t="s">
        <v>507</v>
      </c>
      <c r="C41" t="s">
        <v>508</v>
      </c>
      <c r="D41" t="s">
        <v>481</v>
      </c>
      <c r="E41" t="s">
        <v>509</v>
      </c>
      <c r="F41" t="s">
        <v>522</v>
      </c>
      <c r="G41" t="s">
        <v>523</v>
      </c>
      <c r="H41" t="s">
        <v>524</v>
      </c>
      <c r="J41" t="s">
        <v>525</v>
      </c>
      <c r="K41" t="s">
        <v>506</v>
      </c>
      <c r="L41" t="s">
        <v>514</v>
      </c>
      <c r="M41" t="s">
        <v>526</v>
      </c>
      <c r="N41" t="s">
        <v>514</v>
      </c>
      <c r="O41">
        <v>1</v>
      </c>
      <c r="P41" t="s">
        <v>527</v>
      </c>
      <c r="Q41">
        <v>14</v>
      </c>
    </row>
    <row r="42" spans="1:17">
      <c r="A42">
        <v>4</v>
      </c>
      <c r="B42" t="s">
        <v>507</v>
      </c>
      <c r="C42" t="s">
        <v>508</v>
      </c>
      <c r="D42" t="s">
        <v>481</v>
      </c>
      <c r="E42" t="s">
        <v>509</v>
      </c>
      <c r="F42" t="s">
        <v>522</v>
      </c>
      <c r="G42" t="s">
        <v>528</v>
      </c>
      <c r="H42" t="s">
        <v>529</v>
      </c>
      <c r="J42" t="s">
        <v>530</v>
      </c>
      <c r="K42" t="s">
        <v>506</v>
      </c>
      <c r="L42" t="s">
        <v>514</v>
      </c>
      <c r="M42" t="s">
        <v>531</v>
      </c>
      <c r="N42" t="s">
        <v>514</v>
      </c>
      <c r="O42">
        <v>1</v>
      </c>
      <c r="P42" t="s">
        <v>527</v>
      </c>
      <c r="Q42">
        <v>33</v>
      </c>
    </row>
    <row r="43" spans="1:17">
      <c r="A43">
        <v>5</v>
      </c>
      <c r="B43" t="s">
        <v>507</v>
      </c>
      <c r="C43" t="s">
        <v>508</v>
      </c>
      <c r="D43" t="s">
        <v>481</v>
      </c>
      <c r="E43" t="s">
        <v>532</v>
      </c>
      <c r="F43" t="s">
        <v>533</v>
      </c>
      <c r="G43" t="s">
        <v>534</v>
      </c>
      <c r="H43" t="s">
        <v>535</v>
      </c>
      <c r="J43" t="s">
        <v>536</v>
      </c>
      <c r="K43" t="s">
        <v>506</v>
      </c>
      <c r="L43" t="s">
        <v>514</v>
      </c>
      <c r="M43" t="s">
        <v>537</v>
      </c>
      <c r="N43" t="s">
        <v>514</v>
      </c>
      <c r="O43">
        <v>1</v>
      </c>
      <c r="P43" t="s">
        <v>527</v>
      </c>
      <c r="Q43">
        <v>0</v>
      </c>
    </row>
    <row r="44" spans="1:17">
      <c r="A44">
        <v>6</v>
      </c>
      <c r="B44" t="s">
        <v>507</v>
      </c>
      <c r="C44" t="s">
        <v>508</v>
      </c>
      <c r="D44" t="s">
        <v>481</v>
      </c>
      <c r="E44" t="s">
        <v>532</v>
      </c>
      <c r="F44" t="s">
        <v>538</v>
      </c>
      <c r="G44" t="s">
        <v>539</v>
      </c>
      <c r="H44" t="s">
        <v>540</v>
      </c>
      <c r="J44" t="s">
        <v>541</v>
      </c>
      <c r="K44" t="s">
        <v>506</v>
      </c>
      <c r="L44" t="s">
        <v>514</v>
      </c>
      <c r="M44" t="s">
        <v>542</v>
      </c>
      <c r="N44" t="s">
        <v>514</v>
      </c>
      <c r="O44">
        <v>1</v>
      </c>
      <c r="P44" t="s">
        <v>527</v>
      </c>
      <c r="Q44">
        <v>223</v>
      </c>
    </row>
    <row r="45" spans="1:17">
      <c r="A45">
        <v>7</v>
      </c>
      <c r="B45" t="s">
        <v>507</v>
      </c>
      <c r="C45" t="s">
        <v>508</v>
      </c>
      <c r="D45" t="s">
        <v>481</v>
      </c>
      <c r="E45" t="s">
        <v>532</v>
      </c>
      <c r="F45" t="s">
        <v>538</v>
      </c>
      <c r="G45" t="s">
        <v>662</v>
      </c>
      <c r="H45" t="s">
        <v>663</v>
      </c>
      <c r="J45" t="s">
        <v>664</v>
      </c>
      <c r="K45" t="s">
        <v>506</v>
      </c>
      <c r="L45" t="s">
        <v>514</v>
      </c>
      <c r="M45" t="s">
        <v>514</v>
      </c>
      <c r="N45" t="s">
        <v>514</v>
      </c>
      <c r="O45">
        <v>1</v>
      </c>
      <c r="P45" t="s">
        <v>527</v>
      </c>
      <c r="Q45">
        <v>784</v>
      </c>
    </row>
    <row r="46" spans="1:17">
      <c r="A46">
        <v>7</v>
      </c>
      <c r="B46" t="s">
        <v>507</v>
      </c>
      <c r="C46" t="s">
        <v>508</v>
      </c>
      <c r="D46" t="s">
        <v>481</v>
      </c>
      <c r="E46" t="s">
        <v>532</v>
      </c>
      <c r="F46" t="s">
        <v>538</v>
      </c>
      <c r="G46" t="s">
        <v>665</v>
      </c>
      <c r="H46" t="s">
        <v>666</v>
      </c>
      <c r="J46" t="s">
        <v>667</v>
      </c>
      <c r="K46" t="s">
        <v>506</v>
      </c>
      <c r="L46" t="s">
        <v>514</v>
      </c>
      <c r="M46" t="s">
        <v>668</v>
      </c>
      <c r="N46" t="s">
        <v>514</v>
      </c>
      <c r="O46">
        <v>1</v>
      </c>
      <c r="P46" t="s">
        <v>547</v>
      </c>
      <c r="Q46">
        <v>242</v>
      </c>
    </row>
    <row r="47" spans="1:17">
      <c r="A47">
        <v>9</v>
      </c>
      <c r="B47" t="s">
        <v>507</v>
      </c>
      <c r="C47" t="s">
        <v>508</v>
      </c>
      <c r="D47" t="s">
        <v>481</v>
      </c>
      <c r="E47" t="s">
        <v>532</v>
      </c>
      <c r="F47" t="s">
        <v>538</v>
      </c>
      <c r="G47" t="s">
        <v>468</v>
      </c>
      <c r="H47" t="s">
        <v>669</v>
      </c>
      <c r="J47" t="s">
        <v>670</v>
      </c>
      <c r="K47" t="s">
        <v>506</v>
      </c>
      <c r="L47" t="s">
        <v>514</v>
      </c>
      <c r="M47" t="s">
        <v>671</v>
      </c>
      <c r="N47" t="s">
        <v>514</v>
      </c>
      <c r="O47">
        <v>1</v>
      </c>
      <c r="P47" t="s">
        <v>547</v>
      </c>
      <c r="Q47">
        <v>388</v>
      </c>
    </row>
    <row r="48" spans="1:17">
      <c r="A48">
        <v>9</v>
      </c>
      <c r="B48" t="s">
        <v>507</v>
      </c>
      <c r="C48" t="s">
        <v>508</v>
      </c>
      <c r="D48" t="s">
        <v>481</v>
      </c>
      <c r="E48" t="s">
        <v>532</v>
      </c>
      <c r="F48" t="s">
        <v>538</v>
      </c>
      <c r="G48" t="s">
        <v>615</v>
      </c>
      <c r="H48" t="s">
        <v>672</v>
      </c>
      <c r="J48" t="s">
        <v>673</v>
      </c>
      <c r="K48" t="s">
        <v>506</v>
      </c>
      <c r="L48" t="s">
        <v>514</v>
      </c>
      <c r="M48" t="s">
        <v>674</v>
      </c>
      <c r="N48" t="s">
        <v>514</v>
      </c>
      <c r="O48">
        <v>2</v>
      </c>
      <c r="P48" t="s">
        <v>521</v>
      </c>
      <c r="Q48">
        <v>128</v>
      </c>
    </row>
    <row r="49" spans="1:17">
      <c r="A49">
        <v>10</v>
      </c>
      <c r="B49" t="s">
        <v>507</v>
      </c>
      <c r="C49" t="s">
        <v>508</v>
      </c>
      <c r="D49" t="s">
        <v>481</v>
      </c>
      <c r="E49" t="s">
        <v>532</v>
      </c>
      <c r="F49" t="s">
        <v>555</v>
      </c>
      <c r="G49" t="s">
        <v>556</v>
      </c>
      <c r="H49" t="s">
        <v>557</v>
      </c>
      <c r="J49" t="s">
        <v>558</v>
      </c>
      <c r="K49" t="s">
        <v>506</v>
      </c>
      <c r="L49" t="s">
        <v>514</v>
      </c>
      <c r="M49" t="s">
        <v>514</v>
      </c>
      <c r="N49" t="s">
        <v>514</v>
      </c>
      <c r="O49">
        <v>1</v>
      </c>
      <c r="P49" t="s">
        <v>527</v>
      </c>
      <c r="Q49">
        <v>1680</v>
      </c>
    </row>
    <row r="50" spans="1:17">
      <c r="A50">
        <v>11</v>
      </c>
      <c r="B50" t="s">
        <v>507</v>
      </c>
      <c r="C50" t="s">
        <v>508</v>
      </c>
      <c r="D50" t="s">
        <v>481</v>
      </c>
      <c r="E50" t="s">
        <v>532</v>
      </c>
      <c r="F50" t="s">
        <v>555</v>
      </c>
      <c r="G50" t="s">
        <v>559</v>
      </c>
      <c r="H50" t="s">
        <v>560</v>
      </c>
      <c r="J50" t="s">
        <v>561</v>
      </c>
      <c r="K50" t="s">
        <v>506</v>
      </c>
      <c r="L50" t="s">
        <v>514</v>
      </c>
      <c r="M50" t="s">
        <v>562</v>
      </c>
      <c r="N50" t="s">
        <v>514</v>
      </c>
      <c r="O50">
        <v>1</v>
      </c>
      <c r="P50" t="s">
        <v>527</v>
      </c>
      <c r="Q50">
        <v>10</v>
      </c>
    </row>
    <row r="51" spans="1:17">
      <c r="A51">
        <v>12</v>
      </c>
      <c r="B51" t="s">
        <v>507</v>
      </c>
      <c r="C51" t="s">
        <v>508</v>
      </c>
      <c r="D51" t="s">
        <v>481</v>
      </c>
      <c r="E51" t="s">
        <v>532</v>
      </c>
      <c r="F51" t="s">
        <v>563</v>
      </c>
      <c r="G51" t="s">
        <v>564</v>
      </c>
      <c r="H51" t="s">
        <v>565</v>
      </c>
      <c r="J51" t="s">
        <v>566</v>
      </c>
      <c r="K51" t="s">
        <v>506</v>
      </c>
      <c r="L51" t="s">
        <v>514</v>
      </c>
      <c r="M51" t="s">
        <v>567</v>
      </c>
      <c r="N51" t="s">
        <v>514</v>
      </c>
      <c r="O51">
        <v>1</v>
      </c>
      <c r="P51" t="s">
        <v>527</v>
      </c>
      <c r="Q51">
        <v>74</v>
      </c>
    </row>
    <row r="52" spans="1:17">
      <c r="A52">
        <v>12</v>
      </c>
      <c r="B52" t="s">
        <v>507</v>
      </c>
      <c r="C52" t="s">
        <v>508</v>
      </c>
      <c r="D52" t="s">
        <v>481</v>
      </c>
      <c r="E52" t="s">
        <v>532</v>
      </c>
      <c r="F52" t="s">
        <v>563</v>
      </c>
      <c r="G52" t="s">
        <v>568</v>
      </c>
      <c r="H52" t="s">
        <v>569</v>
      </c>
      <c r="J52" t="s">
        <v>570</v>
      </c>
      <c r="K52" t="s">
        <v>506</v>
      </c>
      <c r="L52" t="s">
        <v>514</v>
      </c>
      <c r="M52" t="s">
        <v>571</v>
      </c>
      <c r="N52" t="s">
        <v>514</v>
      </c>
      <c r="O52">
        <v>2</v>
      </c>
      <c r="P52" t="s">
        <v>527</v>
      </c>
      <c r="Q52">
        <v>56</v>
      </c>
    </row>
    <row r="53" spans="1:17">
      <c r="A53">
        <v>13</v>
      </c>
      <c r="B53" t="s">
        <v>507</v>
      </c>
      <c r="C53" t="s">
        <v>508</v>
      </c>
      <c r="D53" t="s">
        <v>481</v>
      </c>
      <c r="E53" t="s">
        <v>532</v>
      </c>
      <c r="F53" t="s">
        <v>533</v>
      </c>
      <c r="G53" t="s">
        <v>572</v>
      </c>
      <c r="H53" t="s">
        <v>573</v>
      </c>
      <c r="J53" t="s">
        <v>574</v>
      </c>
      <c r="K53" t="s">
        <v>506</v>
      </c>
      <c r="L53" t="s">
        <v>514</v>
      </c>
      <c r="M53" t="s">
        <v>575</v>
      </c>
      <c r="N53" t="s">
        <v>514</v>
      </c>
      <c r="O53">
        <v>1</v>
      </c>
      <c r="P53" t="s">
        <v>527</v>
      </c>
      <c r="Q53">
        <v>84</v>
      </c>
    </row>
    <row r="54" spans="1:17">
      <c r="A54">
        <v>14</v>
      </c>
      <c r="B54" t="s">
        <v>507</v>
      </c>
      <c r="C54" t="s">
        <v>508</v>
      </c>
      <c r="D54" t="s">
        <v>481</v>
      </c>
      <c r="E54" t="s">
        <v>532</v>
      </c>
      <c r="F54" t="s">
        <v>576</v>
      </c>
      <c r="G54" t="s">
        <v>577</v>
      </c>
      <c r="H54" t="s">
        <v>578</v>
      </c>
      <c r="J54" t="s">
        <v>579</v>
      </c>
      <c r="K54" t="s">
        <v>506</v>
      </c>
      <c r="L54" t="s">
        <v>514</v>
      </c>
      <c r="M54" t="s">
        <v>580</v>
      </c>
      <c r="N54" t="s">
        <v>514</v>
      </c>
      <c r="O54">
        <v>1</v>
      </c>
      <c r="P54" t="s">
        <v>527</v>
      </c>
      <c r="Q54">
        <v>165</v>
      </c>
    </row>
    <row r="55" spans="1:17">
      <c r="A55">
        <v>15</v>
      </c>
      <c r="B55" t="s">
        <v>507</v>
      </c>
      <c r="C55" t="s">
        <v>508</v>
      </c>
      <c r="D55" t="s">
        <v>481</v>
      </c>
      <c r="E55" t="s">
        <v>532</v>
      </c>
      <c r="F55" t="s">
        <v>538</v>
      </c>
      <c r="G55" t="s">
        <v>581</v>
      </c>
      <c r="H55" t="s">
        <v>582</v>
      </c>
      <c r="J55" t="s">
        <v>583</v>
      </c>
      <c r="K55" t="s">
        <v>506</v>
      </c>
      <c r="L55" t="s">
        <v>514</v>
      </c>
      <c r="M55" t="s">
        <v>514</v>
      </c>
      <c r="N55" t="s">
        <v>514</v>
      </c>
      <c r="O55">
        <v>1</v>
      </c>
      <c r="P55" t="s">
        <v>527</v>
      </c>
      <c r="Q55">
        <v>43</v>
      </c>
    </row>
    <row r="56" spans="1:17">
      <c r="A56">
        <v>16</v>
      </c>
      <c r="B56" t="s">
        <v>507</v>
      </c>
      <c r="C56" t="s">
        <v>508</v>
      </c>
      <c r="D56" t="s">
        <v>481</v>
      </c>
      <c r="E56" t="s">
        <v>532</v>
      </c>
      <c r="F56" t="s">
        <v>584</v>
      </c>
      <c r="G56" t="s">
        <v>585</v>
      </c>
      <c r="H56" t="s">
        <v>586</v>
      </c>
      <c r="J56" t="s">
        <v>587</v>
      </c>
      <c r="K56" t="s">
        <v>506</v>
      </c>
      <c r="L56" t="s">
        <v>514</v>
      </c>
      <c r="M56" t="s">
        <v>575</v>
      </c>
      <c r="N56" t="s">
        <v>514</v>
      </c>
      <c r="O56">
        <v>1</v>
      </c>
      <c r="P56" t="s">
        <v>527</v>
      </c>
      <c r="Q56">
        <v>425</v>
      </c>
    </row>
    <row r="57" spans="1:17">
      <c r="A57">
        <v>17</v>
      </c>
      <c r="B57" t="s">
        <v>507</v>
      </c>
      <c r="C57" t="s">
        <v>508</v>
      </c>
      <c r="D57" t="s">
        <v>481</v>
      </c>
      <c r="E57" t="s">
        <v>532</v>
      </c>
      <c r="F57" t="s">
        <v>538</v>
      </c>
      <c r="G57" t="s">
        <v>588</v>
      </c>
      <c r="H57" t="s">
        <v>589</v>
      </c>
      <c r="J57" t="s">
        <v>590</v>
      </c>
      <c r="K57" t="s">
        <v>506</v>
      </c>
      <c r="L57" t="s">
        <v>514</v>
      </c>
      <c r="M57" t="s">
        <v>591</v>
      </c>
      <c r="N57" t="s">
        <v>514</v>
      </c>
      <c r="O57">
        <v>1</v>
      </c>
      <c r="P57" t="s">
        <v>527</v>
      </c>
      <c r="Q57">
        <v>77</v>
      </c>
    </row>
    <row r="58" spans="1:17">
      <c r="A58">
        <v>18</v>
      </c>
      <c r="B58" t="s">
        <v>507</v>
      </c>
      <c r="C58" t="s">
        <v>508</v>
      </c>
      <c r="D58" t="s">
        <v>481</v>
      </c>
      <c r="E58" t="s">
        <v>532</v>
      </c>
      <c r="F58" t="s">
        <v>510</v>
      </c>
      <c r="G58" t="s">
        <v>592</v>
      </c>
      <c r="H58" t="s">
        <v>593</v>
      </c>
      <c r="J58" t="s">
        <v>675</v>
      </c>
      <c r="K58" t="s">
        <v>506</v>
      </c>
      <c r="L58" t="s">
        <v>514</v>
      </c>
      <c r="M58" t="s">
        <v>676</v>
      </c>
      <c r="N58" t="s">
        <v>514</v>
      </c>
      <c r="O58">
        <v>2</v>
      </c>
      <c r="P58" t="s">
        <v>596</v>
      </c>
      <c r="Q58">
        <v>424</v>
      </c>
    </row>
    <row r="59" spans="1:17">
      <c r="A59">
        <v>19</v>
      </c>
      <c r="B59" t="s">
        <v>507</v>
      </c>
      <c r="C59" t="s">
        <v>508</v>
      </c>
      <c r="D59" t="s">
        <v>481</v>
      </c>
      <c r="E59" t="s">
        <v>532</v>
      </c>
      <c r="F59" t="s">
        <v>597</v>
      </c>
      <c r="G59" t="s">
        <v>598</v>
      </c>
      <c r="H59" t="s">
        <v>599</v>
      </c>
      <c r="J59" t="s">
        <v>600</v>
      </c>
      <c r="K59" t="s">
        <v>506</v>
      </c>
      <c r="L59" t="s">
        <v>514</v>
      </c>
      <c r="M59" t="s">
        <v>601</v>
      </c>
      <c r="N59" t="s">
        <v>514</v>
      </c>
      <c r="O59">
        <v>1</v>
      </c>
      <c r="P59" t="s">
        <v>602</v>
      </c>
      <c r="Q59">
        <v>53</v>
      </c>
    </row>
    <row r="60" spans="1:17">
      <c r="A60">
        <v>24</v>
      </c>
      <c r="B60" t="s">
        <v>507</v>
      </c>
      <c r="C60" t="s">
        <v>508</v>
      </c>
      <c r="D60" t="s">
        <v>481</v>
      </c>
      <c r="E60" t="s">
        <v>532</v>
      </c>
      <c r="F60" t="s">
        <v>576</v>
      </c>
      <c r="G60" t="s">
        <v>609</v>
      </c>
      <c r="H60" t="s">
        <v>610</v>
      </c>
      <c r="J60" t="s">
        <v>611</v>
      </c>
      <c r="K60" t="s">
        <v>506</v>
      </c>
      <c r="L60" t="s">
        <v>514</v>
      </c>
      <c r="M60" t="s">
        <v>514</v>
      </c>
      <c r="N60" t="s">
        <v>514</v>
      </c>
      <c r="O60">
        <v>1</v>
      </c>
      <c r="P60" t="s">
        <v>527</v>
      </c>
      <c r="Q60">
        <v>41</v>
      </c>
    </row>
    <row r="61" spans="1:17">
      <c r="A61">
        <v>33</v>
      </c>
      <c r="B61" t="s">
        <v>507</v>
      </c>
      <c r="C61" t="s">
        <v>508</v>
      </c>
      <c r="D61" t="s">
        <v>481</v>
      </c>
      <c r="E61" t="s">
        <v>532</v>
      </c>
      <c r="F61" t="s">
        <v>538</v>
      </c>
      <c r="G61" t="s">
        <v>619</v>
      </c>
      <c r="H61" t="s">
        <v>620</v>
      </c>
      <c r="J61" t="s">
        <v>621</v>
      </c>
      <c r="K61" t="s">
        <v>506</v>
      </c>
      <c r="L61" t="s">
        <v>514</v>
      </c>
      <c r="M61" t="s">
        <v>514</v>
      </c>
      <c r="N61" t="s">
        <v>514</v>
      </c>
      <c r="O61">
        <v>1</v>
      </c>
      <c r="P61" t="s">
        <v>622</v>
      </c>
      <c r="Q61">
        <v>58</v>
      </c>
    </row>
    <row r="62" spans="1:17">
      <c r="A62">
        <v>19</v>
      </c>
      <c r="B62" t="s">
        <v>507</v>
      </c>
      <c r="C62" t="s">
        <v>508</v>
      </c>
      <c r="D62" t="s">
        <v>481</v>
      </c>
      <c r="E62" t="s">
        <v>532</v>
      </c>
      <c r="F62" t="s">
        <v>538</v>
      </c>
      <c r="G62" t="s">
        <v>677</v>
      </c>
      <c r="H62" t="s">
        <v>678</v>
      </c>
      <c r="J62" t="s">
        <v>679</v>
      </c>
      <c r="K62" t="s">
        <v>506</v>
      </c>
      <c r="L62" t="s">
        <v>514</v>
      </c>
      <c r="M62" t="s">
        <v>680</v>
      </c>
      <c r="N62" t="s">
        <v>514</v>
      </c>
      <c r="O62">
        <v>1</v>
      </c>
      <c r="P62" t="s">
        <v>681</v>
      </c>
      <c r="Q62">
        <v>53</v>
      </c>
    </row>
    <row r="63" spans="1:17">
      <c r="A63">
        <v>19</v>
      </c>
      <c r="B63" t="s">
        <v>507</v>
      </c>
      <c r="C63" t="s">
        <v>508</v>
      </c>
      <c r="D63" t="s">
        <v>481</v>
      </c>
      <c r="E63" t="s">
        <v>532</v>
      </c>
      <c r="F63" t="s">
        <v>563</v>
      </c>
      <c r="G63" t="s">
        <v>682</v>
      </c>
      <c r="H63" t="s">
        <v>683</v>
      </c>
      <c r="J63" t="s">
        <v>684</v>
      </c>
      <c r="K63" t="s">
        <v>506</v>
      </c>
      <c r="L63" t="s">
        <v>514</v>
      </c>
      <c r="M63" t="s">
        <v>685</v>
      </c>
      <c r="N63" t="s">
        <v>514</v>
      </c>
      <c r="O63">
        <v>1</v>
      </c>
      <c r="P63" t="s">
        <v>527</v>
      </c>
      <c r="Q63">
        <v>81</v>
      </c>
    </row>
    <row r="64" spans="1:17">
      <c r="A64">
        <v>20</v>
      </c>
      <c r="B64" t="s">
        <v>507</v>
      </c>
      <c r="C64" t="s">
        <v>508</v>
      </c>
      <c r="D64" t="s">
        <v>481</v>
      </c>
      <c r="E64" t="s">
        <v>532</v>
      </c>
      <c r="F64" t="s">
        <v>538</v>
      </c>
      <c r="G64" t="s">
        <v>464</v>
      </c>
      <c r="H64" t="s">
        <v>686</v>
      </c>
      <c r="J64" t="s">
        <v>687</v>
      </c>
      <c r="K64" t="s">
        <v>506</v>
      </c>
      <c r="L64" t="s">
        <v>514</v>
      </c>
      <c r="M64" t="s">
        <v>514</v>
      </c>
      <c r="N64" t="s">
        <v>514</v>
      </c>
      <c r="O64">
        <v>1</v>
      </c>
      <c r="P64" t="s">
        <v>608</v>
      </c>
      <c r="Q64">
        <v>1086</v>
      </c>
    </row>
    <row r="65" spans="1:17">
      <c r="A65">
        <v>27</v>
      </c>
      <c r="B65" t="s">
        <v>507</v>
      </c>
      <c r="C65" t="s">
        <v>508</v>
      </c>
      <c r="D65" t="s">
        <v>481</v>
      </c>
      <c r="E65" t="s">
        <v>543</v>
      </c>
      <c r="F65" t="s">
        <v>510</v>
      </c>
      <c r="G65" t="s">
        <v>688</v>
      </c>
      <c r="H65" t="s">
        <v>689</v>
      </c>
      <c r="J65" t="s">
        <v>690</v>
      </c>
      <c r="K65" t="s">
        <v>506</v>
      </c>
      <c r="L65" t="s">
        <v>514</v>
      </c>
      <c r="M65" t="s">
        <v>691</v>
      </c>
      <c r="N65" t="s">
        <v>514</v>
      </c>
      <c r="O65">
        <v>1</v>
      </c>
      <c r="P65" t="s">
        <v>596</v>
      </c>
      <c r="Q65">
        <v>800</v>
      </c>
    </row>
    <row r="66" spans="1:17">
      <c r="A66">
        <v>27</v>
      </c>
      <c r="B66" t="s">
        <v>507</v>
      </c>
      <c r="C66" t="s">
        <v>508</v>
      </c>
      <c r="D66" t="s">
        <v>481</v>
      </c>
      <c r="E66" t="s">
        <v>543</v>
      </c>
      <c r="F66" t="s">
        <v>538</v>
      </c>
      <c r="G66" t="s">
        <v>544</v>
      </c>
      <c r="H66" t="s">
        <v>545</v>
      </c>
      <c r="J66" t="s">
        <v>546</v>
      </c>
      <c r="K66" t="s">
        <v>506</v>
      </c>
      <c r="L66" t="s">
        <v>514</v>
      </c>
      <c r="M66" t="s">
        <v>514</v>
      </c>
      <c r="N66" t="s">
        <v>514</v>
      </c>
      <c r="O66">
        <v>1</v>
      </c>
      <c r="P66" t="s">
        <v>547</v>
      </c>
      <c r="Q66">
        <v>640</v>
      </c>
    </row>
    <row r="67" spans="1:17">
      <c r="A67">
        <v>27</v>
      </c>
      <c r="B67" t="s">
        <v>507</v>
      </c>
      <c r="C67" t="s">
        <v>508</v>
      </c>
      <c r="D67" t="s">
        <v>481</v>
      </c>
      <c r="E67" t="s">
        <v>543</v>
      </c>
      <c r="F67" t="s">
        <v>538</v>
      </c>
      <c r="G67" t="s">
        <v>548</v>
      </c>
      <c r="H67" t="s">
        <v>549</v>
      </c>
      <c r="J67" t="s">
        <v>550</v>
      </c>
      <c r="K67" t="s">
        <v>506</v>
      </c>
      <c r="L67" t="s">
        <v>514</v>
      </c>
      <c r="M67" t="s">
        <v>514</v>
      </c>
      <c r="N67" t="s">
        <v>514</v>
      </c>
      <c r="O67">
        <v>1</v>
      </c>
      <c r="P67" t="s">
        <v>547</v>
      </c>
      <c r="Q67">
        <v>425</v>
      </c>
    </row>
    <row r="68" spans="1:17">
      <c r="A68">
        <v>27</v>
      </c>
      <c r="B68" t="s">
        <v>507</v>
      </c>
      <c r="C68" t="s">
        <v>508</v>
      </c>
      <c r="D68" t="s">
        <v>481</v>
      </c>
      <c r="E68" t="s">
        <v>543</v>
      </c>
      <c r="F68" t="s">
        <v>538</v>
      </c>
      <c r="G68" t="s">
        <v>692</v>
      </c>
      <c r="H68" t="s">
        <v>693</v>
      </c>
      <c r="J68" t="s">
        <v>694</v>
      </c>
      <c r="K68" t="s">
        <v>506</v>
      </c>
      <c r="L68" t="s">
        <v>514</v>
      </c>
      <c r="M68" t="s">
        <v>695</v>
      </c>
      <c r="N68" t="s">
        <v>514</v>
      </c>
      <c r="O68">
        <v>1</v>
      </c>
      <c r="P68" t="s">
        <v>527</v>
      </c>
      <c r="Q68">
        <v>130</v>
      </c>
    </row>
    <row r="69" spans="1:17">
      <c r="A69">
        <v>27</v>
      </c>
      <c r="B69" t="s">
        <v>507</v>
      </c>
      <c r="C69" t="s">
        <v>508</v>
      </c>
      <c r="D69" t="s">
        <v>481</v>
      </c>
      <c r="E69" t="s">
        <v>543</v>
      </c>
      <c r="F69" t="s">
        <v>538</v>
      </c>
      <c r="G69" t="s">
        <v>551</v>
      </c>
      <c r="H69" t="s">
        <v>696</v>
      </c>
      <c r="J69" t="s">
        <v>697</v>
      </c>
      <c r="K69" t="s">
        <v>506</v>
      </c>
      <c r="L69" t="s">
        <v>514</v>
      </c>
      <c r="M69" t="s">
        <v>698</v>
      </c>
      <c r="N69" t="s">
        <v>514</v>
      </c>
      <c r="O69">
        <v>1</v>
      </c>
      <c r="P69" t="s">
        <v>527</v>
      </c>
      <c r="Q69">
        <v>959</v>
      </c>
    </row>
    <row r="70" spans="1:17">
      <c r="A70">
        <v>33</v>
      </c>
      <c r="B70" t="s">
        <v>507</v>
      </c>
      <c r="C70" t="s">
        <v>508</v>
      </c>
      <c r="D70" t="s">
        <v>481</v>
      </c>
      <c r="E70" t="s">
        <v>543</v>
      </c>
      <c r="F70" t="s">
        <v>510</v>
      </c>
      <c r="G70" t="s">
        <v>592</v>
      </c>
      <c r="H70" t="s">
        <v>699</v>
      </c>
      <c r="J70" t="s">
        <v>594</v>
      </c>
      <c r="K70" t="s">
        <v>506</v>
      </c>
      <c r="L70" t="s">
        <v>514</v>
      </c>
      <c r="M70" t="s">
        <v>595</v>
      </c>
      <c r="N70" t="s">
        <v>514</v>
      </c>
      <c r="O70">
        <v>1</v>
      </c>
      <c r="P70" t="s">
        <v>596</v>
      </c>
      <c r="Q70">
        <v>415</v>
      </c>
    </row>
    <row r="71" spans="1:17">
      <c r="A71">
        <v>33</v>
      </c>
      <c r="B71" t="s">
        <v>507</v>
      </c>
      <c r="C71" t="s">
        <v>508</v>
      </c>
      <c r="D71" t="s">
        <v>481</v>
      </c>
      <c r="E71" t="s">
        <v>543</v>
      </c>
      <c r="F71" t="s">
        <v>597</v>
      </c>
      <c r="G71" t="s">
        <v>598</v>
      </c>
      <c r="H71" t="s">
        <v>603</v>
      </c>
      <c r="J71" t="s">
        <v>604</v>
      </c>
      <c r="K71" t="s">
        <v>506</v>
      </c>
      <c r="L71" t="s">
        <v>514</v>
      </c>
      <c r="M71" t="s">
        <v>601</v>
      </c>
      <c r="N71" t="s">
        <v>514</v>
      </c>
      <c r="O71">
        <v>1</v>
      </c>
      <c r="P71" t="s">
        <v>605</v>
      </c>
      <c r="Q71">
        <v>77</v>
      </c>
    </row>
    <row r="72" spans="1:17">
      <c r="A72">
        <v>33</v>
      </c>
      <c r="B72" t="s">
        <v>507</v>
      </c>
      <c r="C72" t="s">
        <v>508</v>
      </c>
      <c r="D72" t="s">
        <v>481</v>
      </c>
      <c r="E72" t="s">
        <v>543</v>
      </c>
      <c r="F72" t="s">
        <v>555</v>
      </c>
      <c r="G72" t="s">
        <v>556</v>
      </c>
      <c r="H72" t="s">
        <v>557</v>
      </c>
      <c r="J72" t="s">
        <v>558</v>
      </c>
      <c r="K72" t="s">
        <v>506</v>
      </c>
      <c r="L72" t="s">
        <v>514</v>
      </c>
      <c r="M72" t="s">
        <v>514</v>
      </c>
      <c r="N72" t="s">
        <v>514</v>
      </c>
      <c r="O72">
        <v>1</v>
      </c>
      <c r="P72" t="s">
        <v>527</v>
      </c>
      <c r="Q72">
        <v>1680</v>
      </c>
    </row>
    <row r="73" spans="1:17">
      <c r="A73">
        <v>33</v>
      </c>
      <c r="B73" t="s">
        <v>507</v>
      </c>
      <c r="C73" t="s">
        <v>508</v>
      </c>
      <c r="D73" t="s">
        <v>481</v>
      </c>
      <c r="E73" t="s">
        <v>543</v>
      </c>
      <c r="F73" t="s">
        <v>555</v>
      </c>
      <c r="G73" t="s">
        <v>559</v>
      </c>
      <c r="H73" t="s">
        <v>560</v>
      </c>
      <c r="J73" t="s">
        <v>561</v>
      </c>
      <c r="K73" t="s">
        <v>506</v>
      </c>
      <c r="L73" t="s">
        <v>514</v>
      </c>
      <c r="M73" t="s">
        <v>562</v>
      </c>
      <c r="N73" t="s">
        <v>514</v>
      </c>
      <c r="O73">
        <v>1</v>
      </c>
      <c r="P73" t="s">
        <v>527</v>
      </c>
      <c r="Q73">
        <v>10</v>
      </c>
    </row>
    <row r="74" spans="1:17">
      <c r="A74">
        <v>13</v>
      </c>
      <c r="B74" t="s">
        <v>507</v>
      </c>
      <c r="C74" t="s">
        <v>508</v>
      </c>
      <c r="D74" t="s">
        <v>481</v>
      </c>
      <c r="E74" t="s">
        <v>543</v>
      </c>
      <c r="F74" t="s">
        <v>533</v>
      </c>
      <c r="G74" t="s">
        <v>572</v>
      </c>
      <c r="H74" t="s">
        <v>573</v>
      </c>
      <c r="J74" t="s">
        <v>574</v>
      </c>
      <c r="K74" t="s">
        <v>506</v>
      </c>
      <c r="L74" t="s">
        <v>514</v>
      </c>
      <c r="M74" t="s">
        <v>575</v>
      </c>
      <c r="N74" t="s">
        <v>514</v>
      </c>
      <c r="O74">
        <v>1</v>
      </c>
      <c r="P74" t="s">
        <v>527</v>
      </c>
      <c r="Q74">
        <v>84</v>
      </c>
    </row>
    <row r="75" spans="1:17">
      <c r="A75">
        <v>12</v>
      </c>
      <c r="B75" t="s">
        <v>507</v>
      </c>
      <c r="C75" t="s">
        <v>508</v>
      </c>
      <c r="D75" t="s">
        <v>481</v>
      </c>
      <c r="E75" t="s">
        <v>543</v>
      </c>
      <c r="F75" t="s">
        <v>563</v>
      </c>
      <c r="G75" t="s">
        <v>564</v>
      </c>
      <c r="H75" t="s">
        <v>565</v>
      </c>
      <c r="J75" t="s">
        <v>566</v>
      </c>
      <c r="K75" t="s">
        <v>506</v>
      </c>
      <c r="L75" t="s">
        <v>514</v>
      </c>
      <c r="M75" t="s">
        <v>567</v>
      </c>
      <c r="N75" t="s">
        <v>514</v>
      </c>
      <c r="O75">
        <v>1</v>
      </c>
      <c r="P75" t="s">
        <v>527</v>
      </c>
      <c r="Q75">
        <v>74</v>
      </c>
    </row>
    <row r="76" spans="1:17">
      <c r="A76">
        <v>35</v>
      </c>
      <c r="B76" t="s">
        <v>507</v>
      </c>
      <c r="C76" t="s">
        <v>508</v>
      </c>
      <c r="D76" t="s">
        <v>481</v>
      </c>
      <c r="E76" t="s">
        <v>623</v>
      </c>
      <c r="F76" t="s">
        <v>510</v>
      </c>
      <c r="G76" t="s">
        <v>624</v>
      </c>
      <c r="H76" t="s">
        <v>625</v>
      </c>
      <c r="J76" t="s">
        <v>626</v>
      </c>
      <c r="K76" t="s">
        <v>506</v>
      </c>
      <c r="L76" t="s">
        <v>514</v>
      </c>
      <c r="M76" t="s">
        <v>627</v>
      </c>
      <c r="N76" t="s">
        <v>514</v>
      </c>
      <c r="O76">
        <v>1</v>
      </c>
      <c r="P76" t="s">
        <v>596</v>
      </c>
      <c r="Q76">
        <v>667</v>
      </c>
    </row>
    <row r="77" spans="1:17">
      <c r="A77">
        <v>39</v>
      </c>
      <c r="B77" t="s">
        <v>507</v>
      </c>
      <c r="C77" t="s">
        <v>508</v>
      </c>
      <c r="D77" t="s">
        <v>481</v>
      </c>
      <c r="E77" t="s">
        <v>623</v>
      </c>
      <c r="F77" t="s">
        <v>563</v>
      </c>
      <c r="G77" t="s">
        <v>628</v>
      </c>
      <c r="H77" t="s">
        <v>629</v>
      </c>
      <c r="J77" t="s">
        <v>630</v>
      </c>
      <c r="K77" t="s">
        <v>506</v>
      </c>
      <c r="L77" t="s">
        <v>514</v>
      </c>
      <c r="M77" t="s">
        <v>631</v>
      </c>
      <c r="N77" t="s">
        <v>514</v>
      </c>
      <c r="O77">
        <v>1</v>
      </c>
      <c r="P77" t="s">
        <v>527</v>
      </c>
      <c r="Q77">
        <v>60</v>
      </c>
    </row>
    <row r="78" spans="1:17">
      <c r="A78">
        <v>40</v>
      </c>
      <c r="B78" t="s">
        <v>507</v>
      </c>
      <c r="C78" t="s">
        <v>508</v>
      </c>
      <c r="D78" t="s">
        <v>481</v>
      </c>
      <c r="E78" t="s">
        <v>623</v>
      </c>
      <c r="F78" t="s">
        <v>632</v>
      </c>
      <c r="G78" t="s">
        <v>633</v>
      </c>
      <c r="H78" t="s">
        <v>634</v>
      </c>
      <c r="J78" t="s">
        <v>635</v>
      </c>
      <c r="K78" t="s">
        <v>506</v>
      </c>
      <c r="L78" t="s">
        <v>514</v>
      </c>
      <c r="M78" t="s">
        <v>636</v>
      </c>
      <c r="N78" t="s">
        <v>514</v>
      </c>
      <c r="O78">
        <v>1</v>
      </c>
      <c r="P78" t="s">
        <v>608</v>
      </c>
      <c r="Q78">
        <v>185.4</v>
      </c>
    </row>
    <row r="79" spans="1:17">
      <c r="A79">
        <v>41</v>
      </c>
      <c r="B79" t="s">
        <v>507</v>
      </c>
      <c r="C79" t="s">
        <v>508</v>
      </c>
      <c r="D79" t="s">
        <v>481</v>
      </c>
      <c r="E79" t="s">
        <v>623</v>
      </c>
      <c r="F79" t="s">
        <v>632</v>
      </c>
      <c r="G79" t="s">
        <v>637</v>
      </c>
      <c r="H79" t="s">
        <v>638</v>
      </c>
      <c r="J79" t="s">
        <v>639</v>
      </c>
      <c r="K79" t="s">
        <v>506</v>
      </c>
      <c r="L79" t="s">
        <v>514</v>
      </c>
      <c r="M79" t="s">
        <v>640</v>
      </c>
      <c r="N79" t="s">
        <v>514</v>
      </c>
      <c r="O79">
        <v>1</v>
      </c>
      <c r="P79" t="s">
        <v>608</v>
      </c>
      <c r="Q79">
        <v>474</v>
      </c>
    </row>
    <row r="80" spans="1:17">
      <c r="A80">
        <v>42</v>
      </c>
      <c r="B80" t="s">
        <v>507</v>
      </c>
      <c r="C80" t="s">
        <v>508</v>
      </c>
      <c r="D80" t="s">
        <v>481</v>
      </c>
      <c r="E80" t="s">
        <v>623</v>
      </c>
      <c r="F80" t="s">
        <v>632</v>
      </c>
      <c r="G80" t="s">
        <v>641</v>
      </c>
      <c r="H80" t="s">
        <v>642</v>
      </c>
      <c r="J80" t="s">
        <v>643</v>
      </c>
      <c r="K80" t="s">
        <v>506</v>
      </c>
      <c r="L80" t="s">
        <v>514</v>
      </c>
      <c r="M80" t="s">
        <v>644</v>
      </c>
      <c r="N80" t="s">
        <v>514</v>
      </c>
      <c r="O80">
        <v>1</v>
      </c>
      <c r="P80" t="s">
        <v>527</v>
      </c>
      <c r="Q80">
        <v>30</v>
      </c>
    </row>
    <row r="81" spans="1:17">
      <c r="A81">
        <v>43</v>
      </c>
      <c r="B81" t="s">
        <v>507</v>
      </c>
      <c r="C81" t="s">
        <v>508</v>
      </c>
      <c r="D81" t="s">
        <v>481</v>
      </c>
      <c r="E81" t="s">
        <v>623</v>
      </c>
      <c r="F81" t="s">
        <v>555</v>
      </c>
      <c r="G81" t="s">
        <v>645</v>
      </c>
      <c r="H81" t="s">
        <v>646</v>
      </c>
      <c r="J81" t="s">
        <v>647</v>
      </c>
      <c r="K81" t="s">
        <v>506</v>
      </c>
      <c r="L81" t="s">
        <v>514</v>
      </c>
      <c r="M81" t="s">
        <v>648</v>
      </c>
      <c r="N81" t="s">
        <v>514</v>
      </c>
      <c r="O81">
        <v>1</v>
      </c>
      <c r="P81" t="s">
        <v>649</v>
      </c>
      <c r="Q81">
        <v>370</v>
      </c>
    </row>
    <row r="82" spans="1:17">
      <c r="A82">
        <v>44</v>
      </c>
      <c r="B82" t="s">
        <v>507</v>
      </c>
      <c r="C82" t="s">
        <v>508</v>
      </c>
      <c r="D82" t="s">
        <v>481</v>
      </c>
      <c r="E82" t="s">
        <v>623</v>
      </c>
      <c r="F82" t="s">
        <v>522</v>
      </c>
      <c r="G82" t="s">
        <v>650</v>
      </c>
      <c r="H82" t="s">
        <v>651</v>
      </c>
      <c r="J82" t="s">
        <v>652</v>
      </c>
      <c r="K82" t="s">
        <v>506</v>
      </c>
      <c r="L82" t="s">
        <v>514</v>
      </c>
      <c r="M82" t="s">
        <v>653</v>
      </c>
      <c r="N82" t="s">
        <v>514</v>
      </c>
      <c r="O82">
        <v>1</v>
      </c>
      <c r="P82" t="s">
        <v>547</v>
      </c>
      <c r="Q82">
        <v>4.7</v>
      </c>
    </row>
    <row r="83" spans="1:17">
      <c r="A83">
        <v>46</v>
      </c>
      <c r="B83" t="s">
        <v>507</v>
      </c>
      <c r="C83" t="s">
        <v>508</v>
      </c>
      <c r="D83" t="s">
        <v>481</v>
      </c>
      <c r="E83" t="s">
        <v>623</v>
      </c>
      <c r="F83" t="s">
        <v>632</v>
      </c>
      <c r="G83" t="s">
        <v>654</v>
      </c>
      <c r="H83" t="s">
        <v>655</v>
      </c>
      <c r="J83" t="s">
        <v>656</v>
      </c>
      <c r="K83" t="s">
        <v>506</v>
      </c>
      <c r="L83" t="s">
        <v>514</v>
      </c>
      <c r="M83" t="s">
        <v>657</v>
      </c>
      <c r="N83" t="s">
        <v>514</v>
      </c>
      <c r="O83">
        <v>1</v>
      </c>
      <c r="P83" t="s">
        <v>527</v>
      </c>
      <c r="Q83">
        <v>55</v>
      </c>
    </row>
    <row r="84" spans="1:17">
      <c r="A84">
        <v>47</v>
      </c>
      <c r="B84" t="s">
        <v>507</v>
      </c>
      <c r="C84" t="s">
        <v>508</v>
      </c>
      <c r="D84" t="s">
        <v>481</v>
      </c>
      <c r="E84" t="s">
        <v>623</v>
      </c>
      <c r="F84" t="s">
        <v>632</v>
      </c>
      <c r="G84" t="s">
        <v>658</v>
      </c>
      <c r="H84" t="s">
        <v>659</v>
      </c>
      <c r="J84" t="s">
        <v>660</v>
      </c>
      <c r="K84" t="s">
        <v>506</v>
      </c>
      <c r="L84" t="s">
        <v>514</v>
      </c>
      <c r="M84" t="s">
        <v>661</v>
      </c>
      <c r="N84" t="s">
        <v>514</v>
      </c>
      <c r="O84">
        <v>1</v>
      </c>
      <c r="P84" t="s">
        <v>527</v>
      </c>
      <c r="Q84">
        <v>47</v>
      </c>
    </row>
    <row r="85" spans="1:17">
      <c r="A85">
        <v>1</v>
      </c>
      <c r="B85" t="s">
        <v>507</v>
      </c>
      <c r="C85" t="s">
        <v>508</v>
      </c>
      <c r="D85" t="s">
        <v>482</v>
      </c>
      <c r="E85" t="s">
        <v>509</v>
      </c>
      <c r="F85" t="s">
        <v>510</v>
      </c>
      <c r="G85" t="s">
        <v>511</v>
      </c>
      <c r="H85" t="s">
        <v>512</v>
      </c>
      <c r="J85" t="s">
        <v>513</v>
      </c>
      <c r="K85" t="s">
        <v>506</v>
      </c>
      <c r="L85" t="s">
        <v>514</v>
      </c>
      <c r="M85" t="s">
        <v>515</v>
      </c>
      <c r="N85" t="s">
        <v>514</v>
      </c>
      <c r="O85">
        <v>1</v>
      </c>
      <c r="P85" t="s">
        <v>516</v>
      </c>
      <c r="Q85">
        <v>920</v>
      </c>
    </row>
    <row r="86" spans="1:17">
      <c r="A86">
        <v>2</v>
      </c>
      <c r="B86" t="s">
        <v>507</v>
      </c>
      <c r="C86" t="s">
        <v>508</v>
      </c>
      <c r="D86" t="s">
        <v>482</v>
      </c>
      <c r="E86" t="s">
        <v>509</v>
      </c>
      <c r="F86" t="s">
        <v>510</v>
      </c>
      <c r="G86" t="s">
        <v>517</v>
      </c>
      <c r="H86" t="s">
        <v>518</v>
      </c>
      <c r="J86" t="s">
        <v>519</v>
      </c>
      <c r="K86" t="s">
        <v>506</v>
      </c>
      <c r="L86" t="s">
        <v>514</v>
      </c>
      <c r="M86" t="s">
        <v>520</v>
      </c>
      <c r="N86" t="s">
        <v>514</v>
      </c>
      <c r="O86">
        <v>1</v>
      </c>
      <c r="P86" t="s">
        <v>521</v>
      </c>
      <c r="Q86">
        <v>380</v>
      </c>
    </row>
    <row r="87" spans="1:17">
      <c r="A87">
        <v>3</v>
      </c>
      <c r="B87" t="s">
        <v>507</v>
      </c>
      <c r="C87" t="s">
        <v>508</v>
      </c>
      <c r="D87" t="s">
        <v>482</v>
      </c>
      <c r="E87" t="s">
        <v>509</v>
      </c>
      <c r="F87" t="s">
        <v>522</v>
      </c>
      <c r="G87" t="s">
        <v>523</v>
      </c>
      <c r="H87" t="s">
        <v>524</v>
      </c>
      <c r="J87" t="s">
        <v>525</v>
      </c>
      <c r="K87" t="s">
        <v>506</v>
      </c>
      <c r="L87" t="s">
        <v>514</v>
      </c>
      <c r="M87" t="s">
        <v>526</v>
      </c>
      <c r="N87" t="s">
        <v>514</v>
      </c>
      <c r="O87">
        <v>1</v>
      </c>
      <c r="P87" t="s">
        <v>527</v>
      </c>
      <c r="Q87">
        <v>14</v>
      </c>
    </row>
    <row r="88" spans="1:17">
      <c r="A88">
        <v>4</v>
      </c>
      <c r="B88" t="s">
        <v>507</v>
      </c>
      <c r="C88" t="s">
        <v>508</v>
      </c>
      <c r="D88" t="s">
        <v>482</v>
      </c>
      <c r="E88" t="s">
        <v>509</v>
      </c>
      <c r="F88" t="s">
        <v>522</v>
      </c>
      <c r="G88" t="s">
        <v>528</v>
      </c>
      <c r="H88" t="s">
        <v>529</v>
      </c>
      <c r="J88" t="s">
        <v>530</v>
      </c>
      <c r="K88" t="s">
        <v>506</v>
      </c>
      <c r="L88" t="s">
        <v>514</v>
      </c>
      <c r="M88" t="s">
        <v>531</v>
      </c>
      <c r="N88" t="s">
        <v>514</v>
      </c>
      <c r="O88">
        <v>1</v>
      </c>
      <c r="P88" t="s">
        <v>527</v>
      </c>
      <c r="Q88">
        <v>33</v>
      </c>
    </row>
    <row r="89" spans="1:17">
      <c r="A89">
        <v>5</v>
      </c>
      <c r="B89" t="s">
        <v>507</v>
      </c>
      <c r="C89" t="s">
        <v>508</v>
      </c>
      <c r="D89" t="s">
        <v>482</v>
      </c>
      <c r="E89" t="s">
        <v>532</v>
      </c>
      <c r="F89" t="s">
        <v>533</v>
      </c>
      <c r="G89" t="s">
        <v>534</v>
      </c>
      <c r="H89" t="s">
        <v>535</v>
      </c>
      <c r="J89" t="s">
        <v>536</v>
      </c>
      <c r="K89" t="s">
        <v>506</v>
      </c>
      <c r="L89" t="s">
        <v>514</v>
      </c>
      <c r="M89" t="s">
        <v>537</v>
      </c>
      <c r="N89" t="s">
        <v>514</v>
      </c>
      <c r="O89">
        <v>1</v>
      </c>
      <c r="P89" t="s">
        <v>527</v>
      </c>
      <c r="Q89">
        <v>0</v>
      </c>
    </row>
    <row r="90" spans="1:17">
      <c r="A90">
        <v>6</v>
      </c>
      <c r="B90" t="s">
        <v>507</v>
      </c>
      <c r="C90" t="s">
        <v>508</v>
      </c>
      <c r="D90" t="s">
        <v>482</v>
      </c>
      <c r="E90" t="s">
        <v>532</v>
      </c>
      <c r="F90" t="s">
        <v>538</v>
      </c>
      <c r="G90" t="s">
        <v>539</v>
      </c>
      <c r="H90" t="s">
        <v>540</v>
      </c>
      <c r="J90" t="s">
        <v>541</v>
      </c>
      <c r="K90" t="s">
        <v>506</v>
      </c>
      <c r="L90" t="s">
        <v>514</v>
      </c>
      <c r="M90" t="s">
        <v>542</v>
      </c>
      <c r="N90" t="s">
        <v>514</v>
      </c>
      <c r="O90">
        <v>1</v>
      </c>
      <c r="P90" t="s">
        <v>527</v>
      </c>
      <c r="Q90">
        <v>223</v>
      </c>
    </row>
    <row r="91" spans="1:17">
      <c r="A91">
        <v>27</v>
      </c>
      <c r="B91" t="s">
        <v>507</v>
      </c>
      <c r="C91" t="s">
        <v>508</v>
      </c>
      <c r="D91" t="s">
        <v>482</v>
      </c>
      <c r="E91" t="s">
        <v>543</v>
      </c>
      <c r="F91" t="s">
        <v>538</v>
      </c>
      <c r="G91" t="s">
        <v>544</v>
      </c>
      <c r="H91" t="s">
        <v>545</v>
      </c>
      <c r="J91" t="s">
        <v>546</v>
      </c>
      <c r="K91" t="s">
        <v>506</v>
      </c>
      <c r="L91" t="s">
        <v>514</v>
      </c>
      <c r="M91" t="s">
        <v>514</v>
      </c>
      <c r="N91" t="s">
        <v>514</v>
      </c>
      <c r="O91">
        <v>1</v>
      </c>
      <c r="P91" t="s">
        <v>547</v>
      </c>
      <c r="Q91">
        <v>640</v>
      </c>
    </row>
    <row r="92" spans="1:17">
      <c r="A92">
        <v>27</v>
      </c>
      <c r="B92" t="s">
        <v>507</v>
      </c>
      <c r="C92" t="s">
        <v>508</v>
      </c>
      <c r="D92" t="s">
        <v>482</v>
      </c>
      <c r="E92" t="s">
        <v>543</v>
      </c>
      <c r="F92" t="s">
        <v>538</v>
      </c>
      <c r="G92" t="s">
        <v>548</v>
      </c>
      <c r="H92" t="s">
        <v>549</v>
      </c>
      <c r="J92" t="s">
        <v>550</v>
      </c>
      <c r="K92" t="s">
        <v>506</v>
      </c>
      <c r="L92" t="s">
        <v>514</v>
      </c>
      <c r="M92" t="s">
        <v>514</v>
      </c>
      <c r="N92" t="s">
        <v>514</v>
      </c>
      <c r="O92">
        <v>1</v>
      </c>
      <c r="P92" t="s">
        <v>547</v>
      </c>
      <c r="Q92">
        <v>425</v>
      </c>
    </row>
    <row r="93" spans="1:17">
      <c r="A93">
        <v>27</v>
      </c>
      <c r="B93" t="s">
        <v>507</v>
      </c>
      <c r="C93" t="s">
        <v>508</v>
      </c>
      <c r="D93" t="s">
        <v>482</v>
      </c>
      <c r="E93" t="s">
        <v>543</v>
      </c>
      <c r="F93" t="s">
        <v>538</v>
      </c>
      <c r="G93" t="s">
        <v>551</v>
      </c>
      <c r="H93" t="s">
        <v>696</v>
      </c>
      <c r="J93" t="s">
        <v>697</v>
      </c>
      <c r="K93" t="s">
        <v>506</v>
      </c>
      <c r="L93" t="s">
        <v>514</v>
      </c>
      <c r="M93" t="s">
        <v>698</v>
      </c>
      <c r="N93" t="s">
        <v>514</v>
      </c>
      <c r="O93">
        <v>1</v>
      </c>
      <c r="P93" t="s">
        <v>527</v>
      </c>
      <c r="Q93">
        <v>959</v>
      </c>
    </row>
    <row r="94" spans="1:17">
      <c r="A94">
        <v>27</v>
      </c>
      <c r="B94" t="s">
        <v>507</v>
      </c>
      <c r="C94" t="s">
        <v>508</v>
      </c>
      <c r="D94" t="s">
        <v>482</v>
      </c>
      <c r="E94" t="s">
        <v>543</v>
      </c>
      <c r="F94" t="s">
        <v>538</v>
      </c>
      <c r="G94" t="s">
        <v>662</v>
      </c>
      <c r="H94" t="s">
        <v>700</v>
      </c>
      <c r="J94" t="s">
        <v>701</v>
      </c>
      <c r="K94" t="s">
        <v>506</v>
      </c>
      <c r="L94" t="s">
        <v>514</v>
      </c>
      <c r="M94" t="s">
        <v>514</v>
      </c>
      <c r="N94" t="s">
        <v>514</v>
      </c>
      <c r="O94">
        <v>1</v>
      </c>
      <c r="P94" t="s">
        <v>527</v>
      </c>
      <c r="Q94">
        <v>507</v>
      </c>
    </row>
    <row r="95" spans="1:17">
      <c r="A95">
        <v>27</v>
      </c>
      <c r="B95" t="s">
        <v>507</v>
      </c>
      <c r="C95" t="s">
        <v>508</v>
      </c>
      <c r="D95" t="s">
        <v>482</v>
      </c>
      <c r="E95" t="s">
        <v>543</v>
      </c>
      <c r="F95" t="s">
        <v>538</v>
      </c>
      <c r="G95" t="s">
        <v>665</v>
      </c>
      <c r="H95" t="s">
        <v>666</v>
      </c>
      <c r="J95" t="s">
        <v>667</v>
      </c>
      <c r="K95" t="s">
        <v>506</v>
      </c>
      <c r="L95" t="s">
        <v>514</v>
      </c>
      <c r="M95" t="s">
        <v>668</v>
      </c>
      <c r="N95" t="s">
        <v>514</v>
      </c>
      <c r="O95">
        <v>1</v>
      </c>
      <c r="P95" t="s">
        <v>547</v>
      </c>
      <c r="Q95">
        <v>242</v>
      </c>
    </row>
    <row r="96" spans="1:17">
      <c r="A96">
        <v>10</v>
      </c>
      <c r="B96" t="s">
        <v>507</v>
      </c>
      <c r="C96" t="s">
        <v>508</v>
      </c>
      <c r="D96" t="s">
        <v>482</v>
      </c>
      <c r="E96" t="s">
        <v>532</v>
      </c>
      <c r="F96" t="s">
        <v>555</v>
      </c>
      <c r="G96" t="s">
        <v>556</v>
      </c>
      <c r="H96" t="s">
        <v>557</v>
      </c>
      <c r="J96" t="s">
        <v>558</v>
      </c>
      <c r="K96" t="s">
        <v>506</v>
      </c>
      <c r="L96" t="s">
        <v>514</v>
      </c>
      <c r="M96" t="s">
        <v>514</v>
      </c>
      <c r="N96" t="s">
        <v>514</v>
      </c>
      <c r="O96">
        <v>1</v>
      </c>
      <c r="P96" t="s">
        <v>527</v>
      </c>
      <c r="Q96">
        <v>1680</v>
      </c>
    </row>
    <row r="97" spans="1:17">
      <c r="A97">
        <v>11</v>
      </c>
      <c r="B97" t="s">
        <v>507</v>
      </c>
      <c r="C97" t="s">
        <v>508</v>
      </c>
      <c r="D97" t="s">
        <v>482</v>
      </c>
      <c r="E97" t="s">
        <v>532</v>
      </c>
      <c r="F97" t="s">
        <v>555</v>
      </c>
      <c r="G97" t="s">
        <v>559</v>
      </c>
      <c r="H97" t="s">
        <v>560</v>
      </c>
      <c r="J97" t="s">
        <v>561</v>
      </c>
      <c r="K97" t="s">
        <v>506</v>
      </c>
      <c r="L97" t="s">
        <v>514</v>
      </c>
      <c r="M97" t="s">
        <v>562</v>
      </c>
      <c r="N97" t="s">
        <v>514</v>
      </c>
      <c r="O97">
        <v>1</v>
      </c>
      <c r="P97" t="s">
        <v>527</v>
      </c>
      <c r="Q97">
        <v>10</v>
      </c>
    </row>
    <row r="98" spans="1:17">
      <c r="A98">
        <v>12</v>
      </c>
      <c r="B98" t="s">
        <v>507</v>
      </c>
      <c r="C98" t="s">
        <v>508</v>
      </c>
      <c r="D98" t="s">
        <v>482</v>
      </c>
      <c r="E98" t="s">
        <v>532</v>
      </c>
      <c r="F98" t="s">
        <v>563</v>
      </c>
      <c r="G98" t="s">
        <v>564</v>
      </c>
      <c r="H98" t="s">
        <v>565</v>
      </c>
      <c r="J98" t="s">
        <v>566</v>
      </c>
      <c r="K98" t="s">
        <v>506</v>
      </c>
      <c r="L98" t="s">
        <v>514</v>
      </c>
      <c r="M98" t="s">
        <v>567</v>
      </c>
      <c r="N98" t="s">
        <v>514</v>
      </c>
      <c r="O98">
        <v>1</v>
      </c>
      <c r="P98" t="s">
        <v>527</v>
      </c>
      <c r="Q98">
        <v>74</v>
      </c>
    </row>
    <row r="99" spans="1:17">
      <c r="A99">
        <v>12</v>
      </c>
      <c r="B99" t="s">
        <v>507</v>
      </c>
      <c r="C99" t="s">
        <v>508</v>
      </c>
      <c r="D99" t="s">
        <v>482</v>
      </c>
      <c r="E99" t="s">
        <v>532</v>
      </c>
      <c r="F99" t="s">
        <v>563</v>
      </c>
      <c r="G99" t="s">
        <v>568</v>
      </c>
      <c r="H99" t="s">
        <v>569</v>
      </c>
      <c r="J99" t="s">
        <v>570</v>
      </c>
      <c r="K99" t="s">
        <v>506</v>
      </c>
      <c r="L99" t="s">
        <v>514</v>
      </c>
      <c r="M99" t="s">
        <v>571</v>
      </c>
      <c r="N99" t="s">
        <v>514</v>
      </c>
      <c r="O99">
        <v>1</v>
      </c>
      <c r="P99" t="s">
        <v>527</v>
      </c>
      <c r="Q99">
        <v>56</v>
      </c>
    </row>
    <row r="100" spans="1:17">
      <c r="A100">
        <v>13</v>
      </c>
      <c r="B100" t="s">
        <v>507</v>
      </c>
      <c r="C100" t="s">
        <v>508</v>
      </c>
      <c r="D100" t="s">
        <v>482</v>
      </c>
      <c r="E100" t="s">
        <v>532</v>
      </c>
      <c r="F100" t="s">
        <v>533</v>
      </c>
      <c r="G100" t="s">
        <v>572</v>
      </c>
      <c r="H100" t="s">
        <v>573</v>
      </c>
      <c r="J100" t="s">
        <v>574</v>
      </c>
      <c r="K100" t="s">
        <v>506</v>
      </c>
      <c r="L100" t="s">
        <v>514</v>
      </c>
      <c r="M100" t="s">
        <v>575</v>
      </c>
      <c r="N100" t="s">
        <v>514</v>
      </c>
      <c r="O100">
        <v>1</v>
      </c>
      <c r="P100" t="s">
        <v>527</v>
      </c>
      <c r="Q100">
        <v>84</v>
      </c>
    </row>
    <row r="101" spans="1:17">
      <c r="A101">
        <v>14</v>
      </c>
      <c r="B101" t="s">
        <v>507</v>
      </c>
      <c r="C101" t="s">
        <v>508</v>
      </c>
      <c r="D101" t="s">
        <v>482</v>
      </c>
      <c r="E101" t="s">
        <v>532</v>
      </c>
      <c r="F101" t="s">
        <v>576</v>
      </c>
      <c r="G101" t="s">
        <v>577</v>
      </c>
      <c r="H101" t="s">
        <v>578</v>
      </c>
      <c r="J101" t="s">
        <v>579</v>
      </c>
      <c r="K101" t="s">
        <v>506</v>
      </c>
      <c r="L101" t="s">
        <v>514</v>
      </c>
      <c r="M101" t="s">
        <v>580</v>
      </c>
      <c r="N101" t="s">
        <v>514</v>
      </c>
      <c r="O101">
        <v>1</v>
      </c>
      <c r="P101" t="s">
        <v>527</v>
      </c>
      <c r="Q101">
        <v>165</v>
      </c>
    </row>
    <row r="102" spans="1:17">
      <c r="A102">
        <v>15</v>
      </c>
      <c r="B102" t="s">
        <v>507</v>
      </c>
      <c r="C102" t="s">
        <v>508</v>
      </c>
      <c r="D102" t="s">
        <v>482</v>
      </c>
      <c r="E102" t="s">
        <v>532</v>
      </c>
      <c r="F102" t="s">
        <v>538</v>
      </c>
      <c r="G102" t="s">
        <v>581</v>
      </c>
      <c r="H102" t="s">
        <v>582</v>
      </c>
      <c r="J102" t="s">
        <v>583</v>
      </c>
      <c r="K102" t="s">
        <v>506</v>
      </c>
      <c r="L102" t="s">
        <v>514</v>
      </c>
      <c r="M102" t="s">
        <v>514</v>
      </c>
      <c r="N102" t="s">
        <v>514</v>
      </c>
      <c r="O102">
        <v>1</v>
      </c>
      <c r="P102" t="s">
        <v>527</v>
      </c>
      <c r="Q102">
        <v>43</v>
      </c>
    </row>
    <row r="103" spans="1:17">
      <c r="A103">
        <v>16</v>
      </c>
      <c r="B103" t="s">
        <v>507</v>
      </c>
      <c r="C103" t="s">
        <v>508</v>
      </c>
      <c r="D103" t="s">
        <v>482</v>
      </c>
      <c r="E103" t="s">
        <v>532</v>
      </c>
      <c r="F103" t="s">
        <v>584</v>
      </c>
      <c r="G103" t="s">
        <v>585</v>
      </c>
      <c r="H103" t="s">
        <v>586</v>
      </c>
      <c r="J103" t="s">
        <v>587</v>
      </c>
      <c r="K103" t="s">
        <v>506</v>
      </c>
      <c r="L103" t="s">
        <v>514</v>
      </c>
      <c r="M103" t="s">
        <v>575</v>
      </c>
      <c r="N103" t="s">
        <v>514</v>
      </c>
      <c r="O103">
        <v>1</v>
      </c>
      <c r="P103" t="s">
        <v>527</v>
      </c>
      <c r="Q103">
        <v>425</v>
      </c>
    </row>
    <row r="104" spans="1:17">
      <c r="A104">
        <v>17</v>
      </c>
      <c r="B104" t="s">
        <v>507</v>
      </c>
      <c r="C104" t="s">
        <v>508</v>
      </c>
      <c r="D104" t="s">
        <v>482</v>
      </c>
      <c r="E104" t="s">
        <v>532</v>
      </c>
      <c r="F104" t="s">
        <v>538</v>
      </c>
      <c r="G104" t="s">
        <v>588</v>
      </c>
      <c r="H104" t="s">
        <v>589</v>
      </c>
      <c r="J104" t="s">
        <v>590</v>
      </c>
      <c r="K104" t="s">
        <v>506</v>
      </c>
      <c r="L104" t="s">
        <v>514</v>
      </c>
      <c r="M104" t="s">
        <v>591</v>
      </c>
      <c r="N104" t="s">
        <v>514</v>
      </c>
      <c r="O104">
        <v>1</v>
      </c>
      <c r="P104" t="s">
        <v>527</v>
      </c>
      <c r="Q104">
        <v>77</v>
      </c>
    </row>
    <row r="105" spans="1:17">
      <c r="A105">
        <v>18</v>
      </c>
      <c r="B105" t="s">
        <v>507</v>
      </c>
      <c r="C105" t="s">
        <v>508</v>
      </c>
      <c r="D105" t="s">
        <v>482</v>
      </c>
      <c r="E105" t="s">
        <v>532</v>
      </c>
      <c r="F105" t="s">
        <v>510</v>
      </c>
      <c r="G105" t="s">
        <v>592</v>
      </c>
      <c r="H105" t="s">
        <v>593</v>
      </c>
      <c r="J105" t="s">
        <v>594</v>
      </c>
      <c r="K105" t="s">
        <v>506</v>
      </c>
      <c r="L105" t="s">
        <v>514</v>
      </c>
      <c r="M105" t="s">
        <v>595</v>
      </c>
      <c r="N105" t="s">
        <v>514</v>
      </c>
      <c r="O105">
        <v>2</v>
      </c>
      <c r="P105" t="s">
        <v>596</v>
      </c>
      <c r="Q105">
        <v>415</v>
      </c>
    </row>
    <row r="106" spans="1:17">
      <c r="A106">
        <v>33</v>
      </c>
      <c r="B106" t="s">
        <v>507</v>
      </c>
      <c r="C106" t="s">
        <v>508</v>
      </c>
      <c r="D106" t="s">
        <v>482</v>
      </c>
      <c r="E106" t="s">
        <v>543</v>
      </c>
      <c r="F106" t="s">
        <v>597</v>
      </c>
      <c r="G106" t="s">
        <v>598</v>
      </c>
      <c r="H106" t="s">
        <v>603</v>
      </c>
      <c r="J106" t="s">
        <v>604</v>
      </c>
      <c r="K106" t="s">
        <v>506</v>
      </c>
      <c r="L106" t="s">
        <v>514</v>
      </c>
      <c r="M106" t="s">
        <v>601</v>
      </c>
      <c r="N106" t="s">
        <v>514</v>
      </c>
      <c r="O106">
        <v>2</v>
      </c>
      <c r="P106" t="s">
        <v>605</v>
      </c>
      <c r="Q106">
        <v>77</v>
      </c>
    </row>
    <row r="107" spans="1:17">
      <c r="A107">
        <v>19</v>
      </c>
      <c r="B107" t="s">
        <v>507</v>
      </c>
      <c r="C107" t="s">
        <v>508</v>
      </c>
      <c r="D107" t="s">
        <v>482</v>
      </c>
      <c r="E107" t="s">
        <v>543</v>
      </c>
      <c r="F107" t="s">
        <v>538</v>
      </c>
      <c r="G107" t="s">
        <v>677</v>
      </c>
      <c r="H107" t="s">
        <v>678</v>
      </c>
      <c r="J107" t="s">
        <v>679</v>
      </c>
      <c r="K107" t="s">
        <v>506</v>
      </c>
      <c r="L107" t="s">
        <v>514</v>
      </c>
      <c r="M107" t="s">
        <v>680</v>
      </c>
      <c r="N107" t="s">
        <v>514</v>
      </c>
      <c r="O107">
        <v>1</v>
      </c>
      <c r="P107" t="s">
        <v>681</v>
      </c>
      <c r="Q107">
        <v>53</v>
      </c>
    </row>
    <row r="108" spans="1:17">
      <c r="A108">
        <v>19</v>
      </c>
      <c r="B108" t="s">
        <v>507</v>
      </c>
      <c r="C108" t="s">
        <v>508</v>
      </c>
      <c r="D108" t="s">
        <v>482</v>
      </c>
      <c r="E108" t="s">
        <v>543</v>
      </c>
      <c r="F108" t="s">
        <v>563</v>
      </c>
      <c r="G108" t="s">
        <v>682</v>
      </c>
      <c r="H108" t="s">
        <v>683</v>
      </c>
      <c r="J108" t="s">
        <v>684</v>
      </c>
      <c r="K108" t="s">
        <v>506</v>
      </c>
      <c r="L108" t="s">
        <v>514</v>
      </c>
      <c r="M108" t="s">
        <v>685</v>
      </c>
      <c r="N108" t="s">
        <v>514</v>
      </c>
      <c r="O108">
        <v>1</v>
      </c>
      <c r="P108" t="s">
        <v>527</v>
      </c>
      <c r="Q108">
        <v>81</v>
      </c>
    </row>
    <row r="109" spans="1:17">
      <c r="A109">
        <v>20</v>
      </c>
      <c r="B109" t="s">
        <v>507</v>
      </c>
      <c r="C109" t="s">
        <v>508</v>
      </c>
      <c r="D109" t="s">
        <v>482</v>
      </c>
      <c r="E109" t="s">
        <v>543</v>
      </c>
      <c r="F109" t="s">
        <v>538</v>
      </c>
      <c r="G109" t="s">
        <v>464</v>
      </c>
      <c r="H109" t="s">
        <v>606</v>
      </c>
      <c r="J109" t="s">
        <v>607</v>
      </c>
      <c r="K109" t="s">
        <v>506</v>
      </c>
      <c r="L109" t="s">
        <v>514</v>
      </c>
      <c r="M109" t="s">
        <v>514</v>
      </c>
      <c r="N109" t="s">
        <v>514</v>
      </c>
      <c r="O109">
        <v>1</v>
      </c>
      <c r="P109" t="s">
        <v>608</v>
      </c>
      <c r="Q109">
        <v>875</v>
      </c>
    </row>
    <row r="110" spans="1:17">
      <c r="A110">
        <v>24</v>
      </c>
      <c r="B110" t="s">
        <v>507</v>
      </c>
      <c r="C110" t="s">
        <v>508</v>
      </c>
      <c r="D110" t="s">
        <v>482</v>
      </c>
      <c r="E110" t="s">
        <v>532</v>
      </c>
      <c r="F110" t="s">
        <v>576</v>
      </c>
      <c r="G110" t="s">
        <v>609</v>
      </c>
      <c r="H110" t="s">
        <v>610</v>
      </c>
      <c r="J110" t="s">
        <v>611</v>
      </c>
      <c r="K110" t="s">
        <v>506</v>
      </c>
      <c r="L110" t="s">
        <v>514</v>
      </c>
      <c r="M110" t="s">
        <v>514</v>
      </c>
      <c r="N110" t="s">
        <v>514</v>
      </c>
      <c r="O110">
        <v>1</v>
      </c>
      <c r="P110" t="s">
        <v>527</v>
      </c>
      <c r="Q110">
        <v>41</v>
      </c>
    </row>
    <row r="111" spans="1:17">
      <c r="A111">
        <v>26</v>
      </c>
      <c r="B111" t="s">
        <v>507</v>
      </c>
      <c r="C111" t="s">
        <v>508</v>
      </c>
      <c r="D111" t="s">
        <v>482</v>
      </c>
      <c r="E111" t="s">
        <v>543</v>
      </c>
      <c r="F111" t="s">
        <v>538</v>
      </c>
      <c r="G111" t="s">
        <v>465</v>
      </c>
      <c r="H111" t="s">
        <v>702</v>
      </c>
      <c r="J111" t="s">
        <v>703</v>
      </c>
      <c r="K111" t="s">
        <v>506</v>
      </c>
      <c r="L111" t="s">
        <v>514</v>
      </c>
      <c r="M111" t="s">
        <v>704</v>
      </c>
      <c r="N111" t="s">
        <v>514</v>
      </c>
      <c r="O111">
        <v>1</v>
      </c>
      <c r="P111" t="s">
        <v>547</v>
      </c>
      <c r="Q111">
        <v>331</v>
      </c>
    </row>
    <row r="112" spans="1:17">
      <c r="A112">
        <v>27</v>
      </c>
      <c r="B112" t="s">
        <v>507</v>
      </c>
      <c r="C112" t="s">
        <v>508</v>
      </c>
      <c r="D112" t="s">
        <v>482</v>
      </c>
      <c r="E112" t="s">
        <v>543</v>
      </c>
      <c r="F112" t="s">
        <v>538</v>
      </c>
      <c r="G112" t="s">
        <v>615</v>
      </c>
      <c r="H112" t="s">
        <v>616</v>
      </c>
      <c r="J112" t="s">
        <v>617</v>
      </c>
      <c r="K112" t="s">
        <v>506</v>
      </c>
      <c r="L112" t="s">
        <v>514</v>
      </c>
      <c r="M112" t="s">
        <v>618</v>
      </c>
      <c r="N112" t="s">
        <v>514</v>
      </c>
      <c r="O112">
        <v>1</v>
      </c>
      <c r="P112" t="s">
        <v>521</v>
      </c>
      <c r="Q112">
        <v>92</v>
      </c>
    </row>
    <row r="113" spans="1:17">
      <c r="A113">
        <v>33</v>
      </c>
      <c r="B113" t="s">
        <v>507</v>
      </c>
      <c r="C113" t="s">
        <v>508</v>
      </c>
      <c r="D113" t="s">
        <v>482</v>
      </c>
      <c r="E113" t="s">
        <v>67</v>
      </c>
      <c r="F113" t="s">
        <v>538</v>
      </c>
      <c r="G113" t="s">
        <v>619</v>
      </c>
      <c r="H113" t="s">
        <v>620</v>
      </c>
      <c r="J113" t="s">
        <v>621</v>
      </c>
      <c r="K113" t="s">
        <v>506</v>
      </c>
      <c r="L113" t="s">
        <v>514</v>
      </c>
      <c r="M113" t="s">
        <v>514</v>
      </c>
      <c r="N113" t="s">
        <v>514</v>
      </c>
      <c r="O113">
        <v>1</v>
      </c>
      <c r="P113" t="s">
        <v>622</v>
      </c>
      <c r="Q113">
        <v>58</v>
      </c>
    </row>
    <row r="114" spans="1:17">
      <c r="A114">
        <v>35</v>
      </c>
      <c r="B114" t="s">
        <v>507</v>
      </c>
      <c r="C114" t="s">
        <v>508</v>
      </c>
      <c r="D114" t="s">
        <v>482</v>
      </c>
      <c r="E114" t="s">
        <v>623</v>
      </c>
      <c r="F114" t="s">
        <v>510</v>
      </c>
      <c r="G114" t="s">
        <v>624</v>
      </c>
      <c r="H114" t="s">
        <v>625</v>
      </c>
      <c r="J114" t="s">
        <v>626</v>
      </c>
      <c r="K114" t="s">
        <v>506</v>
      </c>
      <c r="L114" t="s">
        <v>514</v>
      </c>
      <c r="M114" t="s">
        <v>627</v>
      </c>
      <c r="N114" t="s">
        <v>514</v>
      </c>
      <c r="O114">
        <v>1</v>
      </c>
      <c r="P114" t="s">
        <v>596</v>
      </c>
      <c r="Q114">
        <v>667</v>
      </c>
    </row>
    <row r="115" spans="1:17">
      <c r="A115">
        <v>39</v>
      </c>
      <c r="B115" t="s">
        <v>507</v>
      </c>
      <c r="C115" t="s">
        <v>508</v>
      </c>
      <c r="D115" t="s">
        <v>482</v>
      </c>
      <c r="E115" t="s">
        <v>623</v>
      </c>
      <c r="F115" t="s">
        <v>563</v>
      </c>
      <c r="G115" t="s">
        <v>628</v>
      </c>
      <c r="H115" t="s">
        <v>629</v>
      </c>
      <c r="J115" t="s">
        <v>630</v>
      </c>
      <c r="K115" t="s">
        <v>506</v>
      </c>
      <c r="L115" t="s">
        <v>514</v>
      </c>
      <c r="M115" t="s">
        <v>631</v>
      </c>
      <c r="N115" t="s">
        <v>514</v>
      </c>
      <c r="O115">
        <v>1</v>
      </c>
      <c r="P115" t="s">
        <v>527</v>
      </c>
      <c r="Q115">
        <v>60</v>
      </c>
    </row>
    <row r="116" spans="1:17">
      <c r="A116">
        <v>40</v>
      </c>
      <c r="B116" t="s">
        <v>507</v>
      </c>
      <c r="C116" t="s">
        <v>508</v>
      </c>
      <c r="D116" t="s">
        <v>482</v>
      </c>
      <c r="E116" t="s">
        <v>623</v>
      </c>
      <c r="F116" t="s">
        <v>632</v>
      </c>
      <c r="G116" t="s">
        <v>633</v>
      </c>
      <c r="H116" t="s">
        <v>634</v>
      </c>
      <c r="J116" t="s">
        <v>635</v>
      </c>
      <c r="K116" t="s">
        <v>506</v>
      </c>
      <c r="L116" t="s">
        <v>514</v>
      </c>
      <c r="M116" t="s">
        <v>636</v>
      </c>
      <c r="N116" t="s">
        <v>514</v>
      </c>
      <c r="O116">
        <v>1</v>
      </c>
      <c r="P116" t="s">
        <v>608</v>
      </c>
      <c r="Q116">
        <v>185.4</v>
      </c>
    </row>
    <row r="117" spans="1:17">
      <c r="A117">
        <v>41</v>
      </c>
      <c r="B117" t="s">
        <v>507</v>
      </c>
      <c r="C117" t="s">
        <v>508</v>
      </c>
      <c r="D117" t="s">
        <v>482</v>
      </c>
      <c r="E117" t="s">
        <v>623</v>
      </c>
      <c r="F117" t="s">
        <v>632</v>
      </c>
      <c r="G117" t="s">
        <v>637</v>
      </c>
      <c r="H117" t="s">
        <v>638</v>
      </c>
      <c r="J117" t="s">
        <v>639</v>
      </c>
      <c r="K117" t="s">
        <v>506</v>
      </c>
      <c r="L117" t="s">
        <v>514</v>
      </c>
      <c r="M117" t="s">
        <v>640</v>
      </c>
      <c r="N117" t="s">
        <v>514</v>
      </c>
      <c r="O117">
        <v>1</v>
      </c>
      <c r="P117" t="s">
        <v>608</v>
      </c>
      <c r="Q117">
        <v>474</v>
      </c>
    </row>
    <row r="118" spans="1:17">
      <c r="A118">
        <v>42</v>
      </c>
      <c r="B118" t="s">
        <v>507</v>
      </c>
      <c r="C118" t="s">
        <v>508</v>
      </c>
      <c r="D118" t="s">
        <v>482</v>
      </c>
      <c r="E118" t="s">
        <v>623</v>
      </c>
      <c r="F118" t="s">
        <v>632</v>
      </c>
      <c r="G118" t="s">
        <v>641</v>
      </c>
      <c r="H118" t="s">
        <v>642</v>
      </c>
      <c r="J118" t="s">
        <v>643</v>
      </c>
      <c r="K118" t="s">
        <v>506</v>
      </c>
      <c r="L118" t="s">
        <v>514</v>
      </c>
      <c r="M118" t="s">
        <v>644</v>
      </c>
      <c r="N118" t="s">
        <v>514</v>
      </c>
      <c r="O118">
        <v>1</v>
      </c>
      <c r="P118" t="s">
        <v>527</v>
      </c>
      <c r="Q118">
        <v>30</v>
      </c>
    </row>
    <row r="119" spans="1:17">
      <c r="A119">
        <v>43</v>
      </c>
      <c r="B119" t="s">
        <v>507</v>
      </c>
      <c r="C119" t="s">
        <v>508</v>
      </c>
      <c r="D119" t="s">
        <v>482</v>
      </c>
      <c r="E119" t="s">
        <v>623</v>
      </c>
      <c r="F119" t="s">
        <v>555</v>
      </c>
      <c r="G119" t="s">
        <v>645</v>
      </c>
      <c r="H119" t="s">
        <v>646</v>
      </c>
      <c r="J119" t="s">
        <v>647</v>
      </c>
      <c r="K119" t="s">
        <v>506</v>
      </c>
      <c r="L119" t="s">
        <v>514</v>
      </c>
      <c r="M119" t="s">
        <v>648</v>
      </c>
      <c r="N119" t="s">
        <v>514</v>
      </c>
      <c r="O119">
        <v>1</v>
      </c>
      <c r="P119" t="s">
        <v>649</v>
      </c>
      <c r="Q119">
        <v>370</v>
      </c>
    </row>
    <row r="120" spans="1:17">
      <c r="A120">
        <v>44</v>
      </c>
      <c r="B120" t="s">
        <v>507</v>
      </c>
      <c r="C120" t="s">
        <v>508</v>
      </c>
      <c r="D120" t="s">
        <v>482</v>
      </c>
      <c r="E120" t="s">
        <v>623</v>
      </c>
      <c r="F120" t="s">
        <v>522</v>
      </c>
      <c r="G120" t="s">
        <v>650</v>
      </c>
      <c r="H120" t="s">
        <v>651</v>
      </c>
      <c r="J120" t="s">
        <v>652</v>
      </c>
      <c r="K120" t="s">
        <v>506</v>
      </c>
      <c r="L120" t="s">
        <v>514</v>
      </c>
      <c r="M120" t="s">
        <v>653</v>
      </c>
      <c r="N120" t="s">
        <v>514</v>
      </c>
      <c r="O120">
        <v>1</v>
      </c>
      <c r="P120" t="s">
        <v>547</v>
      </c>
      <c r="Q120">
        <v>4.7</v>
      </c>
    </row>
    <row r="121" spans="1:17">
      <c r="A121">
        <v>46</v>
      </c>
      <c r="B121" t="s">
        <v>507</v>
      </c>
      <c r="C121" t="s">
        <v>508</v>
      </c>
      <c r="D121" t="s">
        <v>482</v>
      </c>
      <c r="E121" t="s">
        <v>623</v>
      </c>
      <c r="F121" t="s">
        <v>632</v>
      </c>
      <c r="G121" t="s">
        <v>654</v>
      </c>
      <c r="H121" t="s">
        <v>655</v>
      </c>
      <c r="J121" t="s">
        <v>656</v>
      </c>
      <c r="K121" t="s">
        <v>506</v>
      </c>
      <c r="L121" t="s">
        <v>514</v>
      </c>
      <c r="M121" t="s">
        <v>657</v>
      </c>
      <c r="N121" t="s">
        <v>514</v>
      </c>
      <c r="O121">
        <v>1</v>
      </c>
      <c r="P121" t="s">
        <v>527</v>
      </c>
      <c r="Q121">
        <v>55</v>
      </c>
    </row>
    <row r="122" spans="1:17">
      <c r="A122">
        <v>47</v>
      </c>
      <c r="B122" t="s">
        <v>507</v>
      </c>
      <c r="C122" t="s">
        <v>508</v>
      </c>
      <c r="D122" t="s">
        <v>482</v>
      </c>
      <c r="E122" t="s">
        <v>623</v>
      </c>
      <c r="F122" t="s">
        <v>632</v>
      </c>
      <c r="G122" t="s">
        <v>658</v>
      </c>
      <c r="H122" t="s">
        <v>659</v>
      </c>
      <c r="J122" t="s">
        <v>660</v>
      </c>
      <c r="K122" t="s">
        <v>506</v>
      </c>
      <c r="L122" t="s">
        <v>514</v>
      </c>
      <c r="M122" t="s">
        <v>661</v>
      </c>
      <c r="N122" t="s">
        <v>514</v>
      </c>
      <c r="O122">
        <v>1</v>
      </c>
      <c r="P122" t="s">
        <v>527</v>
      </c>
      <c r="Q122">
        <v>47</v>
      </c>
    </row>
    <row r="123" spans="1:17">
      <c r="A123">
        <v>47</v>
      </c>
      <c r="B123" t="s">
        <v>507</v>
      </c>
      <c r="C123" t="s">
        <v>508</v>
      </c>
      <c r="D123" t="s">
        <v>482</v>
      </c>
      <c r="E123" t="s">
        <v>623</v>
      </c>
      <c r="F123" t="s">
        <v>510</v>
      </c>
      <c r="G123" t="s">
        <v>592</v>
      </c>
      <c r="H123" t="s">
        <v>593</v>
      </c>
      <c r="J123" t="s">
        <v>675</v>
      </c>
      <c r="K123" t="s">
        <v>506</v>
      </c>
      <c r="L123" t="s">
        <v>514</v>
      </c>
      <c r="M123" t="s">
        <v>676</v>
      </c>
      <c r="N123" t="s">
        <v>514</v>
      </c>
      <c r="O123">
        <v>1</v>
      </c>
      <c r="P123" t="s">
        <v>596</v>
      </c>
      <c r="Q123">
        <v>424</v>
      </c>
    </row>
    <row r="124" spans="1:17">
      <c r="A124">
        <v>33</v>
      </c>
      <c r="B124" t="s">
        <v>507</v>
      </c>
      <c r="C124" t="s">
        <v>508</v>
      </c>
      <c r="D124" t="s">
        <v>482</v>
      </c>
      <c r="E124" t="s">
        <v>705</v>
      </c>
      <c r="F124" t="s">
        <v>597</v>
      </c>
      <c r="G124" t="s">
        <v>598</v>
      </c>
      <c r="H124" t="s">
        <v>599</v>
      </c>
      <c r="J124" t="s">
        <v>600</v>
      </c>
      <c r="K124" t="s">
        <v>506</v>
      </c>
      <c r="L124" t="s">
        <v>514</v>
      </c>
      <c r="M124" t="s">
        <v>601</v>
      </c>
      <c r="N124" t="s">
        <v>514</v>
      </c>
      <c r="O124">
        <v>1</v>
      </c>
      <c r="P124" t="s">
        <v>602</v>
      </c>
      <c r="Q124">
        <v>53</v>
      </c>
    </row>
    <row r="125" spans="1:17">
      <c r="A125">
        <v>1</v>
      </c>
      <c r="B125" t="s">
        <v>507</v>
      </c>
      <c r="C125" t="s">
        <v>508</v>
      </c>
      <c r="D125" t="s">
        <v>483</v>
      </c>
      <c r="E125" t="s">
        <v>509</v>
      </c>
      <c r="F125" t="s">
        <v>510</v>
      </c>
      <c r="G125" t="s">
        <v>511</v>
      </c>
      <c r="H125" t="s">
        <v>512</v>
      </c>
      <c r="J125" t="s">
        <v>513</v>
      </c>
      <c r="K125" t="s">
        <v>506</v>
      </c>
      <c r="L125" t="s">
        <v>514</v>
      </c>
      <c r="M125" t="s">
        <v>515</v>
      </c>
      <c r="N125" t="s">
        <v>514</v>
      </c>
      <c r="O125">
        <v>1</v>
      </c>
      <c r="P125" t="s">
        <v>516</v>
      </c>
      <c r="Q125">
        <v>920</v>
      </c>
    </row>
    <row r="126" spans="1:17">
      <c r="A126">
        <v>2</v>
      </c>
      <c r="B126" t="s">
        <v>507</v>
      </c>
      <c r="C126" t="s">
        <v>508</v>
      </c>
      <c r="D126" t="s">
        <v>483</v>
      </c>
      <c r="E126" t="s">
        <v>509</v>
      </c>
      <c r="F126" t="s">
        <v>510</v>
      </c>
      <c r="G126" t="s">
        <v>517</v>
      </c>
      <c r="H126" t="s">
        <v>518</v>
      </c>
      <c r="J126" t="s">
        <v>519</v>
      </c>
      <c r="K126" t="s">
        <v>506</v>
      </c>
      <c r="L126" t="s">
        <v>514</v>
      </c>
      <c r="M126" t="s">
        <v>520</v>
      </c>
      <c r="N126" t="s">
        <v>514</v>
      </c>
      <c r="O126">
        <v>1</v>
      </c>
      <c r="P126" t="s">
        <v>521</v>
      </c>
      <c r="Q126">
        <v>380</v>
      </c>
    </row>
    <row r="127" spans="1:17">
      <c r="A127">
        <v>3</v>
      </c>
      <c r="B127" t="s">
        <v>507</v>
      </c>
      <c r="C127" t="s">
        <v>508</v>
      </c>
      <c r="D127" t="s">
        <v>483</v>
      </c>
      <c r="E127" t="s">
        <v>509</v>
      </c>
      <c r="F127" t="s">
        <v>522</v>
      </c>
      <c r="G127" t="s">
        <v>523</v>
      </c>
      <c r="H127" t="s">
        <v>524</v>
      </c>
      <c r="J127" t="s">
        <v>525</v>
      </c>
      <c r="K127" t="s">
        <v>506</v>
      </c>
      <c r="L127" t="s">
        <v>514</v>
      </c>
      <c r="M127" t="s">
        <v>526</v>
      </c>
      <c r="N127" t="s">
        <v>514</v>
      </c>
      <c r="O127">
        <v>1</v>
      </c>
      <c r="P127" t="s">
        <v>527</v>
      </c>
      <c r="Q127">
        <v>14</v>
      </c>
    </row>
    <row r="128" spans="1:17">
      <c r="A128">
        <v>4</v>
      </c>
      <c r="B128" t="s">
        <v>507</v>
      </c>
      <c r="C128" t="s">
        <v>508</v>
      </c>
      <c r="D128" t="s">
        <v>483</v>
      </c>
      <c r="E128" t="s">
        <v>509</v>
      </c>
      <c r="F128" t="s">
        <v>522</v>
      </c>
      <c r="G128" t="s">
        <v>528</v>
      </c>
      <c r="H128" t="s">
        <v>529</v>
      </c>
      <c r="J128" t="s">
        <v>530</v>
      </c>
      <c r="K128" t="s">
        <v>506</v>
      </c>
      <c r="L128" t="s">
        <v>514</v>
      </c>
      <c r="M128" t="s">
        <v>531</v>
      </c>
      <c r="N128" t="s">
        <v>514</v>
      </c>
      <c r="O128">
        <v>1</v>
      </c>
      <c r="P128" t="s">
        <v>527</v>
      </c>
      <c r="Q128">
        <v>33</v>
      </c>
    </row>
    <row r="129" spans="1:17">
      <c r="A129">
        <v>5</v>
      </c>
      <c r="B129" t="s">
        <v>507</v>
      </c>
      <c r="C129" t="s">
        <v>508</v>
      </c>
      <c r="D129" t="s">
        <v>483</v>
      </c>
      <c r="E129" t="s">
        <v>532</v>
      </c>
      <c r="F129" t="s">
        <v>533</v>
      </c>
      <c r="G129" t="s">
        <v>534</v>
      </c>
      <c r="H129" t="s">
        <v>535</v>
      </c>
      <c r="J129" t="s">
        <v>536</v>
      </c>
      <c r="K129" t="s">
        <v>506</v>
      </c>
      <c r="L129" t="s">
        <v>514</v>
      </c>
      <c r="M129" t="s">
        <v>537</v>
      </c>
      <c r="N129" t="s">
        <v>514</v>
      </c>
      <c r="O129">
        <v>1</v>
      </c>
      <c r="P129" t="s">
        <v>527</v>
      </c>
      <c r="Q129">
        <v>0</v>
      </c>
    </row>
    <row r="130" spans="1:17">
      <c r="A130">
        <v>6</v>
      </c>
      <c r="B130" t="s">
        <v>507</v>
      </c>
      <c r="C130" t="s">
        <v>508</v>
      </c>
      <c r="D130" t="s">
        <v>483</v>
      </c>
      <c r="E130" t="s">
        <v>532</v>
      </c>
      <c r="F130" t="s">
        <v>538</v>
      </c>
      <c r="G130" t="s">
        <v>539</v>
      </c>
      <c r="H130" t="s">
        <v>540</v>
      </c>
      <c r="J130" t="s">
        <v>541</v>
      </c>
      <c r="K130" t="s">
        <v>506</v>
      </c>
      <c r="L130" t="s">
        <v>514</v>
      </c>
      <c r="M130" t="s">
        <v>542</v>
      </c>
      <c r="N130" t="s">
        <v>514</v>
      </c>
      <c r="O130">
        <v>1</v>
      </c>
      <c r="P130" t="s">
        <v>527</v>
      </c>
      <c r="Q130">
        <v>223</v>
      </c>
    </row>
    <row r="131" spans="1:17">
      <c r="A131">
        <v>27</v>
      </c>
      <c r="B131" t="s">
        <v>507</v>
      </c>
      <c r="C131" t="s">
        <v>508</v>
      </c>
      <c r="D131" t="s">
        <v>483</v>
      </c>
      <c r="E131" t="s">
        <v>543</v>
      </c>
      <c r="F131" t="s">
        <v>538</v>
      </c>
      <c r="G131" t="s">
        <v>544</v>
      </c>
      <c r="H131" t="s">
        <v>545</v>
      </c>
      <c r="J131" t="s">
        <v>546</v>
      </c>
      <c r="K131" t="s">
        <v>506</v>
      </c>
      <c r="L131" t="s">
        <v>514</v>
      </c>
      <c r="M131" t="s">
        <v>514</v>
      </c>
      <c r="N131" t="s">
        <v>514</v>
      </c>
      <c r="O131">
        <v>1</v>
      </c>
      <c r="P131" t="s">
        <v>547</v>
      </c>
      <c r="Q131">
        <v>640</v>
      </c>
    </row>
    <row r="132" spans="1:17">
      <c r="A132">
        <v>27</v>
      </c>
      <c r="B132" t="s">
        <v>507</v>
      </c>
      <c r="C132" t="s">
        <v>508</v>
      </c>
      <c r="D132" t="s">
        <v>483</v>
      </c>
      <c r="E132" t="s">
        <v>543</v>
      </c>
      <c r="F132" t="s">
        <v>538</v>
      </c>
      <c r="G132" t="s">
        <v>548</v>
      </c>
      <c r="H132" t="s">
        <v>549</v>
      </c>
      <c r="J132" t="s">
        <v>550</v>
      </c>
      <c r="K132" t="s">
        <v>506</v>
      </c>
      <c r="L132" t="s">
        <v>514</v>
      </c>
      <c r="M132" t="s">
        <v>514</v>
      </c>
      <c r="N132" t="s">
        <v>514</v>
      </c>
      <c r="O132">
        <v>1</v>
      </c>
      <c r="P132" t="s">
        <v>547</v>
      </c>
      <c r="Q132">
        <v>425</v>
      </c>
    </row>
    <row r="133" spans="1:17">
      <c r="A133">
        <v>27</v>
      </c>
      <c r="B133" t="s">
        <v>507</v>
      </c>
      <c r="C133" t="s">
        <v>508</v>
      </c>
      <c r="D133" t="s">
        <v>483</v>
      </c>
      <c r="E133" t="s">
        <v>543</v>
      </c>
      <c r="F133" t="s">
        <v>538</v>
      </c>
      <c r="G133" t="s">
        <v>551</v>
      </c>
      <c r="H133" t="s">
        <v>552</v>
      </c>
      <c r="J133" t="s">
        <v>553</v>
      </c>
      <c r="K133" t="s">
        <v>506</v>
      </c>
      <c r="L133" t="s">
        <v>514</v>
      </c>
      <c r="M133" t="s">
        <v>554</v>
      </c>
      <c r="N133" t="s">
        <v>514</v>
      </c>
      <c r="O133">
        <v>1</v>
      </c>
      <c r="P133" t="s">
        <v>527</v>
      </c>
      <c r="Q133">
        <v>922</v>
      </c>
    </row>
    <row r="134" spans="1:17">
      <c r="A134">
        <v>10</v>
      </c>
      <c r="B134" t="s">
        <v>507</v>
      </c>
      <c r="C134" t="s">
        <v>508</v>
      </c>
      <c r="D134" t="s">
        <v>483</v>
      </c>
      <c r="E134" t="s">
        <v>532</v>
      </c>
      <c r="F134" t="s">
        <v>555</v>
      </c>
      <c r="G134" t="s">
        <v>556</v>
      </c>
      <c r="H134" t="s">
        <v>557</v>
      </c>
      <c r="J134" t="s">
        <v>558</v>
      </c>
      <c r="K134" t="s">
        <v>506</v>
      </c>
      <c r="L134" t="s">
        <v>514</v>
      </c>
      <c r="M134" t="s">
        <v>514</v>
      </c>
      <c r="N134" t="s">
        <v>514</v>
      </c>
      <c r="O134">
        <v>1</v>
      </c>
      <c r="P134" t="s">
        <v>527</v>
      </c>
      <c r="Q134">
        <v>1680</v>
      </c>
    </row>
    <row r="135" spans="1:17">
      <c r="A135">
        <v>11</v>
      </c>
      <c r="B135" t="s">
        <v>507</v>
      </c>
      <c r="C135" t="s">
        <v>508</v>
      </c>
      <c r="D135" t="s">
        <v>483</v>
      </c>
      <c r="E135" t="s">
        <v>532</v>
      </c>
      <c r="F135" t="s">
        <v>555</v>
      </c>
      <c r="G135" t="s">
        <v>559</v>
      </c>
      <c r="H135" t="s">
        <v>560</v>
      </c>
      <c r="J135" t="s">
        <v>561</v>
      </c>
      <c r="K135" t="s">
        <v>506</v>
      </c>
      <c r="L135" t="s">
        <v>514</v>
      </c>
      <c r="M135" t="s">
        <v>562</v>
      </c>
      <c r="N135" t="s">
        <v>514</v>
      </c>
      <c r="O135">
        <v>1</v>
      </c>
      <c r="P135" t="s">
        <v>527</v>
      </c>
      <c r="Q135">
        <v>10</v>
      </c>
    </row>
    <row r="136" spans="1:17">
      <c r="A136">
        <v>12</v>
      </c>
      <c r="B136" t="s">
        <v>507</v>
      </c>
      <c r="C136" t="s">
        <v>508</v>
      </c>
      <c r="D136" t="s">
        <v>483</v>
      </c>
      <c r="E136" t="s">
        <v>532</v>
      </c>
      <c r="F136" t="s">
        <v>563</v>
      </c>
      <c r="G136" t="s">
        <v>564</v>
      </c>
      <c r="H136" t="s">
        <v>565</v>
      </c>
      <c r="J136" t="s">
        <v>566</v>
      </c>
      <c r="K136" t="s">
        <v>506</v>
      </c>
      <c r="L136" t="s">
        <v>514</v>
      </c>
      <c r="M136" t="s">
        <v>567</v>
      </c>
      <c r="N136" t="s">
        <v>514</v>
      </c>
      <c r="O136">
        <v>1</v>
      </c>
      <c r="P136" t="s">
        <v>527</v>
      </c>
      <c r="Q136">
        <v>74</v>
      </c>
    </row>
    <row r="137" spans="1:17">
      <c r="A137">
        <v>12</v>
      </c>
      <c r="B137" t="s">
        <v>507</v>
      </c>
      <c r="C137" t="s">
        <v>508</v>
      </c>
      <c r="D137" t="s">
        <v>483</v>
      </c>
      <c r="E137" t="s">
        <v>532</v>
      </c>
      <c r="F137" t="s">
        <v>563</v>
      </c>
      <c r="G137" t="s">
        <v>568</v>
      </c>
      <c r="H137" t="s">
        <v>569</v>
      </c>
      <c r="J137" t="s">
        <v>570</v>
      </c>
      <c r="K137" t="s">
        <v>506</v>
      </c>
      <c r="L137" t="s">
        <v>514</v>
      </c>
      <c r="M137" t="s">
        <v>571</v>
      </c>
      <c r="N137" t="s">
        <v>514</v>
      </c>
      <c r="O137">
        <v>1</v>
      </c>
      <c r="P137" t="s">
        <v>527</v>
      </c>
      <c r="Q137">
        <v>56</v>
      </c>
    </row>
    <row r="138" spans="1:17">
      <c r="A138">
        <v>13</v>
      </c>
      <c r="B138" t="s">
        <v>507</v>
      </c>
      <c r="C138" t="s">
        <v>508</v>
      </c>
      <c r="D138" t="s">
        <v>483</v>
      </c>
      <c r="E138" t="s">
        <v>532</v>
      </c>
      <c r="F138" t="s">
        <v>533</v>
      </c>
      <c r="G138" t="s">
        <v>572</v>
      </c>
      <c r="H138" t="s">
        <v>573</v>
      </c>
      <c r="J138" t="s">
        <v>574</v>
      </c>
      <c r="K138" t="s">
        <v>506</v>
      </c>
      <c r="L138" t="s">
        <v>514</v>
      </c>
      <c r="M138" t="s">
        <v>575</v>
      </c>
      <c r="N138" t="s">
        <v>514</v>
      </c>
      <c r="O138">
        <v>1</v>
      </c>
      <c r="P138" t="s">
        <v>527</v>
      </c>
      <c r="Q138">
        <v>84</v>
      </c>
    </row>
    <row r="139" spans="1:17">
      <c r="A139">
        <v>14</v>
      </c>
      <c r="B139" t="s">
        <v>507</v>
      </c>
      <c r="C139" t="s">
        <v>508</v>
      </c>
      <c r="D139" t="s">
        <v>483</v>
      </c>
      <c r="E139" t="s">
        <v>532</v>
      </c>
      <c r="F139" t="s">
        <v>576</v>
      </c>
      <c r="G139" t="s">
        <v>577</v>
      </c>
      <c r="H139" t="s">
        <v>578</v>
      </c>
      <c r="J139" t="s">
        <v>579</v>
      </c>
      <c r="K139" t="s">
        <v>506</v>
      </c>
      <c r="L139" t="s">
        <v>514</v>
      </c>
      <c r="M139" t="s">
        <v>580</v>
      </c>
      <c r="N139" t="s">
        <v>514</v>
      </c>
      <c r="O139">
        <v>1</v>
      </c>
      <c r="P139" t="s">
        <v>527</v>
      </c>
      <c r="Q139">
        <v>165</v>
      </c>
    </row>
    <row r="140" spans="1:17">
      <c r="A140">
        <v>15</v>
      </c>
      <c r="B140" t="s">
        <v>507</v>
      </c>
      <c r="C140" t="s">
        <v>508</v>
      </c>
      <c r="D140" t="s">
        <v>483</v>
      </c>
      <c r="E140" t="s">
        <v>532</v>
      </c>
      <c r="F140" t="s">
        <v>538</v>
      </c>
      <c r="G140" t="s">
        <v>581</v>
      </c>
      <c r="H140" t="s">
        <v>582</v>
      </c>
      <c r="J140" t="s">
        <v>583</v>
      </c>
      <c r="K140" t="s">
        <v>506</v>
      </c>
      <c r="L140" t="s">
        <v>514</v>
      </c>
      <c r="M140" t="s">
        <v>514</v>
      </c>
      <c r="N140" t="s">
        <v>514</v>
      </c>
      <c r="O140">
        <v>1</v>
      </c>
      <c r="P140" t="s">
        <v>527</v>
      </c>
      <c r="Q140">
        <v>43</v>
      </c>
    </row>
    <row r="141" spans="1:17">
      <c r="A141">
        <v>16</v>
      </c>
      <c r="B141" t="s">
        <v>507</v>
      </c>
      <c r="C141" t="s">
        <v>508</v>
      </c>
      <c r="D141" t="s">
        <v>483</v>
      </c>
      <c r="E141" t="s">
        <v>532</v>
      </c>
      <c r="F141" t="s">
        <v>584</v>
      </c>
      <c r="G141" t="s">
        <v>585</v>
      </c>
      <c r="H141" t="s">
        <v>586</v>
      </c>
      <c r="J141" t="s">
        <v>587</v>
      </c>
      <c r="K141" t="s">
        <v>506</v>
      </c>
      <c r="L141" t="s">
        <v>514</v>
      </c>
      <c r="M141" t="s">
        <v>575</v>
      </c>
      <c r="N141" t="s">
        <v>514</v>
      </c>
      <c r="O141">
        <v>1</v>
      </c>
      <c r="P141" t="s">
        <v>527</v>
      </c>
      <c r="Q141">
        <v>425</v>
      </c>
    </row>
    <row r="142" spans="1:17">
      <c r="A142">
        <v>17</v>
      </c>
      <c r="B142" t="s">
        <v>507</v>
      </c>
      <c r="C142" t="s">
        <v>508</v>
      </c>
      <c r="D142" t="s">
        <v>483</v>
      </c>
      <c r="E142" t="s">
        <v>532</v>
      </c>
      <c r="F142" t="s">
        <v>538</v>
      </c>
      <c r="G142" t="s">
        <v>588</v>
      </c>
      <c r="H142" t="s">
        <v>589</v>
      </c>
      <c r="J142" t="s">
        <v>590</v>
      </c>
      <c r="K142" t="s">
        <v>506</v>
      </c>
      <c r="L142" t="s">
        <v>514</v>
      </c>
      <c r="M142" t="s">
        <v>591</v>
      </c>
      <c r="N142" t="s">
        <v>514</v>
      </c>
      <c r="O142">
        <v>1</v>
      </c>
      <c r="P142" t="s">
        <v>527</v>
      </c>
      <c r="Q142">
        <v>77</v>
      </c>
    </row>
    <row r="143" spans="1:17">
      <c r="A143">
        <v>18</v>
      </c>
      <c r="B143" t="s">
        <v>507</v>
      </c>
      <c r="C143" t="s">
        <v>508</v>
      </c>
      <c r="D143" t="s">
        <v>483</v>
      </c>
      <c r="E143" t="s">
        <v>532</v>
      </c>
      <c r="F143" t="s">
        <v>510</v>
      </c>
      <c r="G143" t="s">
        <v>592</v>
      </c>
      <c r="H143" t="s">
        <v>699</v>
      </c>
      <c r="J143" t="s">
        <v>594</v>
      </c>
      <c r="K143" t="s">
        <v>506</v>
      </c>
      <c r="L143" t="s">
        <v>514</v>
      </c>
      <c r="M143" t="s">
        <v>595</v>
      </c>
      <c r="N143" t="s">
        <v>514</v>
      </c>
      <c r="O143">
        <v>1</v>
      </c>
      <c r="P143" t="s">
        <v>596</v>
      </c>
      <c r="Q143">
        <v>415</v>
      </c>
    </row>
    <row r="144" spans="1:17">
      <c r="A144">
        <v>33</v>
      </c>
      <c r="B144" t="s">
        <v>507</v>
      </c>
      <c r="C144" t="s">
        <v>508</v>
      </c>
      <c r="D144" t="s">
        <v>483</v>
      </c>
      <c r="E144" t="s">
        <v>532</v>
      </c>
      <c r="F144" t="s">
        <v>597</v>
      </c>
      <c r="G144" t="s">
        <v>598</v>
      </c>
      <c r="H144" t="s">
        <v>599</v>
      </c>
      <c r="J144" t="s">
        <v>600</v>
      </c>
      <c r="K144" t="s">
        <v>506</v>
      </c>
      <c r="L144" t="s">
        <v>514</v>
      </c>
      <c r="M144" t="s">
        <v>601</v>
      </c>
      <c r="N144" t="s">
        <v>514</v>
      </c>
      <c r="O144">
        <v>1</v>
      </c>
      <c r="P144" t="s">
        <v>602</v>
      </c>
      <c r="Q144">
        <v>53</v>
      </c>
    </row>
    <row r="145" spans="1:17">
      <c r="A145">
        <v>20</v>
      </c>
      <c r="B145" t="s">
        <v>507</v>
      </c>
      <c r="C145" t="s">
        <v>508</v>
      </c>
      <c r="D145" t="s">
        <v>483</v>
      </c>
      <c r="E145" t="s">
        <v>532</v>
      </c>
      <c r="F145" t="s">
        <v>538</v>
      </c>
      <c r="G145" t="s">
        <v>464</v>
      </c>
      <c r="H145" t="s">
        <v>606</v>
      </c>
      <c r="J145" t="s">
        <v>607</v>
      </c>
      <c r="K145" t="s">
        <v>506</v>
      </c>
      <c r="L145" t="s">
        <v>514</v>
      </c>
      <c r="M145" t="s">
        <v>514</v>
      </c>
      <c r="N145" t="s">
        <v>514</v>
      </c>
      <c r="O145">
        <v>1</v>
      </c>
      <c r="P145" t="s">
        <v>608</v>
      </c>
      <c r="Q145">
        <v>875</v>
      </c>
    </row>
    <row r="146" spans="1:17">
      <c r="A146">
        <v>24</v>
      </c>
      <c r="B146" t="s">
        <v>507</v>
      </c>
      <c r="C146" t="s">
        <v>508</v>
      </c>
      <c r="D146" t="s">
        <v>483</v>
      </c>
      <c r="E146" t="s">
        <v>532</v>
      </c>
      <c r="F146" t="s">
        <v>576</v>
      </c>
      <c r="G146" t="s">
        <v>609</v>
      </c>
      <c r="H146" t="s">
        <v>610</v>
      </c>
      <c r="J146" t="s">
        <v>611</v>
      </c>
      <c r="K146" t="s">
        <v>506</v>
      </c>
      <c r="L146" t="s">
        <v>514</v>
      </c>
      <c r="M146" t="s">
        <v>514</v>
      </c>
      <c r="N146" t="s">
        <v>514</v>
      </c>
      <c r="O146">
        <v>1</v>
      </c>
      <c r="P146" t="s">
        <v>527</v>
      </c>
      <c r="Q146">
        <v>41</v>
      </c>
    </row>
    <row r="147" spans="1:17">
      <c r="A147">
        <v>26</v>
      </c>
      <c r="B147" t="s">
        <v>507</v>
      </c>
      <c r="C147" t="s">
        <v>508</v>
      </c>
      <c r="D147" t="s">
        <v>483</v>
      </c>
      <c r="E147" t="s">
        <v>532</v>
      </c>
      <c r="F147" t="s">
        <v>538</v>
      </c>
      <c r="G147" t="s">
        <v>465</v>
      </c>
      <c r="H147" t="s">
        <v>612</v>
      </c>
      <c r="J147" t="s">
        <v>613</v>
      </c>
      <c r="K147" t="s">
        <v>506</v>
      </c>
      <c r="L147" t="s">
        <v>514</v>
      </c>
      <c r="M147" t="s">
        <v>614</v>
      </c>
      <c r="N147" t="s">
        <v>514</v>
      </c>
      <c r="O147">
        <v>1</v>
      </c>
      <c r="P147" t="s">
        <v>547</v>
      </c>
      <c r="Q147">
        <v>289</v>
      </c>
    </row>
    <row r="148" spans="1:17">
      <c r="A148">
        <v>27</v>
      </c>
      <c r="B148" t="s">
        <v>507</v>
      </c>
      <c r="C148" t="s">
        <v>508</v>
      </c>
      <c r="D148" t="s">
        <v>483</v>
      </c>
      <c r="E148" t="s">
        <v>532</v>
      </c>
      <c r="F148" t="s">
        <v>538</v>
      </c>
      <c r="G148" t="s">
        <v>615</v>
      </c>
      <c r="H148" t="s">
        <v>616</v>
      </c>
      <c r="J148" t="s">
        <v>617</v>
      </c>
      <c r="K148" t="s">
        <v>506</v>
      </c>
      <c r="L148" t="s">
        <v>514</v>
      </c>
      <c r="M148" t="s">
        <v>618</v>
      </c>
      <c r="N148" t="s">
        <v>514</v>
      </c>
      <c r="O148">
        <v>1</v>
      </c>
      <c r="P148" t="s">
        <v>521</v>
      </c>
      <c r="Q148">
        <v>92</v>
      </c>
    </row>
    <row r="149" spans="1:17">
      <c r="A149">
        <v>33</v>
      </c>
      <c r="B149" t="s">
        <v>507</v>
      </c>
      <c r="C149" t="s">
        <v>508</v>
      </c>
      <c r="D149" t="s">
        <v>483</v>
      </c>
      <c r="E149" t="s">
        <v>532</v>
      </c>
      <c r="F149" t="s">
        <v>538</v>
      </c>
      <c r="G149" t="s">
        <v>619</v>
      </c>
      <c r="H149" t="s">
        <v>620</v>
      </c>
      <c r="J149" t="s">
        <v>621</v>
      </c>
      <c r="K149" t="s">
        <v>506</v>
      </c>
      <c r="L149" t="s">
        <v>514</v>
      </c>
      <c r="M149" t="s">
        <v>514</v>
      </c>
      <c r="N149" t="s">
        <v>514</v>
      </c>
      <c r="O149">
        <v>1</v>
      </c>
      <c r="P149" t="s">
        <v>622</v>
      </c>
      <c r="Q149">
        <v>58</v>
      </c>
    </row>
    <row r="150" spans="1:17">
      <c r="A150">
        <v>35</v>
      </c>
      <c r="B150" t="s">
        <v>507</v>
      </c>
      <c r="C150" t="s">
        <v>508</v>
      </c>
      <c r="D150" t="s">
        <v>483</v>
      </c>
      <c r="E150" t="s">
        <v>706</v>
      </c>
      <c r="F150" t="s">
        <v>510</v>
      </c>
      <c r="G150" t="s">
        <v>624</v>
      </c>
      <c r="H150" t="s">
        <v>707</v>
      </c>
      <c r="J150" t="s">
        <v>708</v>
      </c>
      <c r="K150" t="s">
        <v>506</v>
      </c>
      <c r="L150" t="s">
        <v>514</v>
      </c>
      <c r="M150" t="s">
        <v>709</v>
      </c>
      <c r="N150" t="s">
        <v>514</v>
      </c>
      <c r="O150">
        <v>1</v>
      </c>
      <c r="P150" t="s">
        <v>596</v>
      </c>
      <c r="Q150">
        <v>290</v>
      </c>
    </row>
    <row r="151" spans="1:17">
      <c r="A151">
        <v>37</v>
      </c>
      <c r="B151" t="s">
        <v>507</v>
      </c>
      <c r="C151" t="s">
        <v>508</v>
      </c>
      <c r="D151" t="s">
        <v>483</v>
      </c>
      <c r="E151" t="s">
        <v>706</v>
      </c>
      <c r="F151" t="s">
        <v>555</v>
      </c>
      <c r="G151" t="s">
        <v>710</v>
      </c>
      <c r="H151" t="s">
        <v>711</v>
      </c>
      <c r="J151" t="s">
        <v>712</v>
      </c>
      <c r="K151" t="s">
        <v>506</v>
      </c>
      <c r="L151" t="s">
        <v>514</v>
      </c>
      <c r="M151" t="s">
        <v>713</v>
      </c>
      <c r="N151" t="s">
        <v>514</v>
      </c>
      <c r="O151">
        <v>1</v>
      </c>
      <c r="P151" t="s">
        <v>527</v>
      </c>
      <c r="Q151">
        <v>100</v>
      </c>
    </row>
    <row r="152" spans="1:17">
      <c r="A152">
        <v>38</v>
      </c>
      <c r="B152" t="s">
        <v>507</v>
      </c>
      <c r="C152" t="s">
        <v>508</v>
      </c>
      <c r="D152" t="s">
        <v>483</v>
      </c>
      <c r="E152" t="s">
        <v>706</v>
      </c>
      <c r="F152" t="s">
        <v>538</v>
      </c>
      <c r="G152" t="s">
        <v>677</v>
      </c>
      <c r="H152" t="s">
        <v>714</v>
      </c>
      <c r="J152" t="s">
        <v>715</v>
      </c>
      <c r="K152" t="s">
        <v>506</v>
      </c>
      <c r="L152" t="s">
        <v>514</v>
      </c>
      <c r="M152" t="s">
        <v>716</v>
      </c>
      <c r="N152" t="s">
        <v>514</v>
      </c>
      <c r="O152">
        <v>1</v>
      </c>
      <c r="P152" t="s">
        <v>681</v>
      </c>
      <c r="Q152">
        <v>55</v>
      </c>
    </row>
    <row r="153" spans="1:17">
      <c r="A153">
        <v>39</v>
      </c>
      <c r="B153" t="s">
        <v>507</v>
      </c>
      <c r="C153" t="s">
        <v>508</v>
      </c>
      <c r="D153" t="s">
        <v>483</v>
      </c>
      <c r="E153" t="s">
        <v>706</v>
      </c>
      <c r="F153" t="s">
        <v>563</v>
      </c>
      <c r="G153" t="s">
        <v>628</v>
      </c>
      <c r="H153" t="s">
        <v>717</v>
      </c>
      <c r="J153" t="s">
        <v>718</v>
      </c>
      <c r="K153" t="s">
        <v>506</v>
      </c>
      <c r="L153" t="s">
        <v>514</v>
      </c>
      <c r="M153" t="s">
        <v>575</v>
      </c>
      <c r="N153" t="s">
        <v>514</v>
      </c>
      <c r="O153">
        <v>1</v>
      </c>
      <c r="P153" t="s">
        <v>527</v>
      </c>
      <c r="Q153">
        <v>66.26</v>
      </c>
    </row>
    <row r="154" spans="1:17">
      <c r="A154">
        <v>40</v>
      </c>
      <c r="B154" t="s">
        <v>507</v>
      </c>
      <c r="C154" t="s">
        <v>508</v>
      </c>
      <c r="D154" t="s">
        <v>483</v>
      </c>
      <c r="E154" t="s">
        <v>706</v>
      </c>
      <c r="F154" t="s">
        <v>632</v>
      </c>
      <c r="G154" t="s">
        <v>633</v>
      </c>
      <c r="H154" t="s">
        <v>719</v>
      </c>
      <c r="J154" t="s">
        <v>720</v>
      </c>
      <c r="K154" t="s">
        <v>506</v>
      </c>
      <c r="L154" t="s">
        <v>514</v>
      </c>
      <c r="M154" t="s">
        <v>721</v>
      </c>
      <c r="N154" t="s">
        <v>514</v>
      </c>
      <c r="O154">
        <v>1</v>
      </c>
      <c r="P154" t="s">
        <v>527</v>
      </c>
      <c r="Q154">
        <v>101</v>
      </c>
    </row>
    <row r="155" spans="1:17">
      <c r="A155">
        <v>41</v>
      </c>
      <c r="B155" t="s">
        <v>507</v>
      </c>
      <c r="C155" t="s">
        <v>508</v>
      </c>
      <c r="D155" t="s">
        <v>483</v>
      </c>
      <c r="E155" t="s">
        <v>706</v>
      </c>
      <c r="F155" t="s">
        <v>632</v>
      </c>
      <c r="G155" t="s">
        <v>637</v>
      </c>
      <c r="H155" t="s">
        <v>722</v>
      </c>
      <c r="J155" t="s">
        <v>723</v>
      </c>
      <c r="K155" t="s">
        <v>506</v>
      </c>
      <c r="L155" t="s">
        <v>514</v>
      </c>
      <c r="M155" t="s">
        <v>724</v>
      </c>
      <c r="N155" t="s">
        <v>514</v>
      </c>
      <c r="O155">
        <v>1</v>
      </c>
      <c r="P155" t="s">
        <v>527</v>
      </c>
      <c r="Q155">
        <v>418</v>
      </c>
    </row>
    <row r="156" spans="1:17">
      <c r="A156">
        <v>42</v>
      </c>
      <c r="B156" t="s">
        <v>507</v>
      </c>
      <c r="C156" t="s">
        <v>508</v>
      </c>
      <c r="D156" t="s">
        <v>483</v>
      </c>
      <c r="E156" t="s">
        <v>706</v>
      </c>
      <c r="F156" t="s">
        <v>632</v>
      </c>
      <c r="G156" t="s">
        <v>641</v>
      </c>
      <c r="H156" t="s">
        <v>725</v>
      </c>
      <c r="J156" t="s">
        <v>726</v>
      </c>
      <c r="K156" t="s">
        <v>506</v>
      </c>
      <c r="L156" t="s">
        <v>514</v>
      </c>
      <c r="M156" t="s">
        <v>727</v>
      </c>
      <c r="N156" t="s">
        <v>514</v>
      </c>
      <c r="O156">
        <v>1</v>
      </c>
      <c r="P156" t="s">
        <v>527</v>
      </c>
      <c r="Q156">
        <v>37</v>
      </c>
    </row>
    <row r="157" spans="1:17">
      <c r="A157">
        <v>43</v>
      </c>
      <c r="B157" t="s">
        <v>507</v>
      </c>
      <c r="C157" t="s">
        <v>508</v>
      </c>
      <c r="D157" t="s">
        <v>483</v>
      </c>
      <c r="E157" t="s">
        <v>706</v>
      </c>
      <c r="F157" t="s">
        <v>555</v>
      </c>
      <c r="G157" t="s">
        <v>645</v>
      </c>
      <c r="H157" t="s">
        <v>646</v>
      </c>
      <c r="J157" t="s">
        <v>647</v>
      </c>
      <c r="K157" t="s">
        <v>506</v>
      </c>
      <c r="L157" t="s">
        <v>514</v>
      </c>
      <c r="M157" t="s">
        <v>648</v>
      </c>
      <c r="N157" t="s">
        <v>514</v>
      </c>
      <c r="O157">
        <v>1</v>
      </c>
      <c r="P157" t="s">
        <v>649</v>
      </c>
      <c r="Q157">
        <v>370</v>
      </c>
    </row>
    <row r="158" spans="1:17">
      <c r="A158">
        <v>44</v>
      </c>
      <c r="B158" t="s">
        <v>507</v>
      </c>
      <c r="C158" t="s">
        <v>508</v>
      </c>
      <c r="D158" t="s">
        <v>483</v>
      </c>
      <c r="E158" t="s">
        <v>706</v>
      </c>
      <c r="F158" t="s">
        <v>522</v>
      </c>
      <c r="G158" t="s">
        <v>650</v>
      </c>
      <c r="H158" t="s">
        <v>651</v>
      </c>
      <c r="J158" t="s">
        <v>652</v>
      </c>
      <c r="K158" t="s">
        <v>506</v>
      </c>
      <c r="L158" t="s">
        <v>514</v>
      </c>
      <c r="M158" t="s">
        <v>653</v>
      </c>
      <c r="N158" t="s">
        <v>514</v>
      </c>
      <c r="O158">
        <v>1</v>
      </c>
      <c r="P158" t="s">
        <v>547</v>
      </c>
      <c r="Q158">
        <v>4.7</v>
      </c>
    </row>
    <row r="159" spans="1:17">
      <c r="A159">
        <v>45</v>
      </c>
      <c r="B159" t="s">
        <v>507</v>
      </c>
      <c r="C159" t="s">
        <v>508</v>
      </c>
      <c r="D159" t="s">
        <v>483</v>
      </c>
      <c r="E159" t="s">
        <v>706</v>
      </c>
      <c r="F159" t="s">
        <v>632</v>
      </c>
      <c r="G159" t="s">
        <v>728</v>
      </c>
      <c r="H159" t="s">
        <v>729</v>
      </c>
      <c r="J159" t="s">
        <v>730</v>
      </c>
      <c r="K159" t="s">
        <v>506</v>
      </c>
      <c r="L159" t="s">
        <v>514</v>
      </c>
      <c r="M159" t="s">
        <v>731</v>
      </c>
      <c r="N159" t="s">
        <v>514</v>
      </c>
      <c r="O159">
        <v>1</v>
      </c>
      <c r="P159" t="s">
        <v>608</v>
      </c>
      <c r="Q159">
        <v>370</v>
      </c>
    </row>
    <row r="160" spans="1:17">
      <c r="A160">
        <v>46</v>
      </c>
      <c r="B160" t="s">
        <v>507</v>
      </c>
      <c r="C160" t="s">
        <v>508</v>
      </c>
      <c r="D160" t="s">
        <v>483</v>
      </c>
      <c r="E160" t="s">
        <v>706</v>
      </c>
      <c r="F160" t="s">
        <v>632</v>
      </c>
      <c r="G160" t="s">
        <v>654</v>
      </c>
      <c r="H160" t="s">
        <v>732</v>
      </c>
      <c r="J160" t="s">
        <v>733</v>
      </c>
      <c r="K160" t="s">
        <v>506</v>
      </c>
      <c r="L160" t="s">
        <v>514</v>
      </c>
      <c r="M160" t="s">
        <v>734</v>
      </c>
      <c r="N160" t="s">
        <v>514</v>
      </c>
      <c r="O160">
        <v>1</v>
      </c>
      <c r="P160" t="s">
        <v>527</v>
      </c>
      <c r="Q160">
        <v>39.5</v>
      </c>
    </row>
    <row r="161" spans="1:17">
      <c r="A161">
        <v>47</v>
      </c>
      <c r="B161" t="s">
        <v>507</v>
      </c>
      <c r="C161" t="s">
        <v>508</v>
      </c>
      <c r="D161" t="s">
        <v>483</v>
      </c>
      <c r="E161" t="s">
        <v>706</v>
      </c>
      <c r="F161" t="s">
        <v>632</v>
      </c>
      <c r="G161" t="s">
        <v>658</v>
      </c>
      <c r="H161" t="s">
        <v>735</v>
      </c>
      <c r="J161" t="s">
        <v>736</v>
      </c>
      <c r="K161" t="s">
        <v>506</v>
      </c>
      <c r="L161" t="s">
        <v>514</v>
      </c>
      <c r="M161" t="s">
        <v>734</v>
      </c>
      <c r="N161" t="s">
        <v>514</v>
      </c>
      <c r="O161">
        <v>1</v>
      </c>
      <c r="P161" t="s">
        <v>527</v>
      </c>
      <c r="Q161">
        <v>17.2</v>
      </c>
    </row>
    <row r="162" spans="1:17">
      <c r="A162">
        <v>1</v>
      </c>
      <c r="B162" t="s">
        <v>507</v>
      </c>
      <c r="C162" t="s">
        <v>508</v>
      </c>
      <c r="D162" t="s">
        <v>484</v>
      </c>
      <c r="E162" t="s">
        <v>509</v>
      </c>
      <c r="F162" t="s">
        <v>510</v>
      </c>
      <c r="G162" t="s">
        <v>511</v>
      </c>
      <c r="H162" t="s">
        <v>512</v>
      </c>
      <c r="J162" t="s">
        <v>513</v>
      </c>
      <c r="K162" t="s">
        <v>506</v>
      </c>
      <c r="L162" t="s">
        <v>514</v>
      </c>
      <c r="M162" t="s">
        <v>515</v>
      </c>
      <c r="N162" t="s">
        <v>514</v>
      </c>
      <c r="O162">
        <v>1</v>
      </c>
      <c r="P162" t="s">
        <v>516</v>
      </c>
      <c r="Q162">
        <v>920</v>
      </c>
    </row>
    <row r="163" spans="1:17">
      <c r="A163">
        <v>2</v>
      </c>
      <c r="B163" t="s">
        <v>507</v>
      </c>
      <c r="C163" t="s">
        <v>508</v>
      </c>
      <c r="D163" t="s">
        <v>484</v>
      </c>
      <c r="E163" t="s">
        <v>509</v>
      </c>
      <c r="F163" t="s">
        <v>510</v>
      </c>
      <c r="G163" t="s">
        <v>517</v>
      </c>
      <c r="H163" t="s">
        <v>518</v>
      </c>
      <c r="J163" t="s">
        <v>519</v>
      </c>
      <c r="K163" t="s">
        <v>506</v>
      </c>
      <c r="L163" t="s">
        <v>514</v>
      </c>
      <c r="M163" t="s">
        <v>520</v>
      </c>
      <c r="N163" t="s">
        <v>514</v>
      </c>
      <c r="O163">
        <v>1</v>
      </c>
      <c r="P163" t="s">
        <v>521</v>
      </c>
      <c r="Q163">
        <v>380</v>
      </c>
    </row>
    <row r="164" spans="1:17">
      <c r="A164">
        <v>3</v>
      </c>
      <c r="B164" t="s">
        <v>507</v>
      </c>
      <c r="C164" t="s">
        <v>508</v>
      </c>
      <c r="D164" t="s">
        <v>484</v>
      </c>
      <c r="E164" t="s">
        <v>509</v>
      </c>
      <c r="F164" t="s">
        <v>522</v>
      </c>
      <c r="G164" t="s">
        <v>523</v>
      </c>
      <c r="H164" t="s">
        <v>524</v>
      </c>
      <c r="J164" t="s">
        <v>525</v>
      </c>
      <c r="K164" t="s">
        <v>506</v>
      </c>
      <c r="L164" t="s">
        <v>514</v>
      </c>
      <c r="M164" t="s">
        <v>526</v>
      </c>
      <c r="N164" t="s">
        <v>514</v>
      </c>
      <c r="O164">
        <v>1</v>
      </c>
      <c r="P164" t="s">
        <v>527</v>
      </c>
      <c r="Q164">
        <v>14</v>
      </c>
    </row>
    <row r="165" spans="1:17">
      <c r="A165">
        <v>4</v>
      </c>
      <c r="B165" t="s">
        <v>507</v>
      </c>
      <c r="C165" t="s">
        <v>508</v>
      </c>
      <c r="D165" t="s">
        <v>484</v>
      </c>
      <c r="E165" t="s">
        <v>509</v>
      </c>
      <c r="F165" t="s">
        <v>522</v>
      </c>
      <c r="G165" t="s">
        <v>528</v>
      </c>
      <c r="H165" t="s">
        <v>529</v>
      </c>
      <c r="J165" t="s">
        <v>530</v>
      </c>
      <c r="K165" t="s">
        <v>506</v>
      </c>
      <c r="L165" t="s">
        <v>514</v>
      </c>
      <c r="M165" t="s">
        <v>531</v>
      </c>
      <c r="N165" t="s">
        <v>514</v>
      </c>
      <c r="O165">
        <v>1</v>
      </c>
      <c r="P165" t="s">
        <v>527</v>
      </c>
      <c r="Q165">
        <v>33</v>
      </c>
    </row>
    <row r="166" spans="1:17">
      <c r="A166">
        <v>5</v>
      </c>
      <c r="B166" t="s">
        <v>507</v>
      </c>
      <c r="C166" t="s">
        <v>508</v>
      </c>
      <c r="D166" t="s">
        <v>484</v>
      </c>
      <c r="E166" t="s">
        <v>532</v>
      </c>
      <c r="F166" t="s">
        <v>533</v>
      </c>
      <c r="G166" t="s">
        <v>534</v>
      </c>
      <c r="H166" t="s">
        <v>535</v>
      </c>
      <c r="J166" t="s">
        <v>536</v>
      </c>
      <c r="K166" t="s">
        <v>506</v>
      </c>
      <c r="L166" t="s">
        <v>514</v>
      </c>
      <c r="M166" t="s">
        <v>537</v>
      </c>
      <c r="N166" t="s">
        <v>514</v>
      </c>
      <c r="O166">
        <v>1</v>
      </c>
      <c r="P166" t="s">
        <v>527</v>
      </c>
      <c r="Q166">
        <v>0</v>
      </c>
    </row>
    <row r="167" spans="1:17">
      <c r="A167">
        <v>6</v>
      </c>
      <c r="B167" t="s">
        <v>507</v>
      </c>
      <c r="C167" t="s">
        <v>508</v>
      </c>
      <c r="D167" t="s">
        <v>484</v>
      </c>
      <c r="E167" t="s">
        <v>532</v>
      </c>
      <c r="F167" t="s">
        <v>538</v>
      </c>
      <c r="G167" t="s">
        <v>539</v>
      </c>
      <c r="H167" t="s">
        <v>540</v>
      </c>
      <c r="J167" t="s">
        <v>541</v>
      </c>
      <c r="K167" t="s">
        <v>506</v>
      </c>
      <c r="L167" t="s">
        <v>514</v>
      </c>
      <c r="M167" t="s">
        <v>542</v>
      </c>
      <c r="N167" t="s">
        <v>514</v>
      </c>
      <c r="O167">
        <v>1</v>
      </c>
      <c r="P167" t="s">
        <v>527</v>
      </c>
      <c r="Q167">
        <v>223</v>
      </c>
    </row>
    <row r="168" spans="1:17">
      <c r="A168">
        <v>27</v>
      </c>
      <c r="B168" t="s">
        <v>507</v>
      </c>
      <c r="C168" t="s">
        <v>508</v>
      </c>
      <c r="D168" t="s">
        <v>484</v>
      </c>
      <c r="E168" t="s">
        <v>543</v>
      </c>
      <c r="F168" t="s">
        <v>538</v>
      </c>
      <c r="G168" t="s">
        <v>544</v>
      </c>
      <c r="H168" t="s">
        <v>545</v>
      </c>
      <c r="J168" t="s">
        <v>546</v>
      </c>
      <c r="K168" t="s">
        <v>506</v>
      </c>
      <c r="L168" t="s">
        <v>514</v>
      </c>
      <c r="M168" t="s">
        <v>514</v>
      </c>
      <c r="N168" t="s">
        <v>514</v>
      </c>
      <c r="O168">
        <v>1</v>
      </c>
      <c r="P168" t="s">
        <v>547</v>
      </c>
      <c r="Q168">
        <v>640</v>
      </c>
    </row>
    <row r="169" spans="1:17">
      <c r="A169">
        <v>27</v>
      </c>
      <c r="B169" t="s">
        <v>507</v>
      </c>
      <c r="C169" t="s">
        <v>508</v>
      </c>
      <c r="D169" t="s">
        <v>484</v>
      </c>
      <c r="E169" t="s">
        <v>543</v>
      </c>
      <c r="F169" t="s">
        <v>538</v>
      </c>
      <c r="G169" t="s">
        <v>548</v>
      </c>
      <c r="H169" t="s">
        <v>549</v>
      </c>
      <c r="J169" t="s">
        <v>550</v>
      </c>
      <c r="K169" t="s">
        <v>506</v>
      </c>
      <c r="L169" t="s">
        <v>514</v>
      </c>
      <c r="M169" t="s">
        <v>514</v>
      </c>
      <c r="N169" t="s">
        <v>514</v>
      </c>
      <c r="O169">
        <v>1</v>
      </c>
      <c r="P169" t="s">
        <v>547</v>
      </c>
      <c r="Q169">
        <v>425</v>
      </c>
    </row>
    <row r="170" spans="1:17">
      <c r="A170">
        <v>27</v>
      </c>
      <c r="B170" t="s">
        <v>507</v>
      </c>
      <c r="C170" t="s">
        <v>508</v>
      </c>
      <c r="D170" t="s">
        <v>484</v>
      </c>
      <c r="E170" t="s">
        <v>543</v>
      </c>
      <c r="F170" t="s">
        <v>538</v>
      </c>
      <c r="G170" t="s">
        <v>551</v>
      </c>
      <c r="H170" t="s">
        <v>552</v>
      </c>
      <c r="J170" t="s">
        <v>553</v>
      </c>
      <c r="K170" t="s">
        <v>506</v>
      </c>
      <c r="L170" t="s">
        <v>514</v>
      </c>
      <c r="M170" t="s">
        <v>554</v>
      </c>
      <c r="N170" t="s">
        <v>514</v>
      </c>
      <c r="O170">
        <v>1</v>
      </c>
      <c r="P170" t="s">
        <v>527</v>
      </c>
      <c r="Q170">
        <v>922</v>
      </c>
    </row>
    <row r="171" spans="1:17">
      <c r="A171">
        <v>10</v>
      </c>
      <c r="B171" t="s">
        <v>507</v>
      </c>
      <c r="C171" t="s">
        <v>508</v>
      </c>
      <c r="D171" t="s">
        <v>484</v>
      </c>
      <c r="E171" t="s">
        <v>532</v>
      </c>
      <c r="F171" t="s">
        <v>555</v>
      </c>
      <c r="G171" t="s">
        <v>556</v>
      </c>
      <c r="H171" t="s">
        <v>557</v>
      </c>
      <c r="J171" t="s">
        <v>558</v>
      </c>
      <c r="K171" t="s">
        <v>506</v>
      </c>
      <c r="L171" t="s">
        <v>514</v>
      </c>
      <c r="M171" t="s">
        <v>514</v>
      </c>
      <c r="N171" t="s">
        <v>514</v>
      </c>
      <c r="O171">
        <v>1</v>
      </c>
      <c r="P171" t="s">
        <v>527</v>
      </c>
      <c r="Q171">
        <v>1680</v>
      </c>
    </row>
    <row r="172" spans="1:17">
      <c r="A172">
        <v>11</v>
      </c>
      <c r="B172" t="s">
        <v>507</v>
      </c>
      <c r="C172" t="s">
        <v>508</v>
      </c>
      <c r="D172" t="s">
        <v>484</v>
      </c>
      <c r="E172" t="s">
        <v>532</v>
      </c>
      <c r="F172" t="s">
        <v>555</v>
      </c>
      <c r="G172" t="s">
        <v>559</v>
      </c>
      <c r="H172" t="s">
        <v>560</v>
      </c>
      <c r="J172" t="s">
        <v>561</v>
      </c>
      <c r="K172" t="s">
        <v>506</v>
      </c>
      <c r="L172" t="s">
        <v>514</v>
      </c>
      <c r="M172" t="s">
        <v>562</v>
      </c>
      <c r="N172" t="s">
        <v>514</v>
      </c>
      <c r="O172">
        <v>1</v>
      </c>
      <c r="P172" t="s">
        <v>527</v>
      </c>
      <c r="Q172">
        <v>10</v>
      </c>
    </row>
    <row r="173" spans="1:17">
      <c r="A173">
        <v>12</v>
      </c>
      <c r="B173" t="s">
        <v>507</v>
      </c>
      <c r="C173" t="s">
        <v>508</v>
      </c>
      <c r="D173" t="s">
        <v>484</v>
      </c>
      <c r="E173" t="s">
        <v>532</v>
      </c>
      <c r="F173" t="s">
        <v>563</v>
      </c>
      <c r="G173" t="s">
        <v>564</v>
      </c>
      <c r="H173" t="s">
        <v>565</v>
      </c>
      <c r="J173" t="s">
        <v>566</v>
      </c>
      <c r="K173" t="s">
        <v>506</v>
      </c>
      <c r="L173" t="s">
        <v>514</v>
      </c>
      <c r="M173" t="s">
        <v>567</v>
      </c>
      <c r="N173" t="s">
        <v>514</v>
      </c>
      <c r="O173">
        <v>1</v>
      </c>
      <c r="P173" t="s">
        <v>527</v>
      </c>
      <c r="Q173">
        <v>74</v>
      </c>
    </row>
    <row r="174" spans="1:17">
      <c r="A174">
        <v>12</v>
      </c>
      <c r="B174" t="s">
        <v>507</v>
      </c>
      <c r="C174" t="s">
        <v>508</v>
      </c>
      <c r="D174" t="s">
        <v>484</v>
      </c>
      <c r="E174" t="s">
        <v>532</v>
      </c>
      <c r="F174" t="s">
        <v>563</v>
      </c>
      <c r="G174" t="s">
        <v>568</v>
      </c>
      <c r="H174" t="s">
        <v>569</v>
      </c>
      <c r="J174" t="s">
        <v>570</v>
      </c>
      <c r="K174" t="s">
        <v>506</v>
      </c>
      <c r="L174" t="s">
        <v>514</v>
      </c>
      <c r="M174" t="s">
        <v>571</v>
      </c>
      <c r="N174" t="s">
        <v>514</v>
      </c>
      <c r="O174">
        <v>1</v>
      </c>
      <c r="P174" t="s">
        <v>527</v>
      </c>
      <c r="Q174">
        <v>56</v>
      </c>
    </row>
    <row r="175" spans="1:17">
      <c r="A175">
        <v>13</v>
      </c>
      <c r="B175" t="s">
        <v>507</v>
      </c>
      <c r="C175" t="s">
        <v>508</v>
      </c>
      <c r="D175" t="s">
        <v>484</v>
      </c>
      <c r="E175" t="s">
        <v>532</v>
      </c>
      <c r="F175" t="s">
        <v>533</v>
      </c>
      <c r="G175" t="s">
        <v>572</v>
      </c>
      <c r="H175" t="s">
        <v>573</v>
      </c>
      <c r="J175" t="s">
        <v>574</v>
      </c>
      <c r="K175" t="s">
        <v>506</v>
      </c>
      <c r="L175" t="s">
        <v>514</v>
      </c>
      <c r="M175" t="s">
        <v>575</v>
      </c>
      <c r="N175" t="s">
        <v>514</v>
      </c>
      <c r="O175">
        <v>1</v>
      </c>
      <c r="P175" t="s">
        <v>527</v>
      </c>
      <c r="Q175">
        <v>84</v>
      </c>
    </row>
    <row r="176" spans="1:17">
      <c r="A176">
        <v>14</v>
      </c>
      <c r="B176" t="s">
        <v>507</v>
      </c>
      <c r="C176" t="s">
        <v>508</v>
      </c>
      <c r="D176" t="s">
        <v>484</v>
      </c>
      <c r="E176" t="s">
        <v>532</v>
      </c>
      <c r="F176" t="s">
        <v>576</v>
      </c>
      <c r="G176" t="s">
        <v>577</v>
      </c>
      <c r="H176" t="s">
        <v>578</v>
      </c>
      <c r="J176" t="s">
        <v>579</v>
      </c>
      <c r="K176" t="s">
        <v>506</v>
      </c>
      <c r="L176" t="s">
        <v>514</v>
      </c>
      <c r="M176" t="s">
        <v>580</v>
      </c>
      <c r="N176" t="s">
        <v>514</v>
      </c>
      <c r="O176">
        <v>1</v>
      </c>
      <c r="P176" t="s">
        <v>527</v>
      </c>
      <c r="Q176">
        <v>165</v>
      </c>
    </row>
    <row r="177" spans="1:17">
      <c r="A177">
        <v>15</v>
      </c>
      <c r="B177" t="s">
        <v>507</v>
      </c>
      <c r="C177" t="s">
        <v>508</v>
      </c>
      <c r="D177" t="s">
        <v>484</v>
      </c>
      <c r="E177" t="s">
        <v>532</v>
      </c>
      <c r="F177" t="s">
        <v>538</v>
      </c>
      <c r="G177" t="s">
        <v>581</v>
      </c>
      <c r="H177" t="s">
        <v>582</v>
      </c>
      <c r="J177" t="s">
        <v>583</v>
      </c>
      <c r="K177" t="s">
        <v>506</v>
      </c>
      <c r="L177" t="s">
        <v>514</v>
      </c>
      <c r="M177" t="s">
        <v>514</v>
      </c>
      <c r="N177" t="s">
        <v>514</v>
      </c>
      <c r="O177">
        <v>1</v>
      </c>
      <c r="P177" t="s">
        <v>527</v>
      </c>
      <c r="Q177">
        <v>43</v>
      </c>
    </row>
    <row r="178" spans="1:17">
      <c r="A178">
        <v>16</v>
      </c>
      <c r="B178" t="s">
        <v>507</v>
      </c>
      <c r="C178" t="s">
        <v>508</v>
      </c>
      <c r="D178" t="s">
        <v>484</v>
      </c>
      <c r="E178" t="s">
        <v>532</v>
      </c>
      <c r="F178" t="s">
        <v>584</v>
      </c>
      <c r="G178" t="s">
        <v>585</v>
      </c>
      <c r="H178" t="s">
        <v>586</v>
      </c>
      <c r="J178" t="s">
        <v>587</v>
      </c>
      <c r="K178" t="s">
        <v>506</v>
      </c>
      <c r="L178" t="s">
        <v>514</v>
      </c>
      <c r="M178" t="s">
        <v>575</v>
      </c>
      <c r="N178" t="s">
        <v>514</v>
      </c>
      <c r="O178">
        <v>1</v>
      </c>
      <c r="P178" t="s">
        <v>527</v>
      </c>
      <c r="Q178">
        <v>425</v>
      </c>
    </row>
    <row r="179" spans="1:17">
      <c r="A179">
        <v>17</v>
      </c>
      <c r="B179" t="s">
        <v>507</v>
      </c>
      <c r="C179" t="s">
        <v>508</v>
      </c>
      <c r="D179" t="s">
        <v>484</v>
      </c>
      <c r="E179" t="s">
        <v>532</v>
      </c>
      <c r="F179" t="s">
        <v>538</v>
      </c>
      <c r="G179" t="s">
        <v>588</v>
      </c>
      <c r="H179" t="s">
        <v>589</v>
      </c>
      <c r="J179" t="s">
        <v>590</v>
      </c>
      <c r="K179" t="s">
        <v>506</v>
      </c>
      <c r="L179" t="s">
        <v>514</v>
      </c>
      <c r="M179" t="s">
        <v>591</v>
      </c>
      <c r="N179" t="s">
        <v>514</v>
      </c>
      <c r="O179">
        <v>1</v>
      </c>
      <c r="P179" t="s">
        <v>527</v>
      </c>
      <c r="Q179">
        <v>77</v>
      </c>
    </row>
    <row r="180" spans="1:17">
      <c r="A180">
        <v>18</v>
      </c>
      <c r="B180" t="s">
        <v>507</v>
      </c>
      <c r="C180" t="s">
        <v>508</v>
      </c>
      <c r="D180" t="s">
        <v>484</v>
      </c>
      <c r="E180" t="s">
        <v>532</v>
      </c>
      <c r="F180" t="s">
        <v>510</v>
      </c>
      <c r="G180" t="s">
        <v>592</v>
      </c>
      <c r="H180" t="s">
        <v>699</v>
      </c>
      <c r="J180" t="s">
        <v>594</v>
      </c>
      <c r="K180" t="s">
        <v>506</v>
      </c>
      <c r="L180" t="s">
        <v>514</v>
      </c>
      <c r="M180" t="s">
        <v>595</v>
      </c>
      <c r="N180" t="s">
        <v>514</v>
      </c>
      <c r="O180">
        <v>2</v>
      </c>
      <c r="P180" t="s">
        <v>596</v>
      </c>
      <c r="Q180">
        <v>415</v>
      </c>
    </row>
    <row r="181" spans="1:17">
      <c r="A181">
        <v>33</v>
      </c>
      <c r="B181" t="s">
        <v>507</v>
      </c>
      <c r="C181" t="s">
        <v>508</v>
      </c>
      <c r="D181" t="s">
        <v>484</v>
      </c>
      <c r="E181" t="s">
        <v>532</v>
      </c>
      <c r="F181" t="s">
        <v>597</v>
      </c>
      <c r="G181" t="s">
        <v>598</v>
      </c>
      <c r="H181" t="s">
        <v>599</v>
      </c>
      <c r="J181" t="s">
        <v>600</v>
      </c>
      <c r="K181" t="s">
        <v>506</v>
      </c>
      <c r="L181" t="s">
        <v>514</v>
      </c>
      <c r="M181" t="s">
        <v>601</v>
      </c>
      <c r="N181" t="s">
        <v>514</v>
      </c>
      <c r="O181">
        <v>1</v>
      </c>
      <c r="P181" t="s">
        <v>602</v>
      </c>
      <c r="Q181">
        <v>53</v>
      </c>
    </row>
    <row r="182" spans="1:17">
      <c r="A182">
        <v>33</v>
      </c>
      <c r="B182" t="s">
        <v>507</v>
      </c>
      <c r="C182" t="s">
        <v>508</v>
      </c>
      <c r="D182" t="s">
        <v>484</v>
      </c>
      <c r="E182" t="s">
        <v>532</v>
      </c>
      <c r="F182" t="s">
        <v>597</v>
      </c>
      <c r="G182" t="s">
        <v>598</v>
      </c>
      <c r="H182" t="s">
        <v>603</v>
      </c>
      <c r="J182" t="s">
        <v>604</v>
      </c>
      <c r="K182" t="s">
        <v>506</v>
      </c>
      <c r="L182" t="s">
        <v>514</v>
      </c>
      <c r="M182" t="s">
        <v>601</v>
      </c>
      <c r="N182" t="s">
        <v>514</v>
      </c>
      <c r="O182">
        <v>1</v>
      </c>
      <c r="P182" t="s">
        <v>605</v>
      </c>
      <c r="Q182">
        <v>77</v>
      </c>
    </row>
    <row r="183" spans="1:17">
      <c r="A183">
        <v>20</v>
      </c>
      <c r="B183" t="s">
        <v>507</v>
      </c>
      <c r="C183" t="s">
        <v>508</v>
      </c>
      <c r="D183" t="s">
        <v>484</v>
      </c>
      <c r="E183" t="s">
        <v>532</v>
      </c>
      <c r="F183" t="s">
        <v>538</v>
      </c>
      <c r="G183" t="s">
        <v>464</v>
      </c>
      <c r="H183" t="s">
        <v>606</v>
      </c>
      <c r="J183" t="s">
        <v>607</v>
      </c>
      <c r="K183" t="s">
        <v>506</v>
      </c>
      <c r="L183" t="s">
        <v>514</v>
      </c>
      <c r="M183" t="s">
        <v>514</v>
      </c>
      <c r="N183" t="s">
        <v>514</v>
      </c>
      <c r="O183">
        <v>1</v>
      </c>
      <c r="P183" t="s">
        <v>608</v>
      </c>
      <c r="Q183">
        <v>875</v>
      </c>
    </row>
    <row r="184" spans="1:17">
      <c r="A184">
        <v>24</v>
      </c>
      <c r="B184" t="s">
        <v>507</v>
      </c>
      <c r="C184" t="s">
        <v>508</v>
      </c>
      <c r="D184" t="s">
        <v>484</v>
      </c>
      <c r="E184" t="s">
        <v>532</v>
      </c>
      <c r="F184" t="s">
        <v>576</v>
      </c>
      <c r="G184" t="s">
        <v>609</v>
      </c>
      <c r="H184" t="s">
        <v>610</v>
      </c>
      <c r="J184" t="s">
        <v>611</v>
      </c>
      <c r="K184" t="s">
        <v>506</v>
      </c>
      <c r="L184" t="s">
        <v>514</v>
      </c>
      <c r="M184" t="s">
        <v>514</v>
      </c>
      <c r="N184" t="s">
        <v>514</v>
      </c>
      <c r="O184">
        <v>1</v>
      </c>
      <c r="P184" t="s">
        <v>527</v>
      </c>
      <c r="Q184">
        <v>41</v>
      </c>
    </row>
    <row r="185" spans="1:17">
      <c r="A185">
        <v>26</v>
      </c>
      <c r="B185" t="s">
        <v>507</v>
      </c>
      <c r="C185" t="s">
        <v>508</v>
      </c>
      <c r="D185" t="s">
        <v>484</v>
      </c>
      <c r="E185" t="s">
        <v>532</v>
      </c>
      <c r="F185" t="s">
        <v>538</v>
      </c>
      <c r="G185" t="s">
        <v>465</v>
      </c>
      <c r="H185" t="s">
        <v>612</v>
      </c>
      <c r="J185" t="s">
        <v>613</v>
      </c>
      <c r="K185" t="s">
        <v>506</v>
      </c>
      <c r="L185" t="s">
        <v>514</v>
      </c>
      <c r="M185" t="s">
        <v>614</v>
      </c>
      <c r="N185" t="s">
        <v>514</v>
      </c>
      <c r="O185">
        <v>1</v>
      </c>
      <c r="P185" t="s">
        <v>547</v>
      </c>
      <c r="Q185">
        <v>289</v>
      </c>
    </row>
    <row r="186" spans="1:17">
      <c r="A186">
        <v>27</v>
      </c>
      <c r="B186" t="s">
        <v>507</v>
      </c>
      <c r="C186" t="s">
        <v>508</v>
      </c>
      <c r="D186" t="s">
        <v>484</v>
      </c>
      <c r="E186" t="s">
        <v>532</v>
      </c>
      <c r="F186" t="s">
        <v>538</v>
      </c>
      <c r="G186" t="s">
        <v>615</v>
      </c>
      <c r="H186" t="s">
        <v>616</v>
      </c>
      <c r="J186" t="s">
        <v>617</v>
      </c>
      <c r="K186" t="s">
        <v>506</v>
      </c>
      <c r="L186" t="s">
        <v>514</v>
      </c>
      <c r="M186" t="s">
        <v>618</v>
      </c>
      <c r="N186" t="s">
        <v>514</v>
      </c>
      <c r="O186">
        <v>1</v>
      </c>
      <c r="P186" t="s">
        <v>521</v>
      </c>
      <c r="Q186">
        <v>92</v>
      </c>
    </row>
    <row r="187" spans="1:17">
      <c r="A187">
        <v>33</v>
      </c>
      <c r="B187" t="s">
        <v>507</v>
      </c>
      <c r="C187" t="s">
        <v>508</v>
      </c>
      <c r="D187" t="s">
        <v>484</v>
      </c>
      <c r="E187" t="s">
        <v>532</v>
      </c>
      <c r="F187" t="s">
        <v>538</v>
      </c>
      <c r="G187" t="s">
        <v>619</v>
      </c>
      <c r="H187" t="s">
        <v>620</v>
      </c>
      <c r="J187" t="s">
        <v>621</v>
      </c>
      <c r="K187" t="s">
        <v>506</v>
      </c>
      <c r="L187" t="s">
        <v>514</v>
      </c>
      <c r="M187" t="s">
        <v>514</v>
      </c>
      <c r="N187" t="s">
        <v>514</v>
      </c>
      <c r="O187">
        <v>1</v>
      </c>
      <c r="P187" t="s">
        <v>622</v>
      </c>
      <c r="Q187">
        <v>58</v>
      </c>
    </row>
    <row r="188" spans="1:17">
      <c r="A188">
        <v>35</v>
      </c>
      <c r="B188" t="s">
        <v>507</v>
      </c>
      <c r="C188" t="s">
        <v>508</v>
      </c>
      <c r="D188" t="s">
        <v>484</v>
      </c>
      <c r="E188" t="s">
        <v>706</v>
      </c>
      <c r="F188" t="s">
        <v>510</v>
      </c>
      <c r="G188" t="s">
        <v>624</v>
      </c>
      <c r="H188" t="s">
        <v>707</v>
      </c>
      <c r="J188" t="s">
        <v>708</v>
      </c>
      <c r="K188" t="s">
        <v>506</v>
      </c>
      <c r="L188" t="s">
        <v>514</v>
      </c>
      <c r="M188" t="s">
        <v>709</v>
      </c>
      <c r="N188" t="s">
        <v>514</v>
      </c>
      <c r="O188">
        <v>1</v>
      </c>
      <c r="P188" t="s">
        <v>596</v>
      </c>
      <c r="Q188">
        <v>290</v>
      </c>
    </row>
    <row r="189" spans="1:17">
      <c r="A189">
        <v>37</v>
      </c>
      <c r="B189" t="s">
        <v>507</v>
      </c>
      <c r="C189" t="s">
        <v>508</v>
      </c>
      <c r="D189" t="s">
        <v>484</v>
      </c>
      <c r="E189" t="s">
        <v>706</v>
      </c>
      <c r="F189" t="s">
        <v>555</v>
      </c>
      <c r="G189" t="s">
        <v>710</v>
      </c>
      <c r="H189" t="s">
        <v>711</v>
      </c>
      <c r="J189" t="s">
        <v>712</v>
      </c>
      <c r="K189" t="s">
        <v>506</v>
      </c>
      <c r="L189" t="s">
        <v>514</v>
      </c>
      <c r="M189" t="s">
        <v>713</v>
      </c>
      <c r="N189" t="s">
        <v>514</v>
      </c>
      <c r="O189">
        <v>1</v>
      </c>
      <c r="P189" t="s">
        <v>527</v>
      </c>
      <c r="Q189">
        <v>100</v>
      </c>
    </row>
    <row r="190" spans="1:17">
      <c r="A190">
        <v>38</v>
      </c>
      <c r="B190" t="s">
        <v>507</v>
      </c>
      <c r="C190" t="s">
        <v>508</v>
      </c>
      <c r="D190" t="s">
        <v>484</v>
      </c>
      <c r="E190" t="s">
        <v>706</v>
      </c>
      <c r="F190" t="s">
        <v>538</v>
      </c>
      <c r="G190" t="s">
        <v>677</v>
      </c>
      <c r="H190" t="s">
        <v>714</v>
      </c>
      <c r="J190" t="s">
        <v>715</v>
      </c>
      <c r="K190" t="s">
        <v>506</v>
      </c>
      <c r="L190" t="s">
        <v>514</v>
      </c>
      <c r="M190" t="s">
        <v>716</v>
      </c>
      <c r="N190" t="s">
        <v>514</v>
      </c>
      <c r="O190">
        <v>1</v>
      </c>
      <c r="P190" t="s">
        <v>681</v>
      </c>
      <c r="Q190">
        <v>55</v>
      </c>
    </row>
    <row r="191" spans="1:17">
      <c r="A191">
        <v>39</v>
      </c>
      <c r="B191" t="s">
        <v>507</v>
      </c>
      <c r="C191" t="s">
        <v>508</v>
      </c>
      <c r="D191" t="s">
        <v>484</v>
      </c>
      <c r="E191" t="s">
        <v>706</v>
      </c>
      <c r="F191" t="s">
        <v>563</v>
      </c>
      <c r="G191" t="s">
        <v>628</v>
      </c>
      <c r="H191" t="s">
        <v>717</v>
      </c>
      <c r="J191" t="s">
        <v>718</v>
      </c>
      <c r="K191" t="s">
        <v>506</v>
      </c>
      <c r="L191" t="s">
        <v>514</v>
      </c>
      <c r="M191" t="s">
        <v>575</v>
      </c>
      <c r="N191" t="s">
        <v>514</v>
      </c>
      <c r="O191">
        <v>1</v>
      </c>
      <c r="P191" t="s">
        <v>527</v>
      </c>
      <c r="Q191">
        <v>66.26</v>
      </c>
    </row>
    <row r="192" spans="1:17">
      <c r="A192">
        <v>40</v>
      </c>
      <c r="B192" t="s">
        <v>507</v>
      </c>
      <c r="C192" t="s">
        <v>508</v>
      </c>
      <c r="D192" t="s">
        <v>484</v>
      </c>
      <c r="E192" t="s">
        <v>706</v>
      </c>
      <c r="F192" t="s">
        <v>632</v>
      </c>
      <c r="G192" t="s">
        <v>633</v>
      </c>
      <c r="H192" t="s">
        <v>719</v>
      </c>
      <c r="J192" t="s">
        <v>720</v>
      </c>
      <c r="K192" t="s">
        <v>506</v>
      </c>
      <c r="L192" t="s">
        <v>514</v>
      </c>
      <c r="M192" t="s">
        <v>721</v>
      </c>
      <c r="N192" t="s">
        <v>514</v>
      </c>
      <c r="O192">
        <v>1</v>
      </c>
      <c r="P192" t="s">
        <v>527</v>
      </c>
      <c r="Q192">
        <v>101</v>
      </c>
    </row>
    <row r="193" spans="1:17">
      <c r="A193">
        <v>41</v>
      </c>
      <c r="B193" t="s">
        <v>507</v>
      </c>
      <c r="C193" t="s">
        <v>508</v>
      </c>
      <c r="D193" t="s">
        <v>484</v>
      </c>
      <c r="E193" t="s">
        <v>706</v>
      </c>
      <c r="F193" t="s">
        <v>632</v>
      </c>
      <c r="G193" t="s">
        <v>637</v>
      </c>
      <c r="H193" t="s">
        <v>722</v>
      </c>
      <c r="J193" t="s">
        <v>723</v>
      </c>
      <c r="K193" t="s">
        <v>506</v>
      </c>
      <c r="L193" t="s">
        <v>514</v>
      </c>
      <c r="M193" t="s">
        <v>724</v>
      </c>
      <c r="N193" t="s">
        <v>514</v>
      </c>
      <c r="O193">
        <v>1</v>
      </c>
      <c r="P193" t="s">
        <v>527</v>
      </c>
      <c r="Q193">
        <v>418</v>
      </c>
    </row>
    <row r="194" spans="1:17">
      <c r="A194">
        <v>42</v>
      </c>
      <c r="B194" t="s">
        <v>507</v>
      </c>
      <c r="C194" t="s">
        <v>508</v>
      </c>
      <c r="D194" t="s">
        <v>484</v>
      </c>
      <c r="E194" t="s">
        <v>706</v>
      </c>
      <c r="F194" t="s">
        <v>632</v>
      </c>
      <c r="G194" t="s">
        <v>641</v>
      </c>
      <c r="H194" t="s">
        <v>725</v>
      </c>
      <c r="J194" t="s">
        <v>726</v>
      </c>
      <c r="K194" t="s">
        <v>506</v>
      </c>
      <c r="L194" t="s">
        <v>514</v>
      </c>
      <c r="M194" t="s">
        <v>727</v>
      </c>
      <c r="N194" t="s">
        <v>514</v>
      </c>
      <c r="O194">
        <v>1</v>
      </c>
      <c r="P194" t="s">
        <v>527</v>
      </c>
      <c r="Q194">
        <v>37</v>
      </c>
    </row>
    <row r="195" spans="1:17">
      <c r="A195">
        <v>43</v>
      </c>
      <c r="B195" t="s">
        <v>507</v>
      </c>
      <c r="C195" t="s">
        <v>508</v>
      </c>
      <c r="D195" t="s">
        <v>484</v>
      </c>
      <c r="E195" t="s">
        <v>706</v>
      </c>
      <c r="F195" t="s">
        <v>555</v>
      </c>
      <c r="G195" t="s">
        <v>645</v>
      </c>
      <c r="H195" t="s">
        <v>646</v>
      </c>
      <c r="J195" t="s">
        <v>647</v>
      </c>
      <c r="K195" t="s">
        <v>506</v>
      </c>
      <c r="L195" t="s">
        <v>514</v>
      </c>
      <c r="M195" t="s">
        <v>648</v>
      </c>
      <c r="N195" t="s">
        <v>514</v>
      </c>
      <c r="O195">
        <v>1</v>
      </c>
      <c r="P195" t="s">
        <v>649</v>
      </c>
      <c r="Q195">
        <v>370</v>
      </c>
    </row>
    <row r="196" spans="1:17">
      <c r="A196">
        <v>44</v>
      </c>
      <c r="B196" t="s">
        <v>507</v>
      </c>
      <c r="C196" t="s">
        <v>508</v>
      </c>
      <c r="D196" t="s">
        <v>484</v>
      </c>
      <c r="E196" t="s">
        <v>706</v>
      </c>
      <c r="F196" t="s">
        <v>522</v>
      </c>
      <c r="G196" t="s">
        <v>650</v>
      </c>
      <c r="H196" t="s">
        <v>651</v>
      </c>
      <c r="J196" t="s">
        <v>652</v>
      </c>
      <c r="K196" t="s">
        <v>506</v>
      </c>
      <c r="L196" t="s">
        <v>514</v>
      </c>
      <c r="M196" t="s">
        <v>653</v>
      </c>
      <c r="N196" t="s">
        <v>514</v>
      </c>
      <c r="O196">
        <v>1</v>
      </c>
      <c r="P196" t="s">
        <v>547</v>
      </c>
      <c r="Q196">
        <v>4.7</v>
      </c>
    </row>
    <row r="197" spans="1:17">
      <c r="A197">
        <v>45</v>
      </c>
      <c r="B197" t="s">
        <v>507</v>
      </c>
      <c r="C197" t="s">
        <v>508</v>
      </c>
      <c r="D197" t="s">
        <v>484</v>
      </c>
      <c r="E197" t="s">
        <v>706</v>
      </c>
      <c r="F197" t="s">
        <v>632</v>
      </c>
      <c r="G197" t="s">
        <v>728</v>
      </c>
      <c r="H197" t="s">
        <v>729</v>
      </c>
      <c r="J197" t="s">
        <v>730</v>
      </c>
      <c r="K197" t="s">
        <v>506</v>
      </c>
      <c r="L197" t="s">
        <v>514</v>
      </c>
      <c r="M197" t="s">
        <v>731</v>
      </c>
      <c r="N197" t="s">
        <v>514</v>
      </c>
      <c r="O197">
        <v>1</v>
      </c>
      <c r="P197" t="s">
        <v>608</v>
      </c>
      <c r="Q197">
        <v>370</v>
      </c>
    </row>
    <row r="198" spans="1:17">
      <c r="A198">
        <v>46</v>
      </c>
      <c r="B198" t="s">
        <v>507</v>
      </c>
      <c r="C198" t="s">
        <v>508</v>
      </c>
      <c r="D198" t="s">
        <v>484</v>
      </c>
      <c r="E198" t="s">
        <v>706</v>
      </c>
      <c r="F198" t="s">
        <v>632</v>
      </c>
      <c r="G198" t="s">
        <v>654</v>
      </c>
      <c r="H198" t="s">
        <v>732</v>
      </c>
      <c r="J198" t="s">
        <v>733</v>
      </c>
      <c r="K198" t="s">
        <v>506</v>
      </c>
      <c r="L198" t="s">
        <v>514</v>
      </c>
      <c r="M198" t="s">
        <v>734</v>
      </c>
      <c r="N198" t="s">
        <v>514</v>
      </c>
      <c r="O198">
        <v>1</v>
      </c>
      <c r="P198" t="s">
        <v>527</v>
      </c>
      <c r="Q198">
        <v>39.5</v>
      </c>
    </row>
    <row r="199" spans="1:17">
      <c r="A199">
        <v>47</v>
      </c>
      <c r="B199" t="s">
        <v>507</v>
      </c>
      <c r="C199" t="s">
        <v>508</v>
      </c>
      <c r="D199" t="s">
        <v>484</v>
      </c>
      <c r="E199" t="s">
        <v>706</v>
      </c>
      <c r="F199" t="s">
        <v>632</v>
      </c>
      <c r="G199" t="s">
        <v>658</v>
      </c>
      <c r="H199" t="s">
        <v>735</v>
      </c>
      <c r="J199" t="s">
        <v>736</v>
      </c>
      <c r="K199" t="s">
        <v>506</v>
      </c>
      <c r="L199" t="s">
        <v>514</v>
      </c>
      <c r="M199" t="s">
        <v>734</v>
      </c>
      <c r="N199" t="s">
        <v>514</v>
      </c>
      <c r="O199">
        <v>1</v>
      </c>
      <c r="P199" t="s">
        <v>527</v>
      </c>
      <c r="Q199">
        <v>17.2</v>
      </c>
    </row>
    <row r="200" spans="1:17">
      <c r="A200">
        <v>1</v>
      </c>
      <c r="B200" t="s">
        <v>507</v>
      </c>
      <c r="C200" t="s">
        <v>508</v>
      </c>
      <c r="D200" t="s">
        <v>485</v>
      </c>
      <c r="E200" t="s">
        <v>509</v>
      </c>
      <c r="F200" t="s">
        <v>510</v>
      </c>
      <c r="G200" t="s">
        <v>511</v>
      </c>
      <c r="H200" t="s">
        <v>512</v>
      </c>
      <c r="J200" t="s">
        <v>513</v>
      </c>
      <c r="K200" t="s">
        <v>506</v>
      </c>
      <c r="L200" t="s">
        <v>514</v>
      </c>
      <c r="M200" t="s">
        <v>515</v>
      </c>
      <c r="N200" t="s">
        <v>514</v>
      </c>
      <c r="O200">
        <v>1</v>
      </c>
      <c r="P200" t="s">
        <v>516</v>
      </c>
      <c r="Q200">
        <v>920</v>
      </c>
    </row>
    <row r="201" spans="1:17">
      <c r="A201">
        <v>2</v>
      </c>
      <c r="B201" t="s">
        <v>507</v>
      </c>
      <c r="C201" t="s">
        <v>508</v>
      </c>
      <c r="D201" t="s">
        <v>485</v>
      </c>
      <c r="E201" t="s">
        <v>509</v>
      </c>
      <c r="F201" t="s">
        <v>510</v>
      </c>
      <c r="G201" t="s">
        <v>517</v>
      </c>
      <c r="H201" t="s">
        <v>518</v>
      </c>
      <c r="J201" t="s">
        <v>519</v>
      </c>
      <c r="K201" t="s">
        <v>506</v>
      </c>
      <c r="L201" t="s">
        <v>514</v>
      </c>
      <c r="M201" t="s">
        <v>520</v>
      </c>
      <c r="N201" t="s">
        <v>514</v>
      </c>
      <c r="O201">
        <v>1</v>
      </c>
      <c r="P201" t="s">
        <v>521</v>
      </c>
      <c r="Q201">
        <v>380</v>
      </c>
    </row>
    <row r="202" spans="1:17">
      <c r="A202">
        <v>3</v>
      </c>
      <c r="B202" t="s">
        <v>507</v>
      </c>
      <c r="C202" t="s">
        <v>508</v>
      </c>
      <c r="D202" t="s">
        <v>485</v>
      </c>
      <c r="E202" t="s">
        <v>509</v>
      </c>
      <c r="F202" t="s">
        <v>522</v>
      </c>
      <c r="G202" t="s">
        <v>523</v>
      </c>
      <c r="H202" t="s">
        <v>524</v>
      </c>
      <c r="J202" t="s">
        <v>525</v>
      </c>
      <c r="K202" t="s">
        <v>506</v>
      </c>
      <c r="L202" t="s">
        <v>514</v>
      </c>
      <c r="M202" t="s">
        <v>526</v>
      </c>
      <c r="N202" t="s">
        <v>514</v>
      </c>
      <c r="O202">
        <v>1</v>
      </c>
      <c r="P202" t="s">
        <v>527</v>
      </c>
      <c r="Q202">
        <v>14</v>
      </c>
    </row>
    <row r="203" spans="1:17">
      <c r="A203">
        <v>4</v>
      </c>
      <c r="B203" t="s">
        <v>507</v>
      </c>
      <c r="C203" t="s">
        <v>508</v>
      </c>
      <c r="D203" t="s">
        <v>485</v>
      </c>
      <c r="E203" t="s">
        <v>509</v>
      </c>
      <c r="F203" t="s">
        <v>522</v>
      </c>
      <c r="G203" t="s">
        <v>528</v>
      </c>
      <c r="H203" t="s">
        <v>529</v>
      </c>
      <c r="J203" t="s">
        <v>530</v>
      </c>
      <c r="K203" t="s">
        <v>506</v>
      </c>
      <c r="L203" t="s">
        <v>514</v>
      </c>
      <c r="M203" t="s">
        <v>531</v>
      </c>
      <c r="N203" t="s">
        <v>514</v>
      </c>
      <c r="O203">
        <v>1</v>
      </c>
      <c r="P203" t="s">
        <v>527</v>
      </c>
      <c r="Q203">
        <v>33</v>
      </c>
    </row>
    <row r="204" spans="1:17">
      <c r="A204">
        <v>5</v>
      </c>
      <c r="B204" t="s">
        <v>507</v>
      </c>
      <c r="C204" t="s">
        <v>508</v>
      </c>
      <c r="D204" t="s">
        <v>485</v>
      </c>
      <c r="E204" t="s">
        <v>532</v>
      </c>
      <c r="F204" t="s">
        <v>533</v>
      </c>
      <c r="G204" t="s">
        <v>534</v>
      </c>
      <c r="H204" t="s">
        <v>535</v>
      </c>
      <c r="J204" t="s">
        <v>536</v>
      </c>
      <c r="K204" t="s">
        <v>506</v>
      </c>
      <c r="L204" t="s">
        <v>514</v>
      </c>
      <c r="M204" t="s">
        <v>537</v>
      </c>
      <c r="N204" t="s">
        <v>514</v>
      </c>
      <c r="O204">
        <v>1</v>
      </c>
      <c r="P204" t="s">
        <v>527</v>
      </c>
      <c r="Q204">
        <v>0</v>
      </c>
    </row>
    <row r="205" spans="1:17">
      <c r="A205">
        <v>6</v>
      </c>
      <c r="B205" t="s">
        <v>507</v>
      </c>
      <c r="C205" t="s">
        <v>508</v>
      </c>
      <c r="D205" t="s">
        <v>485</v>
      </c>
      <c r="E205" t="s">
        <v>532</v>
      </c>
      <c r="F205" t="s">
        <v>538</v>
      </c>
      <c r="G205" t="s">
        <v>539</v>
      </c>
      <c r="H205" t="s">
        <v>540</v>
      </c>
      <c r="J205" t="s">
        <v>541</v>
      </c>
      <c r="K205" t="s">
        <v>506</v>
      </c>
      <c r="L205" t="s">
        <v>514</v>
      </c>
      <c r="M205" t="s">
        <v>542</v>
      </c>
      <c r="N205" t="s">
        <v>514</v>
      </c>
      <c r="O205">
        <v>1</v>
      </c>
      <c r="P205" t="s">
        <v>527</v>
      </c>
      <c r="Q205">
        <v>223</v>
      </c>
    </row>
    <row r="206" spans="1:17">
      <c r="A206">
        <v>27</v>
      </c>
      <c r="B206" t="s">
        <v>507</v>
      </c>
      <c r="C206" t="s">
        <v>508</v>
      </c>
      <c r="D206" t="s">
        <v>485</v>
      </c>
      <c r="E206" t="s">
        <v>543</v>
      </c>
      <c r="F206" t="s">
        <v>538</v>
      </c>
      <c r="G206" t="s">
        <v>544</v>
      </c>
      <c r="H206" t="s">
        <v>545</v>
      </c>
      <c r="J206" t="s">
        <v>546</v>
      </c>
      <c r="K206" t="s">
        <v>506</v>
      </c>
      <c r="L206" t="s">
        <v>514</v>
      </c>
      <c r="M206" t="s">
        <v>514</v>
      </c>
      <c r="N206" t="s">
        <v>514</v>
      </c>
      <c r="O206">
        <v>1</v>
      </c>
      <c r="P206" t="s">
        <v>547</v>
      </c>
      <c r="Q206">
        <v>640</v>
      </c>
    </row>
    <row r="207" spans="1:17">
      <c r="A207">
        <v>27</v>
      </c>
      <c r="B207" t="s">
        <v>507</v>
      </c>
      <c r="C207" t="s">
        <v>508</v>
      </c>
      <c r="D207" t="s">
        <v>485</v>
      </c>
      <c r="E207" t="s">
        <v>543</v>
      </c>
      <c r="F207" t="s">
        <v>538</v>
      </c>
      <c r="G207" t="s">
        <v>548</v>
      </c>
      <c r="H207" t="s">
        <v>549</v>
      </c>
      <c r="J207" t="s">
        <v>550</v>
      </c>
      <c r="K207" t="s">
        <v>506</v>
      </c>
      <c r="L207" t="s">
        <v>514</v>
      </c>
      <c r="M207" t="s">
        <v>514</v>
      </c>
      <c r="N207" t="s">
        <v>514</v>
      </c>
      <c r="O207">
        <v>1</v>
      </c>
      <c r="P207" t="s">
        <v>547</v>
      </c>
      <c r="Q207">
        <v>425</v>
      </c>
    </row>
    <row r="208" spans="1:17">
      <c r="A208">
        <v>27</v>
      </c>
      <c r="B208" t="s">
        <v>507</v>
      </c>
      <c r="C208" t="s">
        <v>508</v>
      </c>
      <c r="D208" t="s">
        <v>485</v>
      </c>
      <c r="E208" t="s">
        <v>543</v>
      </c>
      <c r="F208" t="s">
        <v>538</v>
      </c>
      <c r="G208" t="s">
        <v>551</v>
      </c>
      <c r="H208" t="s">
        <v>696</v>
      </c>
      <c r="J208" t="s">
        <v>697</v>
      </c>
      <c r="K208" t="s">
        <v>506</v>
      </c>
      <c r="L208" t="s">
        <v>514</v>
      </c>
      <c r="M208" t="s">
        <v>698</v>
      </c>
      <c r="N208" t="s">
        <v>514</v>
      </c>
      <c r="O208">
        <v>1</v>
      </c>
      <c r="P208" t="s">
        <v>527</v>
      </c>
      <c r="Q208">
        <v>959</v>
      </c>
    </row>
    <row r="209" spans="1:17">
      <c r="A209">
        <v>10</v>
      </c>
      <c r="B209" t="s">
        <v>507</v>
      </c>
      <c r="C209" t="s">
        <v>508</v>
      </c>
      <c r="D209" t="s">
        <v>485</v>
      </c>
      <c r="E209" t="s">
        <v>532</v>
      </c>
      <c r="F209" t="s">
        <v>555</v>
      </c>
      <c r="G209" t="s">
        <v>556</v>
      </c>
      <c r="H209" t="s">
        <v>557</v>
      </c>
      <c r="J209" t="s">
        <v>558</v>
      </c>
      <c r="K209" t="s">
        <v>506</v>
      </c>
      <c r="L209" t="s">
        <v>514</v>
      </c>
      <c r="M209" t="s">
        <v>514</v>
      </c>
      <c r="N209" t="s">
        <v>514</v>
      </c>
      <c r="O209">
        <v>1</v>
      </c>
      <c r="P209" t="s">
        <v>527</v>
      </c>
      <c r="Q209">
        <v>1680</v>
      </c>
    </row>
    <row r="210" spans="1:17">
      <c r="A210">
        <v>11</v>
      </c>
      <c r="B210" t="s">
        <v>507</v>
      </c>
      <c r="C210" t="s">
        <v>508</v>
      </c>
      <c r="D210" t="s">
        <v>485</v>
      </c>
      <c r="E210" t="s">
        <v>532</v>
      </c>
      <c r="F210" t="s">
        <v>555</v>
      </c>
      <c r="G210" t="s">
        <v>559</v>
      </c>
      <c r="H210" t="s">
        <v>560</v>
      </c>
      <c r="J210" t="s">
        <v>561</v>
      </c>
      <c r="K210" t="s">
        <v>506</v>
      </c>
      <c r="L210" t="s">
        <v>514</v>
      </c>
      <c r="M210" t="s">
        <v>562</v>
      </c>
      <c r="N210" t="s">
        <v>514</v>
      </c>
      <c r="O210">
        <v>1</v>
      </c>
      <c r="P210" t="s">
        <v>527</v>
      </c>
      <c r="Q210">
        <v>10</v>
      </c>
    </row>
    <row r="211" spans="1:17">
      <c r="A211">
        <v>12</v>
      </c>
      <c r="B211" t="s">
        <v>507</v>
      </c>
      <c r="C211" t="s">
        <v>508</v>
      </c>
      <c r="D211" t="s">
        <v>485</v>
      </c>
      <c r="E211" t="s">
        <v>532</v>
      </c>
      <c r="F211" t="s">
        <v>563</v>
      </c>
      <c r="G211" t="s">
        <v>564</v>
      </c>
      <c r="H211" t="s">
        <v>565</v>
      </c>
      <c r="J211" t="s">
        <v>566</v>
      </c>
      <c r="K211" t="s">
        <v>506</v>
      </c>
      <c r="L211" t="s">
        <v>514</v>
      </c>
      <c r="M211" t="s">
        <v>567</v>
      </c>
      <c r="N211" t="s">
        <v>514</v>
      </c>
      <c r="O211">
        <v>1</v>
      </c>
      <c r="P211" t="s">
        <v>527</v>
      </c>
      <c r="Q211">
        <v>74</v>
      </c>
    </row>
    <row r="212" spans="1:17">
      <c r="A212">
        <v>12</v>
      </c>
      <c r="B212" t="s">
        <v>507</v>
      </c>
      <c r="C212" t="s">
        <v>508</v>
      </c>
      <c r="D212" t="s">
        <v>485</v>
      </c>
      <c r="E212" t="s">
        <v>532</v>
      </c>
      <c r="F212" t="s">
        <v>563</v>
      </c>
      <c r="G212" t="s">
        <v>568</v>
      </c>
      <c r="H212" t="s">
        <v>569</v>
      </c>
      <c r="J212" t="s">
        <v>570</v>
      </c>
      <c r="K212" t="s">
        <v>506</v>
      </c>
      <c r="L212" t="s">
        <v>514</v>
      </c>
      <c r="M212" t="s">
        <v>571</v>
      </c>
      <c r="N212" t="s">
        <v>514</v>
      </c>
      <c r="O212">
        <v>1</v>
      </c>
      <c r="P212" t="s">
        <v>527</v>
      </c>
      <c r="Q212">
        <v>56</v>
      </c>
    </row>
    <row r="213" spans="1:17">
      <c r="A213">
        <v>13</v>
      </c>
      <c r="B213" t="s">
        <v>507</v>
      </c>
      <c r="C213" t="s">
        <v>508</v>
      </c>
      <c r="D213" t="s">
        <v>485</v>
      </c>
      <c r="E213" t="s">
        <v>532</v>
      </c>
      <c r="F213" t="s">
        <v>533</v>
      </c>
      <c r="G213" t="s">
        <v>572</v>
      </c>
      <c r="H213" t="s">
        <v>573</v>
      </c>
      <c r="J213" t="s">
        <v>574</v>
      </c>
      <c r="K213" t="s">
        <v>506</v>
      </c>
      <c r="L213" t="s">
        <v>514</v>
      </c>
      <c r="M213" t="s">
        <v>575</v>
      </c>
      <c r="N213" t="s">
        <v>514</v>
      </c>
      <c r="O213">
        <v>1</v>
      </c>
      <c r="P213" t="s">
        <v>527</v>
      </c>
      <c r="Q213">
        <v>84</v>
      </c>
    </row>
    <row r="214" spans="1:17">
      <c r="A214">
        <v>14</v>
      </c>
      <c r="B214" t="s">
        <v>507</v>
      </c>
      <c r="C214" t="s">
        <v>508</v>
      </c>
      <c r="D214" t="s">
        <v>485</v>
      </c>
      <c r="E214" t="s">
        <v>532</v>
      </c>
      <c r="F214" t="s">
        <v>576</v>
      </c>
      <c r="G214" t="s">
        <v>577</v>
      </c>
      <c r="H214" t="s">
        <v>578</v>
      </c>
      <c r="J214" t="s">
        <v>579</v>
      </c>
      <c r="K214" t="s">
        <v>506</v>
      </c>
      <c r="L214" t="s">
        <v>514</v>
      </c>
      <c r="M214" t="s">
        <v>580</v>
      </c>
      <c r="N214" t="s">
        <v>514</v>
      </c>
      <c r="O214">
        <v>1</v>
      </c>
      <c r="P214" t="s">
        <v>527</v>
      </c>
      <c r="Q214">
        <v>165</v>
      </c>
    </row>
    <row r="215" spans="1:17">
      <c r="A215">
        <v>15</v>
      </c>
      <c r="B215" t="s">
        <v>507</v>
      </c>
      <c r="C215" t="s">
        <v>508</v>
      </c>
      <c r="D215" t="s">
        <v>485</v>
      </c>
      <c r="E215" t="s">
        <v>532</v>
      </c>
      <c r="F215" t="s">
        <v>538</v>
      </c>
      <c r="G215" t="s">
        <v>581</v>
      </c>
      <c r="H215" t="s">
        <v>582</v>
      </c>
      <c r="J215" t="s">
        <v>583</v>
      </c>
      <c r="K215" t="s">
        <v>506</v>
      </c>
      <c r="L215" t="s">
        <v>514</v>
      </c>
      <c r="M215" t="s">
        <v>514</v>
      </c>
      <c r="N215" t="s">
        <v>514</v>
      </c>
      <c r="O215">
        <v>1</v>
      </c>
      <c r="P215" t="s">
        <v>527</v>
      </c>
      <c r="Q215">
        <v>43</v>
      </c>
    </row>
    <row r="216" spans="1:17">
      <c r="A216">
        <v>16</v>
      </c>
      <c r="B216" t="s">
        <v>507</v>
      </c>
      <c r="C216" t="s">
        <v>508</v>
      </c>
      <c r="D216" t="s">
        <v>485</v>
      </c>
      <c r="E216" t="s">
        <v>532</v>
      </c>
      <c r="F216" t="s">
        <v>584</v>
      </c>
      <c r="G216" t="s">
        <v>585</v>
      </c>
      <c r="H216" t="s">
        <v>586</v>
      </c>
      <c r="J216" t="s">
        <v>587</v>
      </c>
      <c r="K216" t="s">
        <v>506</v>
      </c>
      <c r="L216" t="s">
        <v>514</v>
      </c>
      <c r="M216" t="s">
        <v>575</v>
      </c>
      <c r="N216" t="s">
        <v>514</v>
      </c>
      <c r="O216">
        <v>1</v>
      </c>
      <c r="P216" t="s">
        <v>527</v>
      </c>
      <c r="Q216">
        <v>425</v>
      </c>
    </row>
    <row r="217" spans="1:17">
      <c r="A217">
        <v>17</v>
      </c>
      <c r="B217" t="s">
        <v>507</v>
      </c>
      <c r="C217" t="s">
        <v>508</v>
      </c>
      <c r="D217" t="s">
        <v>485</v>
      </c>
      <c r="E217" t="s">
        <v>532</v>
      </c>
      <c r="F217" t="s">
        <v>538</v>
      </c>
      <c r="G217" t="s">
        <v>588</v>
      </c>
      <c r="H217" t="s">
        <v>589</v>
      </c>
      <c r="J217" t="s">
        <v>590</v>
      </c>
      <c r="K217" t="s">
        <v>506</v>
      </c>
      <c r="L217" t="s">
        <v>514</v>
      </c>
      <c r="M217" t="s">
        <v>591</v>
      </c>
      <c r="N217" t="s">
        <v>514</v>
      </c>
      <c r="O217">
        <v>1</v>
      </c>
      <c r="P217" t="s">
        <v>527</v>
      </c>
      <c r="Q217">
        <v>77</v>
      </c>
    </row>
    <row r="218" spans="1:17">
      <c r="A218">
        <v>18</v>
      </c>
      <c r="B218" t="s">
        <v>507</v>
      </c>
      <c r="C218" t="s">
        <v>508</v>
      </c>
      <c r="D218" t="s">
        <v>485</v>
      </c>
      <c r="E218" t="s">
        <v>532</v>
      </c>
      <c r="F218" t="s">
        <v>510</v>
      </c>
      <c r="G218" t="s">
        <v>592</v>
      </c>
      <c r="H218" t="s">
        <v>699</v>
      </c>
      <c r="J218" t="s">
        <v>594</v>
      </c>
      <c r="K218" t="s">
        <v>506</v>
      </c>
      <c r="L218" t="s">
        <v>514</v>
      </c>
      <c r="M218" t="s">
        <v>595</v>
      </c>
      <c r="N218" t="s">
        <v>514</v>
      </c>
      <c r="O218">
        <v>1</v>
      </c>
      <c r="P218" t="s">
        <v>596</v>
      </c>
      <c r="Q218">
        <v>415</v>
      </c>
    </row>
    <row r="219" spans="1:17">
      <c r="A219">
        <v>33</v>
      </c>
      <c r="B219" t="s">
        <v>507</v>
      </c>
      <c r="C219" t="s">
        <v>508</v>
      </c>
      <c r="D219" t="s">
        <v>485</v>
      </c>
      <c r="E219" t="s">
        <v>532</v>
      </c>
      <c r="F219" t="s">
        <v>597</v>
      </c>
      <c r="G219" t="s">
        <v>598</v>
      </c>
      <c r="H219" t="s">
        <v>599</v>
      </c>
      <c r="J219" t="s">
        <v>600</v>
      </c>
      <c r="K219" t="s">
        <v>506</v>
      </c>
      <c r="L219" t="s">
        <v>514</v>
      </c>
      <c r="M219" t="s">
        <v>601</v>
      </c>
      <c r="N219" t="s">
        <v>514</v>
      </c>
      <c r="O219">
        <v>1</v>
      </c>
      <c r="P219" t="s">
        <v>602</v>
      </c>
      <c r="Q219">
        <v>53</v>
      </c>
    </row>
    <row r="220" spans="1:17">
      <c r="A220">
        <v>20</v>
      </c>
      <c r="B220" t="s">
        <v>507</v>
      </c>
      <c r="C220" t="s">
        <v>508</v>
      </c>
      <c r="D220" t="s">
        <v>485</v>
      </c>
      <c r="E220" t="s">
        <v>532</v>
      </c>
      <c r="F220" t="s">
        <v>538</v>
      </c>
      <c r="G220" t="s">
        <v>464</v>
      </c>
      <c r="H220" t="s">
        <v>606</v>
      </c>
      <c r="J220" t="s">
        <v>607</v>
      </c>
      <c r="K220" t="s">
        <v>506</v>
      </c>
      <c r="L220" t="s">
        <v>514</v>
      </c>
      <c r="M220" t="s">
        <v>514</v>
      </c>
      <c r="N220" t="s">
        <v>514</v>
      </c>
      <c r="O220">
        <v>1</v>
      </c>
      <c r="P220" t="s">
        <v>608</v>
      </c>
      <c r="Q220">
        <v>875</v>
      </c>
    </row>
    <row r="221" spans="1:17">
      <c r="A221">
        <v>24</v>
      </c>
      <c r="B221" t="s">
        <v>507</v>
      </c>
      <c r="C221" t="s">
        <v>508</v>
      </c>
      <c r="D221" t="s">
        <v>485</v>
      </c>
      <c r="E221" t="s">
        <v>532</v>
      </c>
      <c r="F221" t="s">
        <v>576</v>
      </c>
      <c r="G221" t="s">
        <v>609</v>
      </c>
      <c r="H221" t="s">
        <v>610</v>
      </c>
      <c r="J221" t="s">
        <v>611</v>
      </c>
      <c r="K221" t="s">
        <v>506</v>
      </c>
      <c r="L221" t="s">
        <v>514</v>
      </c>
      <c r="M221" t="s">
        <v>514</v>
      </c>
      <c r="N221" t="s">
        <v>514</v>
      </c>
      <c r="O221">
        <v>1</v>
      </c>
      <c r="P221" t="s">
        <v>527</v>
      </c>
      <c r="Q221">
        <v>41</v>
      </c>
    </row>
    <row r="222" spans="1:17">
      <c r="A222">
        <v>26</v>
      </c>
      <c r="B222" t="s">
        <v>507</v>
      </c>
      <c r="C222" t="s">
        <v>508</v>
      </c>
      <c r="D222" t="s">
        <v>485</v>
      </c>
      <c r="E222" t="s">
        <v>532</v>
      </c>
      <c r="F222" t="s">
        <v>538</v>
      </c>
      <c r="G222" t="s">
        <v>465</v>
      </c>
      <c r="H222" t="s">
        <v>702</v>
      </c>
      <c r="J222" t="s">
        <v>703</v>
      </c>
      <c r="K222" t="s">
        <v>506</v>
      </c>
      <c r="L222" t="s">
        <v>514</v>
      </c>
      <c r="M222" t="s">
        <v>704</v>
      </c>
      <c r="N222" t="s">
        <v>514</v>
      </c>
      <c r="O222">
        <v>1</v>
      </c>
      <c r="P222" t="s">
        <v>547</v>
      </c>
      <c r="Q222">
        <v>331</v>
      </c>
    </row>
    <row r="223" spans="1:17">
      <c r="A223">
        <v>27</v>
      </c>
      <c r="B223" t="s">
        <v>507</v>
      </c>
      <c r="C223" t="s">
        <v>508</v>
      </c>
      <c r="D223" t="s">
        <v>485</v>
      </c>
      <c r="E223" t="s">
        <v>532</v>
      </c>
      <c r="F223" t="s">
        <v>538</v>
      </c>
      <c r="G223" t="s">
        <v>615</v>
      </c>
      <c r="H223" t="s">
        <v>616</v>
      </c>
      <c r="J223" t="s">
        <v>617</v>
      </c>
      <c r="K223" t="s">
        <v>506</v>
      </c>
      <c r="L223" t="s">
        <v>514</v>
      </c>
      <c r="M223" t="s">
        <v>618</v>
      </c>
      <c r="N223" t="s">
        <v>514</v>
      </c>
      <c r="O223">
        <v>1</v>
      </c>
      <c r="P223" t="s">
        <v>521</v>
      </c>
      <c r="Q223">
        <v>92</v>
      </c>
    </row>
    <row r="224" spans="1:17">
      <c r="A224">
        <v>33</v>
      </c>
      <c r="B224" t="s">
        <v>507</v>
      </c>
      <c r="C224" t="s">
        <v>508</v>
      </c>
      <c r="D224" t="s">
        <v>485</v>
      </c>
      <c r="E224" t="s">
        <v>532</v>
      </c>
      <c r="F224" t="s">
        <v>538</v>
      </c>
      <c r="G224" t="s">
        <v>619</v>
      </c>
      <c r="H224" t="s">
        <v>620</v>
      </c>
      <c r="J224" t="s">
        <v>621</v>
      </c>
      <c r="K224" t="s">
        <v>506</v>
      </c>
      <c r="L224" t="s">
        <v>514</v>
      </c>
      <c r="M224" t="s">
        <v>514</v>
      </c>
      <c r="N224" t="s">
        <v>514</v>
      </c>
      <c r="O224">
        <v>1</v>
      </c>
      <c r="P224" t="s">
        <v>622</v>
      </c>
      <c r="Q224">
        <v>58</v>
      </c>
    </row>
    <row r="225" spans="1:17">
      <c r="A225">
        <v>35</v>
      </c>
      <c r="B225" t="s">
        <v>507</v>
      </c>
      <c r="C225" t="s">
        <v>508</v>
      </c>
      <c r="D225" t="s">
        <v>485</v>
      </c>
      <c r="E225" t="s">
        <v>706</v>
      </c>
      <c r="F225" t="s">
        <v>510</v>
      </c>
      <c r="G225" t="s">
        <v>624</v>
      </c>
      <c r="H225" t="s">
        <v>707</v>
      </c>
      <c r="J225" t="s">
        <v>708</v>
      </c>
      <c r="K225" t="s">
        <v>506</v>
      </c>
      <c r="L225" t="s">
        <v>514</v>
      </c>
      <c r="M225" t="s">
        <v>709</v>
      </c>
      <c r="N225" t="s">
        <v>514</v>
      </c>
      <c r="O225">
        <v>1</v>
      </c>
      <c r="P225" t="s">
        <v>596</v>
      </c>
      <c r="Q225">
        <v>290</v>
      </c>
    </row>
    <row r="226" spans="1:17">
      <c r="A226">
        <v>37</v>
      </c>
      <c r="B226" t="s">
        <v>507</v>
      </c>
      <c r="C226" t="s">
        <v>508</v>
      </c>
      <c r="D226" t="s">
        <v>485</v>
      </c>
      <c r="E226" t="s">
        <v>706</v>
      </c>
      <c r="F226" t="s">
        <v>555</v>
      </c>
      <c r="G226" t="s">
        <v>710</v>
      </c>
      <c r="H226" t="s">
        <v>711</v>
      </c>
      <c r="J226" t="s">
        <v>712</v>
      </c>
      <c r="K226" t="s">
        <v>506</v>
      </c>
      <c r="L226" t="s">
        <v>514</v>
      </c>
      <c r="M226" t="s">
        <v>713</v>
      </c>
      <c r="N226" t="s">
        <v>514</v>
      </c>
      <c r="O226">
        <v>1</v>
      </c>
      <c r="P226" t="s">
        <v>527</v>
      </c>
      <c r="Q226">
        <v>100</v>
      </c>
    </row>
    <row r="227" spans="1:17">
      <c r="A227">
        <v>38</v>
      </c>
      <c r="B227" t="s">
        <v>507</v>
      </c>
      <c r="C227" t="s">
        <v>508</v>
      </c>
      <c r="D227" t="s">
        <v>485</v>
      </c>
      <c r="E227" t="s">
        <v>706</v>
      </c>
      <c r="F227" t="s">
        <v>538</v>
      </c>
      <c r="G227" t="s">
        <v>677</v>
      </c>
      <c r="H227" t="s">
        <v>714</v>
      </c>
      <c r="J227" t="s">
        <v>715</v>
      </c>
      <c r="K227" t="s">
        <v>506</v>
      </c>
      <c r="L227" t="s">
        <v>514</v>
      </c>
      <c r="M227" t="s">
        <v>716</v>
      </c>
      <c r="N227" t="s">
        <v>514</v>
      </c>
      <c r="O227">
        <v>1</v>
      </c>
      <c r="P227" t="s">
        <v>681</v>
      </c>
      <c r="Q227">
        <v>55</v>
      </c>
    </row>
    <row r="228" spans="1:17">
      <c r="A228">
        <v>39</v>
      </c>
      <c r="B228" t="s">
        <v>507</v>
      </c>
      <c r="C228" t="s">
        <v>508</v>
      </c>
      <c r="D228" t="s">
        <v>485</v>
      </c>
      <c r="E228" t="s">
        <v>706</v>
      </c>
      <c r="F228" t="s">
        <v>563</v>
      </c>
      <c r="G228" t="s">
        <v>628</v>
      </c>
      <c r="H228" t="s">
        <v>717</v>
      </c>
      <c r="J228" t="s">
        <v>718</v>
      </c>
      <c r="K228" t="s">
        <v>506</v>
      </c>
      <c r="L228" t="s">
        <v>514</v>
      </c>
      <c r="M228" t="s">
        <v>575</v>
      </c>
      <c r="N228" t="s">
        <v>514</v>
      </c>
      <c r="O228">
        <v>1</v>
      </c>
      <c r="P228" t="s">
        <v>527</v>
      </c>
      <c r="Q228">
        <v>66.26</v>
      </c>
    </row>
    <row r="229" spans="1:17">
      <c r="A229">
        <v>40</v>
      </c>
      <c r="B229" t="s">
        <v>507</v>
      </c>
      <c r="C229" t="s">
        <v>508</v>
      </c>
      <c r="D229" t="s">
        <v>485</v>
      </c>
      <c r="E229" t="s">
        <v>706</v>
      </c>
      <c r="F229" t="s">
        <v>632</v>
      </c>
      <c r="G229" t="s">
        <v>633</v>
      </c>
      <c r="H229" t="s">
        <v>719</v>
      </c>
      <c r="J229" t="s">
        <v>720</v>
      </c>
      <c r="K229" t="s">
        <v>506</v>
      </c>
      <c r="L229" t="s">
        <v>514</v>
      </c>
      <c r="M229" t="s">
        <v>721</v>
      </c>
      <c r="N229" t="s">
        <v>514</v>
      </c>
      <c r="O229">
        <v>1</v>
      </c>
      <c r="P229" t="s">
        <v>527</v>
      </c>
      <c r="Q229">
        <v>101</v>
      </c>
    </row>
    <row r="230" spans="1:17">
      <c r="A230">
        <v>41</v>
      </c>
      <c r="B230" t="s">
        <v>507</v>
      </c>
      <c r="C230" t="s">
        <v>508</v>
      </c>
      <c r="D230" t="s">
        <v>485</v>
      </c>
      <c r="E230" t="s">
        <v>706</v>
      </c>
      <c r="F230" t="s">
        <v>632</v>
      </c>
      <c r="G230" t="s">
        <v>637</v>
      </c>
      <c r="H230" t="s">
        <v>722</v>
      </c>
      <c r="J230" t="s">
        <v>723</v>
      </c>
      <c r="K230" t="s">
        <v>506</v>
      </c>
      <c r="L230" t="s">
        <v>514</v>
      </c>
      <c r="M230" t="s">
        <v>724</v>
      </c>
      <c r="N230" t="s">
        <v>514</v>
      </c>
      <c r="O230">
        <v>1</v>
      </c>
      <c r="P230" t="s">
        <v>527</v>
      </c>
      <c r="Q230">
        <v>418</v>
      </c>
    </row>
    <row r="231" spans="1:17">
      <c r="A231">
        <v>42</v>
      </c>
      <c r="B231" t="s">
        <v>507</v>
      </c>
      <c r="C231" t="s">
        <v>508</v>
      </c>
      <c r="D231" t="s">
        <v>485</v>
      </c>
      <c r="E231" t="s">
        <v>706</v>
      </c>
      <c r="F231" t="s">
        <v>632</v>
      </c>
      <c r="G231" t="s">
        <v>641</v>
      </c>
      <c r="H231" t="s">
        <v>725</v>
      </c>
      <c r="J231" t="s">
        <v>726</v>
      </c>
      <c r="K231" t="s">
        <v>506</v>
      </c>
      <c r="L231" t="s">
        <v>514</v>
      </c>
      <c r="M231" t="s">
        <v>727</v>
      </c>
      <c r="N231" t="s">
        <v>514</v>
      </c>
      <c r="O231">
        <v>1</v>
      </c>
      <c r="P231" t="s">
        <v>527</v>
      </c>
      <c r="Q231">
        <v>37</v>
      </c>
    </row>
    <row r="232" spans="1:17">
      <c r="A232">
        <v>43</v>
      </c>
      <c r="B232" t="s">
        <v>507</v>
      </c>
      <c r="C232" t="s">
        <v>508</v>
      </c>
      <c r="D232" t="s">
        <v>485</v>
      </c>
      <c r="E232" t="s">
        <v>706</v>
      </c>
      <c r="F232" t="s">
        <v>555</v>
      </c>
      <c r="G232" t="s">
        <v>645</v>
      </c>
      <c r="H232" t="s">
        <v>646</v>
      </c>
      <c r="J232" t="s">
        <v>647</v>
      </c>
      <c r="K232" t="s">
        <v>506</v>
      </c>
      <c r="L232" t="s">
        <v>514</v>
      </c>
      <c r="M232" t="s">
        <v>648</v>
      </c>
      <c r="N232" t="s">
        <v>514</v>
      </c>
      <c r="O232">
        <v>1</v>
      </c>
      <c r="P232" t="s">
        <v>649</v>
      </c>
      <c r="Q232">
        <v>370</v>
      </c>
    </row>
    <row r="233" spans="1:17">
      <c r="A233">
        <v>44</v>
      </c>
      <c r="B233" t="s">
        <v>507</v>
      </c>
      <c r="C233" t="s">
        <v>508</v>
      </c>
      <c r="D233" t="s">
        <v>485</v>
      </c>
      <c r="E233" t="s">
        <v>706</v>
      </c>
      <c r="F233" t="s">
        <v>522</v>
      </c>
      <c r="G233" t="s">
        <v>650</v>
      </c>
      <c r="H233" t="s">
        <v>651</v>
      </c>
      <c r="J233" t="s">
        <v>652</v>
      </c>
      <c r="K233" t="s">
        <v>506</v>
      </c>
      <c r="L233" t="s">
        <v>514</v>
      </c>
      <c r="M233" t="s">
        <v>653</v>
      </c>
      <c r="N233" t="s">
        <v>514</v>
      </c>
      <c r="O233">
        <v>1</v>
      </c>
      <c r="P233" t="s">
        <v>547</v>
      </c>
      <c r="Q233">
        <v>4.7</v>
      </c>
    </row>
    <row r="234" spans="1:17">
      <c r="A234">
        <v>45</v>
      </c>
      <c r="B234" t="s">
        <v>507</v>
      </c>
      <c r="C234" t="s">
        <v>508</v>
      </c>
      <c r="D234" t="s">
        <v>485</v>
      </c>
      <c r="E234" t="s">
        <v>706</v>
      </c>
      <c r="F234" t="s">
        <v>632</v>
      </c>
      <c r="G234" t="s">
        <v>728</v>
      </c>
      <c r="H234" t="s">
        <v>729</v>
      </c>
      <c r="J234" t="s">
        <v>730</v>
      </c>
      <c r="K234" t="s">
        <v>506</v>
      </c>
      <c r="L234" t="s">
        <v>514</v>
      </c>
      <c r="M234" t="s">
        <v>731</v>
      </c>
      <c r="N234" t="s">
        <v>514</v>
      </c>
      <c r="O234">
        <v>1</v>
      </c>
      <c r="P234" t="s">
        <v>608</v>
      </c>
      <c r="Q234">
        <v>370</v>
      </c>
    </row>
    <row r="235" spans="1:17">
      <c r="A235">
        <v>46</v>
      </c>
      <c r="B235" t="s">
        <v>507</v>
      </c>
      <c r="C235" t="s">
        <v>508</v>
      </c>
      <c r="D235" t="s">
        <v>485</v>
      </c>
      <c r="E235" t="s">
        <v>706</v>
      </c>
      <c r="F235" t="s">
        <v>632</v>
      </c>
      <c r="G235" t="s">
        <v>654</v>
      </c>
      <c r="H235" t="s">
        <v>732</v>
      </c>
      <c r="J235" t="s">
        <v>733</v>
      </c>
      <c r="K235" t="s">
        <v>506</v>
      </c>
      <c r="L235" t="s">
        <v>514</v>
      </c>
      <c r="M235" t="s">
        <v>734</v>
      </c>
      <c r="N235" t="s">
        <v>514</v>
      </c>
      <c r="O235">
        <v>1</v>
      </c>
      <c r="P235" t="s">
        <v>527</v>
      </c>
      <c r="Q235">
        <v>39.5</v>
      </c>
    </row>
    <row r="236" spans="1:17">
      <c r="A236">
        <v>47</v>
      </c>
      <c r="B236" t="s">
        <v>507</v>
      </c>
      <c r="C236" t="s">
        <v>508</v>
      </c>
      <c r="D236" t="s">
        <v>485</v>
      </c>
      <c r="E236" t="s">
        <v>706</v>
      </c>
      <c r="F236" t="s">
        <v>632</v>
      </c>
      <c r="G236" t="s">
        <v>658</v>
      </c>
      <c r="H236" t="s">
        <v>735</v>
      </c>
      <c r="J236" t="s">
        <v>736</v>
      </c>
      <c r="K236" t="s">
        <v>506</v>
      </c>
      <c r="L236" t="s">
        <v>514</v>
      </c>
      <c r="M236" t="s">
        <v>734</v>
      </c>
      <c r="N236" t="s">
        <v>514</v>
      </c>
      <c r="O236">
        <v>1</v>
      </c>
      <c r="P236" t="s">
        <v>527</v>
      </c>
      <c r="Q236">
        <v>17.2</v>
      </c>
    </row>
    <row r="237" spans="1:17">
      <c r="A237">
        <v>1</v>
      </c>
      <c r="B237" t="s">
        <v>507</v>
      </c>
      <c r="C237" t="s">
        <v>508</v>
      </c>
      <c r="D237" t="s">
        <v>486</v>
      </c>
      <c r="E237" t="s">
        <v>509</v>
      </c>
      <c r="F237" t="s">
        <v>510</v>
      </c>
      <c r="G237" t="s">
        <v>511</v>
      </c>
      <c r="H237" t="s">
        <v>512</v>
      </c>
      <c r="J237" t="s">
        <v>513</v>
      </c>
      <c r="K237" t="s">
        <v>506</v>
      </c>
      <c r="L237" t="s">
        <v>514</v>
      </c>
      <c r="M237" t="s">
        <v>515</v>
      </c>
      <c r="N237" t="s">
        <v>514</v>
      </c>
      <c r="O237">
        <v>1</v>
      </c>
      <c r="P237" t="s">
        <v>516</v>
      </c>
      <c r="Q237">
        <v>920</v>
      </c>
    </row>
    <row r="238" spans="1:17">
      <c r="A238">
        <v>2</v>
      </c>
      <c r="B238" t="s">
        <v>507</v>
      </c>
      <c r="C238" t="s">
        <v>508</v>
      </c>
      <c r="D238" t="s">
        <v>486</v>
      </c>
      <c r="E238" t="s">
        <v>509</v>
      </c>
      <c r="F238" t="s">
        <v>510</v>
      </c>
      <c r="G238" t="s">
        <v>517</v>
      </c>
      <c r="H238" t="s">
        <v>518</v>
      </c>
      <c r="J238" t="s">
        <v>519</v>
      </c>
      <c r="K238" t="s">
        <v>506</v>
      </c>
      <c r="L238" t="s">
        <v>514</v>
      </c>
      <c r="M238" t="s">
        <v>520</v>
      </c>
      <c r="N238" t="s">
        <v>514</v>
      </c>
      <c r="O238">
        <v>1</v>
      </c>
      <c r="P238" t="s">
        <v>521</v>
      </c>
      <c r="Q238">
        <v>380</v>
      </c>
    </row>
    <row r="239" spans="1:17">
      <c r="A239">
        <v>3</v>
      </c>
      <c r="B239" t="s">
        <v>507</v>
      </c>
      <c r="C239" t="s">
        <v>508</v>
      </c>
      <c r="D239" t="s">
        <v>486</v>
      </c>
      <c r="E239" t="s">
        <v>509</v>
      </c>
      <c r="F239" t="s">
        <v>522</v>
      </c>
      <c r="G239" t="s">
        <v>523</v>
      </c>
      <c r="H239" t="s">
        <v>524</v>
      </c>
      <c r="J239" t="s">
        <v>525</v>
      </c>
      <c r="K239" t="s">
        <v>506</v>
      </c>
      <c r="L239" t="s">
        <v>514</v>
      </c>
      <c r="M239" t="s">
        <v>526</v>
      </c>
      <c r="N239" t="s">
        <v>514</v>
      </c>
      <c r="O239">
        <v>1</v>
      </c>
      <c r="P239" t="s">
        <v>527</v>
      </c>
      <c r="Q239">
        <v>14</v>
      </c>
    </row>
    <row r="240" spans="1:17">
      <c r="A240">
        <v>4</v>
      </c>
      <c r="B240" t="s">
        <v>507</v>
      </c>
      <c r="C240" t="s">
        <v>508</v>
      </c>
      <c r="D240" t="s">
        <v>486</v>
      </c>
      <c r="E240" t="s">
        <v>509</v>
      </c>
      <c r="F240" t="s">
        <v>522</v>
      </c>
      <c r="G240" t="s">
        <v>528</v>
      </c>
      <c r="H240" t="s">
        <v>529</v>
      </c>
      <c r="J240" t="s">
        <v>530</v>
      </c>
      <c r="K240" t="s">
        <v>506</v>
      </c>
      <c r="L240" t="s">
        <v>514</v>
      </c>
      <c r="M240" t="s">
        <v>531</v>
      </c>
      <c r="N240" t="s">
        <v>514</v>
      </c>
      <c r="O240">
        <v>1</v>
      </c>
      <c r="P240" t="s">
        <v>527</v>
      </c>
      <c r="Q240">
        <v>33</v>
      </c>
    </row>
    <row r="241" spans="1:17">
      <c r="A241">
        <v>5</v>
      </c>
      <c r="B241" t="s">
        <v>507</v>
      </c>
      <c r="C241" t="s">
        <v>508</v>
      </c>
      <c r="D241" t="s">
        <v>486</v>
      </c>
      <c r="E241" t="s">
        <v>532</v>
      </c>
      <c r="F241" t="s">
        <v>533</v>
      </c>
      <c r="G241" t="s">
        <v>534</v>
      </c>
      <c r="H241" t="s">
        <v>535</v>
      </c>
      <c r="J241" t="s">
        <v>536</v>
      </c>
      <c r="K241" t="s">
        <v>506</v>
      </c>
      <c r="L241" t="s">
        <v>514</v>
      </c>
      <c r="M241" t="s">
        <v>537</v>
      </c>
      <c r="N241" t="s">
        <v>514</v>
      </c>
      <c r="O241">
        <v>1</v>
      </c>
      <c r="P241" t="s">
        <v>527</v>
      </c>
      <c r="Q241">
        <v>0</v>
      </c>
    </row>
    <row r="242" spans="1:17">
      <c r="A242">
        <v>6</v>
      </c>
      <c r="B242" t="s">
        <v>507</v>
      </c>
      <c r="C242" t="s">
        <v>508</v>
      </c>
      <c r="D242" t="s">
        <v>486</v>
      </c>
      <c r="E242" t="s">
        <v>532</v>
      </c>
      <c r="F242" t="s">
        <v>538</v>
      </c>
      <c r="G242" t="s">
        <v>539</v>
      </c>
      <c r="H242" t="s">
        <v>540</v>
      </c>
      <c r="J242" t="s">
        <v>541</v>
      </c>
      <c r="K242" t="s">
        <v>506</v>
      </c>
      <c r="L242" t="s">
        <v>514</v>
      </c>
      <c r="M242" t="s">
        <v>542</v>
      </c>
      <c r="N242" t="s">
        <v>514</v>
      </c>
      <c r="O242">
        <v>1</v>
      </c>
      <c r="P242" t="s">
        <v>527</v>
      </c>
      <c r="Q242">
        <v>223</v>
      </c>
    </row>
    <row r="243" spans="1:17">
      <c r="A243">
        <v>27</v>
      </c>
      <c r="B243" t="s">
        <v>507</v>
      </c>
      <c r="C243" t="s">
        <v>508</v>
      </c>
      <c r="D243" t="s">
        <v>486</v>
      </c>
      <c r="E243" t="s">
        <v>543</v>
      </c>
      <c r="F243" t="s">
        <v>538</v>
      </c>
      <c r="G243" t="s">
        <v>544</v>
      </c>
      <c r="H243" t="s">
        <v>545</v>
      </c>
      <c r="J243" t="s">
        <v>546</v>
      </c>
      <c r="K243" t="s">
        <v>506</v>
      </c>
      <c r="L243" t="s">
        <v>514</v>
      </c>
      <c r="M243" t="s">
        <v>514</v>
      </c>
      <c r="N243" t="s">
        <v>514</v>
      </c>
      <c r="O243">
        <v>1</v>
      </c>
      <c r="P243" t="s">
        <v>547</v>
      </c>
      <c r="Q243">
        <v>640</v>
      </c>
    </row>
    <row r="244" spans="1:17">
      <c r="A244">
        <v>27</v>
      </c>
      <c r="B244" t="s">
        <v>507</v>
      </c>
      <c r="C244" t="s">
        <v>508</v>
      </c>
      <c r="D244" t="s">
        <v>486</v>
      </c>
      <c r="E244" t="s">
        <v>543</v>
      </c>
      <c r="F244" t="s">
        <v>538</v>
      </c>
      <c r="G244" t="s">
        <v>548</v>
      </c>
      <c r="H244" t="s">
        <v>549</v>
      </c>
      <c r="J244" t="s">
        <v>550</v>
      </c>
      <c r="K244" t="s">
        <v>506</v>
      </c>
      <c r="L244" t="s">
        <v>514</v>
      </c>
      <c r="M244" t="s">
        <v>514</v>
      </c>
      <c r="N244" t="s">
        <v>514</v>
      </c>
      <c r="O244">
        <v>1</v>
      </c>
      <c r="P244" t="s">
        <v>547</v>
      </c>
      <c r="Q244">
        <v>425</v>
      </c>
    </row>
    <row r="245" spans="1:17">
      <c r="A245">
        <v>27</v>
      </c>
      <c r="B245" t="s">
        <v>507</v>
      </c>
      <c r="C245" t="s">
        <v>508</v>
      </c>
      <c r="D245" t="s">
        <v>486</v>
      </c>
      <c r="E245" t="s">
        <v>543</v>
      </c>
      <c r="F245" t="s">
        <v>538</v>
      </c>
      <c r="G245" t="s">
        <v>551</v>
      </c>
      <c r="H245" t="s">
        <v>552</v>
      </c>
      <c r="J245" t="s">
        <v>553</v>
      </c>
      <c r="K245" t="s">
        <v>506</v>
      </c>
      <c r="L245" t="s">
        <v>514</v>
      </c>
      <c r="M245" t="s">
        <v>554</v>
      </c>
      <c r="N245" t="s">
        <v>514</v>
      </c>
      <c r="O245">
        <v>1</v>
      </c>
      <c r="P245" t="s">
        <v>527</v>
      </c>
      <c r="Q245">
        <v>922</v>
      </c>
    </row>
    <row r="246" spans="1:17">
      <c r="A246">
        <v>10</v>
      </c>
      <c r="B246" t="s">
        <v>507</v>
      </c>
      <c r="C246" t="s">
        <v>508</v>
      </c>
      <c r="D246" t="s">
        <v>486</v>
      </c>
      <c r="E246" t="s">
        <v>532</v>
      </c>
      <c r="F246" t="s">
        <v>555</v>
      </c>
      <c r="G246" t="s">
        <v>556</v>
      </c>
      <c r="H246" t="s">
        <v>557</v>
      </c>
      <c r="J246" t="s">
        <v>558</v>
      </c>
      <c r="K246" t="s">
        <v>506</v>
      </c>
      <c r="L246" t="s">
        <v>514</v>
      </c>
      <c r="M246" t="s">
        <v>514</v>
      </c>
      <c r="N246" t="s">
        <v>514</v>
      </c>
      <c r="O246">
        <v>1</v>
      </c>
      <c r="P246" t="s">
        <v>527</v>
      </c>
      <c r="Q246">
        <v>1680</v>
      </c>
    </row>
    <row r="247" spans="1:17">
      <c r="A247">
        <v>11</v>
      </c>
      <c r="B247" t="s">
        <v>507</v>
      </c>
      <c r="C247" t="s">
        <v>508</v>
      </c>
      <c r="D247" t="s">
        <v>486</v>
      </c>
      <c r="E247" t="s">
        <v>532</v>
      </c>
      <c r="F247" t="s">
        <v>555</v>
      </c>
      <c r="G247" t="s">
        <v>559</v>
      </c>
      <c r="H247" t="s">
        <v>560</v>
      </c>
      <c r="J247" t="s">
        <v>561</v>
      </c>
      <c r="K247" t="s">
        <v>506</v>
      </c>
      <c r="L247" t="s">
        <v>514</v>
      </c>
      <c r="M247" t="s">
        <v>562</v>
      </c>
      <c r="N247" t="s">
        <v>514</v>
      </c>
      <c r="O247">
        <v>1</v>
      </c>
      <c r="P247" t="s">
        <v>527</v>
      </c>
      <c r="Q247">
        <v>10</v>
      </c>
    </row>
    <row r="248" spans="1:17">
      <c r="A248">
        <v>12</v>
      </c>
      <c r="B248" t="s">
        <v>507</v>
      </c>
      <c r="C248" t="s">
        <v>508</v>
      </c>
      <c r="D248" t="s">
        <v>486</v>
      </c>
      <c r="E248" t="s">
        <v>532</v>
      </c>
      <c r="F248" t="s">
        <v>563</v>
      </c>
      <c r="G248" t="s">
        <v>564</v>
      </c>
      <c r="H248" t="s">
        <v>565</v>
      </c>
      <c r="J248" t="s">
        <v>566</v>
      </c>
      <c r="K248" t="s">
        <v>506</v>
      </c>
      <c r="L248" t="s">
        <v>514</v>
      </c>
      <c r="M248" t="s">
        <v>567</v>
      </c>
      <c r="N248" t="s">
        <v>514</v>
      </c>
      <c r="O248">
        <v>1</v>
      </c>
      <c r="P248" t="s">
        <v>527</v>
      </c>
      <c r="Q248">
        <v>74</v>
      </c>
    </row>
    <row r="249" spans="1:17">
      <c r="A249">
        <v>12</v>
      </c>
      <c r="B249" t="s">
        <v>507</v>
      </c>
      <c r="C249" t="s">
        <v>508</v>
      </c>
      <c r="D249" t="s">
        <v>486</v>
      </c>
      <c r="E249" t="s">
        <v>532</v>
      </c>
      <c r="F249" t="s">
        <v>563</v>
      </c>
      <c r="G249" t="s">
        <v>568</v>
      </c>
      <c r="H249" t="s">
        <v>569</v>
      </c>
      <c r="J249" t="s">
        <v>570</v>
      </c>
      <c r="K249" t="s">
        <v>506</v>
      </c>
      <c r="L249" t="s">
        <v>514</v>
      </c>
      <c r="M249" t="s">
        <v>571</v>
      </c>
      <c r="N249" t="s">
        <v>514</v>
      </c>
      <c r="O249">
        <v>1</v>
      </c>
      <c r="P249" t="s">
        <v>527</v>
      </c>
      <c r="Q249">
        <v>56</v>
      </c>
    </row>
    <row r="250" spans="1:17">
      <c r="A250">
        <v>13</v>
      </c>
      <c r="B250" t="s">
        <v>507</v>
      </c>
      <c r="C250" t="s">
        <v>508</v>
      </c>
      <c r="D250" t="s">
        <v>486</v>
      </c>
      <c r="E250" t="s">
        <v>532</v>
      </c>
      <c r="F250" t="s">
        <v>533</v>
      </c>
      <c r="G250" t="s">
        <v>572</v>
      </c>
      <c r="H250" t="s">
        <v>573</v>
      </c>
      <c r="J250" t="s">
        <v>574</v>
      </c>
      <c r="K250" t="s">
        <v>506</v>
      </c>
      <c r="L250" t="s">
        <v>514</v>
      </c>
      <c r="M250" t="s">
        <v>575</v>
      </c>
      <c r="N250" t="s">
        <v>514</v>
      </c>
      <c r="O250">
        <v>1</v>
      </c>
      <c r="P250" t="s">
        <v>527</v>
      </c>
      <c r="Q250">
        <v>84</v>
      </c>
    </row>
    <row r="251" spans="1:17">
      <c r="A251">
        <v>14</v>
      </c>
      <c r="B251" t="s">
        <v>507</v>
      </c>
      <c r="C251" t="s">
        <v>508</v>
      </c>
      <c r="D251" t="s">
        <v>486</v>
      </c>
      <c r="E251" t="s">
        <v>532</v>
      </c>
      <c r="F251" t="s">
        <v>576</v>
      </c>
      <c r="G251" t="s">
        <v>577</v>
      </c>
      <c r="H251" t="s">
        <v>578</v>
      </c>
      <c r="J251" t="s">
        <v>579</v>
      </c>
      <c r="K251" t="s">
        <v>506</v>
      </c>
      <c r="L251" t="s">
        <v>514</v>
      </c>
      <c r="M251" t="s">
        <v>580</v>
      </c>
      <c r="N251" t="s">
        <v>514</v>
      </c>
      <c r="O251">
        <v>1</v>
      </c>
      <c r="P251" t="s">
        <v>527</v>
      </c>
      <c r="Q251">
        <v>165</v>
      </c>
    </row>
    <row r="252" spans="1:17">
      <c r="A252">
        <v>15</v>
      </c>
      <c r="B252" t="s">
        <v>507</v>
      </c>
      <c r="C252" t="s">
        <v>508</v>
      </c>
      <c r="D252" t="s">
        <v>486</v>
      </c>
      <c r="E252" t="s">
        <v>532</v>
      </c>
      <c r="F252" t="s">
        <v>538</v>
      </c>
      <c r="G252" t="s">
        <v>581</v>
      </c>
      <c r="H252" t="s">
        <v>582</v>
      </c>
      <c r="J252" t="s">
        <v>583</v>
      </c>
      <c r="K252" t="s">
        <v>506</v>
      </c>
      <c r="L252" t="s">
        <v>514</v>
      </c>
      <c r="M252" t="s">
        <v>514</v>
      </c>
      <c r="N252" t="s">
        <v>514</v>
      </c>
      <c r="O252">
        <v>1</v>
      </c>
      <c r="P252" t="s">
        <v>527</v>
      </c>
      <c r="Q252">
        <v>43</v>
      </c>
    </row>
    <row r="253" spans="1:17">
      <c r="A253">
        <v>16</v>
      </c>
      <c r="B253" t="s">
        <v>507</v>
      </c>
      <c r="C253" t="s">
        <v>508</v>
      </c>
      <c r="D253" t="s">
        <v>486</v>
      </c>
      <c r="E253" t="s">
        <v>532</v>
      </c>
      <c r="F253" t="s">
        <v>584</v>
      </c>
      <c r="G253" t="s">
        <v>585</v>
      </c>
      <c r="H253" t="s">
        <v>586</v>
      </c>
      <c r="J253" t="s">
        <v>587</v>
      </c>
      <c r="K253" t="s">
        <v>506</v>
      </c>
      <c r="L253" t="s">
        <v>514</v>
      </c>
      <c r="M253" t="s">
        <v>575</v>
      </c>
      <c r="N253" t="s">
        <v>514</v>
      </c>
      <c r="O253">
        <v>1</v>
      </c>
      <c r="P253" t="s">
        <v>527</v>
      </c>
      <c r="Q253">
        <v>425</v>
      </c>
    </row>
    <row r="254" spans="1:17">
      <c r="A254">
        <v>17</v>
      </c>
      <c r="B254" t="s">
        <v>507</v>
      </c>
      <c r="C254" t="s">
        <v>508</v>
      </c>
      <c r="D254" t="s">
        <v>486</v>
      </c>
      <c r="E254" t="s">
        <v>532</v>
      </c>
      <c r="F254" t="s">
        <v>538</v>
      </c>
      <c r="G254" t="s">
        <v>588</v>
      </c>
      <c r="H254" t="s">
        <v>589</v>
      </c>
      <c r="J254" t="s">
        <v>590</v>
      </c>
      <c r="K254" t="s">
        <v>506</v>
      </c>
      <c r="L254" t="s">
        <v>514</v>
      </c>
      <c r="M254" t="s">
        <v>591</v>
      </c>
      <c r="N254" t="s">
        <v>514</v>
      </c>
      <c r="O254">
        <v>1</v>
      </c>
      <c r="P254" t="s">
        <v>527</v>
      </c>
      <c r="Q254">
        <v>77</v>
      </c>
    </row>
    <row r="255" spans="1:17">
      <c r="A255">
        <v>18</v>
      </c>
      <c r="B255" t="s">
        <v>507</v>
      </c>
      <c r="C255" t="s">
        <v>508</v>
      </c>
      <c r="D255" t="s">
        <v>486</v>
      </c>
      <c r="E255" t="s">
        <v>532</v>
      </c>
      <c r="F255" t="s">
        <v>510</v>
      </c>
      <c r="G255" t="s">
        <v>592</v>
      </c>
      <c r="H255" t="s">
        <v>699</v>
      </c>
      <c r="J255" t="s">
        <v>594</v>
      </c>
      <c r="K255" t="s">
        <v>506</v>
      </c>
      <c r="L255" t="s">
        <v>514</v>
      </c>
      <c r="M255" t="s">
        <v>595</v>
      </c>
      <c r="N255" t="s">
        <v>514</v>
      </c>
      <c r="O255">
        <v>2</v>
      </c>
      <c r="P255" t="s">
        <v>596</v>
      </c>
      <c r="Q255">
        <v>415</v>
      </c>
    </row>
    <row r="256" spans="1:17">
      <c r="A256">
        <v>33</v>
      </c>
      <c r="B256" t="s">
        <v>507</v>
      </c>
      <c r="C256" t="s">
        <v>508</v>
      </c>
      <c r="D256" t="s">
        <v>486</v>
      </c>
      <c r="E256" t="s">
        <v>532</v>
      </c>
      <c r="F256" t="s">
        <v>597</v>
      </c>
      <c r="G256" t="s">
        <v>598</v>
      </c>
      <c r="H256" t="s">
        <v>599</v>
      </c>
      <c r="J256" t="s">
        <v>600</v>
      </c>
      <c r="K256" t="s">
        <v>506</v>
      </c>
      <c r="L256" t="s">
        <v>514</v>
      </c>
      <c r="M256" t="s">
        <v>601</v>
      </c>
      <c r="N256" t="s">
        <v>514</v>
      </c>
      <c r="O256">
        <v>1</v>
      </c>
      <c r="P256" t="s">
        <v>602</v>
      </c>
      <c r="Q256">
        <v>53</v>
      </c>
    </row>
    <row r="257" spans="1:17">
      <c r="A257">
        <v>33</v>
      </c>
      <c r="B257" t="s">
        <v>507</v>
      </c>
      <c r="C257" t="s">
        <v>508</v>
      </c>
      <c r="D257" t="s">
        <v>486</v>
      </c>
      <c r="E257" t="s">
        <v>532</v>
      </c>
      <c r="F257" t="s">
        <v>597</v>
      </c>
      <c r="G257" t="s">
        <v>598</v>
      </c>
      <c r="H257" t="s">
        <v>603</v>
      </c>
      <c r="J257" t="s">
        <v>604</v>
      </c>
      <c r="K257" t="s">
        <v>506</v>
      </c>
      <c r="L257" t="s">
        <v>514</v>
      </c>
      <c r="M257" t="s">
        <v>601</v>
      </c>
      <c r="N257" t="s">
        <v>514</v>
      </c>
      <c r="O257">
        <v>1</v>
      </c>
      <c r="P257" t="s">
        <v>605</v>
      </c>
      <c r="Q257">
        <v>77</v>
      </c>
    </row>
    <row r="258" spans="1:17">
      <c r="A258">
        <v>20</v>
      </c>
      <c r="B258" t="s">
        <v>507</v>
      </c>
      <c r="C258" t="s">
        <v>508</v>
      </c>
      <c r="D258" t="s">
        <v>486</v>
      </c>
      <c r="E258" t="s">
        <v>532</v>
      </c>
      <c r="F258" t="s">
        <v>538</v>
      </c>
      <c r="G258" t="s">
        <v>464</v>
      </c>
      <c r="H258" t="s">
        <v>606</v>
      </c>
      <c r="J258" t="s">
        <v>607</v>
      </c>
      <c r="K258" t="s">
        <v>506</v>
      </c>
      <c r="L258" t="s">
        <v>514</v>
      </c>
      <c r="M258" t="s">
        <v>514</v>
      </c>
      <c r="N258" t="s">
        <v>514</v>
      </c>
      <c r="O258">
        <v>1</v>
      </c>
      <c r="P258" t="s">
        <v>608</v>
      </c>
      <c r="Q258">
        <v>875</v>
      </c>
    </row>
    <row r="259" spans="1:17">
      <c r="A259">
        <v>33</v>
      </c>
      <c r="B259" t="s">
        <v>507</v>
      </c>
      <c r="C259" t="s">
        <v>508</v>
      </c>
      <c r="D259" t="s">
        <v>486</v>
      </c>
      <c r="E259" t="s">
        <v>532</v>
      </c>
      <c r="F259" t="s">
        <v>563</v>
      </c>
      <c r="G259" t="s">
        <v>682</v>
      </c>
      <c r="H259" t="s">
        <v>683</v>
      </c>
      <c r="J259" t="s">
        <v>684</v>
      </c>
      <c r="K259" t="s">
        <v>506</v>
      </c>
      <c r="L259" t="s">
        <v>514</v>
      </c>
      <c r="M259" t="s">
        <v>685</v>
      </c>
      <c r="N259" t="s">
        <v>514</v>
      </c>
      <c r="O259">
        <v>1</v>
      </c>
      <c r="P259" t="s">
        <v>527</v>
      </c>
      <c r="Q259">
        <v>81</v>
      </c>
    </row>
    <row r="260" spans="1:17">
      <c r="A260">
        <v>20</v>
      </c>
      <c r="B260" t="s">
        <v>507</v>
      </c>
      <c r="C260" t="s">
        <v>508</v>
      </c>
      <c r="D260" t="s">
        <v>486</v>
      </c>
      <c r="E260" t="s">
        <v>532</v>
      </c>
      <c r="F260" t="s">
        <v>538</v>
      </c>
      <c r="G260" t="s">
        <v>677</v>
      </c>
      <c r="H260" t="s">
        <v>678</v>
      </c>
      <c r="J260" t="s">
        <v>679</v>
      </c>
      <c r="K260" t="s">
        <v>506</v>
      </c>
      <c r="L260" t="s">
        <v>514</v>
      </c>
      <c r="M260" t="s">
        <v>680</v>
      </c>
      <c r="N260" t="s">
        <v>514</v>
      </c>
      <c r="O260">
        <v>1</v>
      </c>
      <c r="P260" t="s">
        <v>681</v>
      </c>
      <c r="Q260">
        <v>53</v>
      </c>
    </row>
    <row r="261" spans="1:17">
      <c r="A261">
        <v>24</v>
      </c>
      <c r="B261" t="s">
        <v>507</v>
      </c>
      <c r="C261" t="s">
        <v>508</v>
      </c>
      <c r="D261" t="s">
        <v>486</v>
      </c>
      <c r="E261" t="s">
        <v>532</v>
      </c>
      <c r="F261" t="s">
        <v>576</v>
      </c>
      <c r="G261" t="s">
        <v>609</v>
      </c>
      <c r="H261" t="s">
        <v>610</v>
      </c>
      <c r="J261" t="s">
        <v>611</v>
      </c>
      <c r="K261" t="s">
        <v>506</v>
      </c>
      <c r="L261" t="s">
        <v>514</v>
      </c>
      <c r="M261" t="s">
        <v>514</v>
      </c>
      <c r="N261" t="s">
        <v>514</v>
      </c>
      <c r="O261">
        <v>1</v>
      </c>
      <c r="P261" t="s">
        <v>527</v>
      </c>
      <c r="Q261">
        <v>41</v>
      </c>
    </row>
    <row r="262" spans="1:17">
      <c r="A262">
        <v>26</v>
      </c>
      <c r="B262" t="s">
        <v>507</v>
      </c>
      <c r="C262" t="s">
        <v>508</v>
      </c>
      <c r="D262" t="s">
        <v>486</v>
      </c>
      <c r="E262" t="s">
        <v>532</v>
      </c>
      <c r="F262" t="s">
        <v>538</v>
      </c>
      <c r="G262" t="s">
        <v>465</v>
      </c>
      <c r="H262" t="s">
        <v>702</v>
      </c>
      <c r="J262" t="s">
        <v>703</v>
      </c>
      <c r="K262" t="s">
        <v>506</v>
      </c>
      <c r="L262" t="s">
        <v>514</v>
      </c>
      <c r="M262" t="s">
        <v>704</v>
      </c>
      <c r="N262" t="s">
        <v>514</v>
      </c>
      <c r="O262">
        <v>1</v>
      </c>
      <c r="P262" t="s">
        <v>547</v>
      </c>
      <c r="Q262">
        <v>331</v>
      </c>
    </row>
    <row r="263" spans="1:17">
      <c r="A263">
        <v>27</v>
      </c>
      <c r="B263" t="s">
        <v>507</v>
      </c>
      <c r="C263" t="s">
        <v>508</v>
      </c>
      <c r="D263" t="s">
        <v>486</v>
      </c>
      <c r="E263" t="s">
        <v>532</v>
      </c>
      <c r="F263" t="s">
        <v>538</v>
      </c>
      <c r="G263" t="s">
        <v>615</v>
      </c>
      <c r="H263" t="s">
        <v>616</v>
      </c>
      <c r="J263" t="s">
        <v>617</v>
      </c>
      <c r="K263" t="s">
        <v>506</v>
      </c>
      <c r="L263" t="s">
        <v>514</v>
      </c>
      <c r="M263" t="s">
        <v>618</v>
      </c>
      <c r="N263" t="s">
        <v>514</v>
      </c>
      <c r="O263">
        <v>1</v>
      </c>
      <c r="P263" t="s">
        <v>521</v>
      </c>
      <c r="Q263">
        <v>92</v>
      </c>
    </row>
    <row r="264" spans="1:17">
      <c r="A264">
        <v>33</v>
      </c>
      <c r="B264" t="s">
        <v>507</v>
      </c>
      <c r="C264" t="s">
        <v>508</v>
      </c>
      <c r="D264" t="s">
        <v>486</v>
      </c>
      <c r="E264" t="s">
        <v>532</v>
      </c>
      <c r="F264" t="s">
        <v>538</v>
      </c>
      <c r="G264" t="s">
        <v>619</v>
      </c>
      <c r="H264" t="s">
        <v>620</v>
      </c>
      <c r="J264" t="s">
        <v>621</v>
      </c>
      <c r="K264" t="s">
        <v>506</v>
      </c>
      <c r="L264" t="s">
        <v>514</v>
      </c>
      <c r="M264" t="s">
        <v>514</v>
      </c>
      <c r="N264" t="s">
        <v>514</v>
      </c>
      <c r="O264">
        <v>1</v>
      </c>
      <c r="P264" t="s">
        <v>622</v>
      </c>
      <c r="Q264">
        <v>58</v>
      </c>
    </row>
    <row r="265" spans="1:17">
      <c r="A265">
        <v>35</v>
      </c>
      <c r="B265" t="s">
        <v>507</v>
      </c>
      <c r="C265" t="s">
        <v>508</v>
      </c>
      <c r="D265" t="s">
        <v>486</v>
      </c>
      <c r="E265" t="s">
        <v>706</v>
      </c>
      <c r="F265" t="s">
        <v>510</v>
      </c>
      <c r="G265" t="s">
        <v>624</v>
      </c>
      <c r="H265" t="s">
        <v>707</v>
      </c>
      <c r="J265" t="s">
        <v>708</v>
      </c>
      <c r="K265" t="s">
        <v>506</v>
      </c>
      <c r="L265" t="s">
        <v>514</v>
      </c>
      <c r="M265" t="s">
        <v>709</v>
      </c>
      <c r="N265" t="s">
        <v>514</v>
      </c>
      <c r="O265">
        <v>1</v>
      </c>
      <c r="P265" t="s">
        <v>596</v>
      </c>
      <c r="Q265">
        <v>290</v>
      </c>
    </row>
    <row r="266" spans="1:17">
      <c r="A266">
        <v>37</v>
      </c>
      <c r="B266" t="s">
        <v>507</v>
      </c>
      <c r="C266" t="s">
        <v>508</v>
      </c>
      <c r="D266" t="s">
        <v>486</v>
      </c>
      <c r="E266" t="s">
        <v>706</v>
      </c>
      <c r="F266" t="s">
        <v>555</v>
      </c>
      <c r="G266" t="s">
        <v>710</v>
      </c>
      <c r="H266" t="s">
        <v>711</v>
      </c>
      <c r="J266" t="s">
        <v>712</v>
      </c>
      <c r="K266" t="s">
        <v>506</v>
      </c>
      <c r="L266" t="s">
        <v>514</v>
      </c>
      <c r="M266" t="s">
        <v>713</v>
      </c>
      <c r="N266" t="s">
        <v>514</v>
      </c>
      <c r="O266">
        <v>1</v>
      </c>
      <c r="P266" t="s">
        <v>527</v>
      </c>
      <c r="Q266">
        <v>100</v>
      </c>
    </row>
    <row r="267" spans="1:17">
      <c r="A267">
        <v>38</v>
      </c>
      <c r="B267" t="s">
        <v>507</v>
      </c>
      <c r="C267" t="s">
        <v>508</v>
      </c>
      <c r="D267" t="s">
        <v>486</v>
      </c>
      <c r="E267" t="s">
        <v>706</v>
      </c>
      <c r="F267" t="s">
        <v>538</v>
      </c>
      <c r="G267" t="s">
        <v>677</v>
      </c>
      <c r="H267" t="s">
        <v>714</v>
      </c>
      <c r="J267" t="s">
        <v>715</v>
      </c>
      <c r="K267" t="s">
        <v>506</v>
      </c>
      <c r="L267" t="s">
        <v>514</v>
      </c>
      <c r="M267" t="s">
        <v>716</v>
      </c>
      <c r="N267" t="s">
        <v>514</v>
      </c>
      <c r="O267">
        <v>1</v>
      </c>
      <c r="P267" t="s">
        <v>681</v>
      </c>
      <c r="Q267">
        <v>55</v>
      </c>
    </row>
    <row r="268" spans="1:17">
      <c r="A268">
        <v>39</v>
      </c>
      <c r="B268" t="s">
        <v>507</v>
      </c>
      <c r="C268" t="s">
        <v>508</v>
      </c>
      <c r="D268" t="s">
        <v>486</v>
      </c>
      <c r="E268" t="s">
        <v>706</v>
      </c>
      <c r="F268" t="s">
        <v>563</v>
      </c>
      <c r="G268" t="s">
        <v>628</v>
      </c>
      <c r="H268" t="s">
        <v>717</v>
      </c>
      <c r="J268" t="s">
        <v>718</v>
      </c>
      <c r="K268" t="s">
        <v>506</v>
      </c>
      <c r="L268" t="s">
        <v>514</v>
      </c>
      <c r="M268" t="s">
        <v>575</v>
      </c>
      <c r="N268" t="s">
        <v>514</v>
      </c>
      <c r="O268">
        <v>1</v>
      </c>
      <c r="P268" t="s">
        <v>527</v>
      </c>
      <c r="Q268">
        <v>66.26</v>
      </c>
    </row>
    <row r="269" spans="1:17">
      <c r="A269">
        <v>40</v>
      </c>
      <c r="B269" t="s">
        <v>507</v>
      </c>
      <c r="C269" t="s">
        <v>508</v>
      </c>
      <c r="D269" t="s">
        <v>486</v>
      </c>
      <c r="E269" t="s">
        <v>706</v>
      </c>
      <c r="F269" t="s">
        <v>632</v>
      </c>
      <c r="G269" t="s">
        <v>633</v>
      </c>
      <c r="H269" t="s">
        <v>719</v>
      </c>
      <c r="J269" t="s">
        <v>720</v>
      </c>
      <c r="K269" t="s">
        <v>506</v>
      </c>
      <c r="L269" t="s">
        <v>514</v>
      </c>
      <c r="M269" t="s">
        <v>721</v>
      </c>
      <c r="N269" t="s">
        <v>514</v>
      </c>
      <c r="O269">
        <v>1</v>
      </c>
      <c r="P269" t="s">
        <v>527</v>
      </c>
      <c r="Q269">
        <v>101</v>
      </c>
    </row>
    <row r="270" spans="1:17">
      <c r="A270">
        <v>41</v>
      </c>
      <c r="B270" t="s">
        <v>507</v>
      </c>
      <c r="C270" t="s">
        <v>508</v>
      </c>
      <c r="D270" t="s">
        <v>486</v>
      </c>
      <c r="E270" t="s">
        <v>706</v>
      </c>
      <c r="F270" t="s">
        <v>632</v>
      </c>
      <c r="G270" t="s">
        <v>637</v>
      </c>
      <c r="H270" t="s">
        <v>722</v>
      </c>
      <c r="J270" t="s">
        <v>723</v>
      </c>
      <c r="K270" t="s">
        <v>506</v>
      </c>
      <c r="L270" t="s">
        <v>514</v>
      </c>
      <c r="M270" t="s">
        <v>724</v>
      </c>
      <c r="N270" t="s">
        <v>514</v>
      </c>
      <c r="O270">
        <v>1</v>
      </c>
      <c r="P270" t="s">
        <v>527</v>
      </c>
      <c r="Q270">
        <v>418</v>
      </c>
    </row>
    <row r="271" spans="1:17">
      <c r="A271">
        <v>42</v>
      </c>
      <c r="B271" t="s">
        <v>507</v>
      </c>
      <c r="C271" t="s">
        <v>508</v>
      </c>
      <c r="D271" t="s">
        <v>486</v>
      </c>
      <c r="E271" t="s">
        <v>706</v>
      </c>
      <c r="F271" t="s">
        <v>632</v>
      </c>
      <c r="G271" t="s">
        <v>641</v>
      </c>
      <c r="H271" t="s">
        <v>725</v>
      </c>
      <c r="J271" t="s">
        <v>726</v>
      </c>
      <c r="K271" t="s">
        <v>506</v>
      </c>
      <c r="L271" t="s">
        <v>514</v>
      </c>
      <c r="M271" t="s">
        <v>727</v>
      </c>
      <c r="N271" t="s">
        <v>514</v>
      </c>
      <c r="O271">
        <v>1</v>
      </c>
      <c r="P271" t="s">
        <v>527</v>
      </c>
      <c r="Q271">
        <v>37</v>
      </c>
    </row>
    <row r="272" spans="1:17">
      <c r="A272">
        <v>43</v>
      </c>
      <c r="B272" t="s">
        <v>507</v>
      </c>
      <c r="C272" t="s">
        <v>508</v>
      </c>
      <c r="D272" t="s">
        <v>486</v>
      </c>
      <c r="E272" t="s">
        <v>706</v>
      </c>
      <c r="F272" t="s">
        <v>555</v>
      </c>
      <c r="G272" t="s">
        <v>645</v>
      </c>
      <c r="H272" t="s">
        <v>646</v>
      </c>
      <c r="J272" t="s">
        <v>647</v>
      </c>
      <c r="K272" t="s">
        <v>506</v>
      </c>
      <c r="L272" t="s">
        <v>514</v>
      </c>
      <c r="M272" t="s">
        <v>648</v>
      </c>
      <c r="N272" t="s">
        <v>514</v>
      </c>
      <c r="O272">
        <v>1</v>
      </c>
      <c r="P272" t="s">
        <v>649</v>
      </c>
      <c r="Q272">
        <v>370</v>
      </c>
    </row>
    <row r="273" spans="1:17">
      <c r="A273">
        <v>44</v>
      </c>
      <c r="B273" t="s">
        <v>507</v>
      </c>
      <c r="C273" t="s">
        <v>508</v>
      </c>
      <c r="D273" t="s">
        <v>486</v>
      </c>
      <c r="E273" t="s">
        <v>706</v>
      </c>
      <c r="F273" t="s">
        <v>522</v>
      </c>
      <c r="G273" t="s">
        <v>650</v>
      </c>
      <c r="H273" t="s">
        <v>651</v>
      </c>
      <c r="J273" t="s">
        <v>652</v>
      </c>
      <c r="K273" t="s">
        <v>506</v>
      </c>
      <c r="L273" t="s">
        <v>514</v>
      </c>
      <c r="M273" t="s">
        <v>653</v>
      </c>
      <c r="N273" t="s">
        <v>514</v>
      </c>
      <c r="O273">
        <v>1</v>
      </c>
      <c r="P273" t="s">
        <v>547</v>
      </c>
      <c r="Q273">
        <v>4.7</v>
      </c>
    </row>
    <row r="274" spans="1:17">
      <c r="A274">
        <v>45</v>
      </c>
      <c r="B274" t="s">
        <v>507</v>
      </c>
      <c r="C274" t="s">
        <v>508</v>
      </c>
      <c r="D274" t="s">
        <v>486</v>
      </c>
      <c r="E274" t="s">
        <v>706</v>
      </c>
      <c r="F274" t="s">
        <v>632</v>
      </c>
      <c r="G274" t="s">
        <v>728</v>
      </c>
      <c r="H274" t="s">
        <v>729</v>
      </c>
      <c r="J274" t="s">
        <v>730</v>
      </c>
      <c r="K274" t="s">
        <v>506</v>
      </c>
      <c r="L274" t="s">
        <v>514</v>
      </c>
      <c r="M274" t="s">
        <v>731</v>
      </c>
      <c r="N274" t="s">
        <v>514</v>
      </c>
      <c r="O274">
        <v>1</v>
      </c>
      <c r="P274" t="s">
        <v>608</v>
      </c>
      <c r="Q274">
        <v>370</v>
      </c>
    </row>
    <row r="275" spans="1:17">
      <c r="A275">
        <v>46</v>
      </c>
      <c r="B275" t="s">
        <v>507</v>
      </c>
      <c r="C275" t="s">
        <v>508</v>
      </c>
      <c r="D275" t="s">
        <v>486</v>
      </c>
      <c r="E275" t="s">
        <v>706</v>
      </c>
      <c r="F275" t="s">
        <v>632</v>
      </c>
      <c r="G275" t="s">
        <v>654</v>
      </c>
      <c r="H275" t="s">
        <v>732</v>
      </c>
      <c r="J275" t="s">
        <v>733</v>
      </c>
      <c r="K275" t="s">
        <v>506</v>
      </c>
      <c r="L275" t="s">
        <v>514</v>
      </c>
      <c r="M275" t="s">
        <v>734</v>
      </c>
      <c r="N275" t="s">
        <v>514</v>
      </c>
      <c r="O275">
        <v>1</v>
      </c>
      <c r="P275" t="s">
        <v>527</v>
      </c>
      <c r="Q275">
        <v>39.5</v>
      </c>
    </row>
    <row r="276" spans="1:17">
      <c r="A276">
        <v>47</v>
      </c>
      <c r="B276" t="s">
        <v>507</v>
      </c>
      <c r="C276" t="s">
        <v>508</v>
      </c>
      <c r="D276" t="s">
        <v>486</v>
      </c>
      <c r="E276" t="s">
        <v>706</v>
      </c>
      <c r="F276" t="s">
        <v>632</v>
      </c>
      <c r="G276" t="s">
        <v>658</v>
      </c>
      <c r="H276" t="s">
        <v>735</v>
      </c>
      <c r="J276" t="s">
        <v>736</v>
      </c>
      <c r="K276" t="s">
        <v>506</v>
      </c>
      <c r="L276" t="s">
        <v>514</v>
      </c>
      <c r="M276" t="s">
        <v>734</v>
      </c>
      <c r="N276" t="s">
        <v>514</v>
      </c>
      <c r="O276">
        <v>1</v>
      </c>
      <c r="P276" t="s">
        <v>527</v>
      </c>
      <c r="Q276">
        <v>17.2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L14" sqref="L14"/>
    </sheetView>
  </sheetViews>
  <sheetFormatPr defaultColWidth="12.212962962963" defaultRowHeight="13.8" outlineLevelCol="6"/>
  <sheetData>
    <row r="1" ht="14.25" customHeight="1" spans="1:7">
      <c r="A1" s="16" t="str">
        <f>"安居乐寓"&amp;'【2】运营中心填-基本信息&amp;审核标准'!C2&amp;'【2】运营中心填-基本信息&amp;审核标准'!E2&amp;"公寓定价"</f>
        <v>安居乐寓福围广生1-51栋公寓定价</v>
      </c>
      <c r="B1" s="17"/>
      <c r="C1" s="17"/>
      <c r="D1" s="17"/>
      <c r="E1" s="17"/>
      <c r="F1" s="17"/>
      <c r="G1" s="17"/>
    </row>
    <row r="2" ht="14.25" customHeight="1" spans="1:7">
      <c r="A2" s="16"/>
      <c r="B2" s="17"/>
      <c r="C2" s="17"/>
      <c r="D2" s="17"/>
      <c r="E2" s="17"/>
      <c r="F2" s="17"/>
      <c r="G2" s="17"/>
    </row>
    <row r="3" ht="16.2" spans="1:7">
      <c r="A3" s="18" t="s">
        <v>737</v>
      </c>
      <c r="B3" s="19" t="s">
        <v>738</v>
      </c>
      <c r="C3" s="20">
        <v>101</v>
      </c>
      <c r="D3" s="20">
        <v>102</v>
      </c>
      <c r="E3" s="20">
        <v>103</v>
      </c>
      <c r="F3" s="20"/>
      <c r="G3" s="20"/>
    </row>
    <row r="4" ht="16.2" spans="1:7">
      <c r="A4" s="18"/>
      <c r="B4" s="19" t="s">
        <v>348</v>
      </c>
      <c r="C4" s="4" t="str">
        <f>VLOOKUP(C3,'【3-2】大区&amp;运营中心填-房间模型价'!$H:$AM,2,0)</f>
        <v>1-51A</v>
      </c>
      <c r="D4" s="4" t="str">
        <f>VLOOKUP(D3,'【3-2】大区&amp;运营中心填-房间模型价'!$H:$AM,2,0)</f>
        <v>1-51B</v>
      </c>
      <c r="E4" s="4" t="str">
        <f>VLOOKUP(E3,'【3-2】大区&amp;运营中心填-房间模型价'!$H:$AM,2,0)</f>
        <v>1-51C</v>
      </c>
      <c r="F4" s="4"/>
      <c r="G4" s="4"/>
    </row>
    <row r="5" ht="16.2" spans="1:7">
      <c r="A5" s="21"/>
      <c r="B5" s="22" t="s">
        <v>739</v>
      </c>
      <c r="C5" s="23">
        <f>VLOOKUP(C3,'【3-2】大区&amp;运营中心填-房间模型价'!$H:$AM,32,0)</f>
        <v>900</v>
      </c>
      <c r="D5" s="23">
        <f>VLOOKUP(D3,'【3-2】大区&amp;运营中心填-房间模型价'!$H:$AM,32,0)</f>
        <v>1400</v>
      </c>
      <c r="E5" s="23">
        <f>VLOOKUP(E3,'【3-2】大区&amp;运营中心填-房间模型价'!$H:$AM,32,0)</f>
        <v>1318</v>
      </c>
      <c r="F5" s="23"/>
      <c r="G5" s="23"/>
    </row>
    <row r="6" ht="17.4" spans="1:7">
      <c r="A6" s="24"/>
      <c r="B6" s="25"/>
      <c r="C6" s="26"/>
      <c r="D6" s="26"/>
      <c r="E6" s="26"/>
      <c r="F6" s="26"/>
      <c r="G6" s="26"/>
    </row>
    <row r="7" ht="16.2" spans="1:7">
      <c r="A7" s="18" t="s">
        <v>740</v>
      </c>
      <c r="B7" s="19" t="s">
        <v>738</v>
      </c>
      <c r="C7" s="27">
        <v>201</v>
      </c>
      <c r="D7" s="27">
        <v>202</v>
      </c>
      <c r="E7" s="27">
        <v>203</v>
      </c>
      <c r="F7" s="27">
        <v>204</v>
      </c>
      <c r="G7" s="27">
        <v>205</v>
      </c>
    </row>
    <row r="8" ht="16.2" spans="1:7">
      <c r="A8" s="18"/>
      <c r="B8" s="19" t="s">
        <v>348</v>
      </c>
      <c r="C8" s="4" t="str">
        <f>VLOOKUP(C7,'【3-2】大区&amp;运营中心填-房间模型价'!$H:$AM,2,0)</f>
        <v>1-51D</v>
      </c>
      <c r="D8" s="4" t="str">
        <f>VLOOKUP(D7,'【3-2】大区&amp;运营中心填-房间模型价'!$H:$AM,2,0)</f>
        <v>1-51E</v>
      </c>
      <c r="E8" s="4" t="str">
        <f>VLOOKUP(E7,'【3-2】大区&amp;运营中心填-房间模型价'!$H:$AM,2,0)</f>
        <v>1-51F</v>
      </c>
      <c r="F8" s="4" t="str">
        <f>VLOOKUP(F7,'【3-2】大区&amp;运营中心填-房间模型价'!$H:$AM,2,0)</f>
        <v>1-51G</v>
      </c>
      <c r="G8" s="4" t="str">
        <f>VLOOKUP(G7,'【3-2】大区&amp;运营中心填-房间模型价'!$H:$AM,2,0)</f>
        <v>1-51D</v>
      </c>
    </row>
    <row r="9" ht="16.2" spans="1:7">
      <c r="A9" s="21"/>
      <c r="B9" s="22" t="s">
        <v>739</v>
      </c>
      <c r="C9" s="23">
        <f>VLOOKUP(C7,'【3-2】大区&amp;运营中心填-房间模型价'!$H:$AM,32,0)</f>
        <v>1150</v>
      </c>
      <c r="D9" s="23">
        <f>VLOOKUP(D7,'【3-2】大区&amp;运营中心填-房间模型价'!$H:$AM,32,0)</f>
        <v>1350</v>
      </c>
      <c r="E9" s="23">
        <f>VLOOKUP(E7,'【3-2】大区&amp;运营中心填-房间模型价'!$H:$AM,32,0)</f>
        <v>1518</v>
      </c>
      <c r="F9" s="23">
        <f>VLOOKUP(F7,'【3-2】大区&amp;运营中心填-房间模型价'!$H:$AM,32,0)</f>
        <v>1518</v>
      </c>
      <c r="G9" s="23">
        <f>VLOOKUP(G7,'【3-2】大区&amp;运营中心填-房间模型价'!$H:$AM,32,0)</f>
        <v>1100</v>
      </c>
    </row>
    <row r="10" ht="17.4" spans="1:7">
      <c r="A10" s="24"/>
      <c r="B10" s="25"/>
      <c r="C10" s="26"/>
      <c r="D10" s="26"/>
      <c r="E10" s="26"/>
      <c r="F10" s="26"/>
      <c r="G10" s="26"/>
    </row>
    <row r="11" ht="16.2" spans="1:7">
      <c r="A11" s="18" t="s">
        <v>741</v>
      </c>
      <c r="B11" s="19" t="s">
        <v>738</v>
      </c>
      <c r="C11" s="27">
        <v>301</v>
      </c>
      <c r="D11" s="27">
        <v>302</v>
      </c>
      <c r="E11" s="27">
        <v>303</v>
      </c>
      <c r="F11" s="27">
        <v>304</v>
      </c>
      <c r="G11" s="27">
        <v>305</v>
      </c>
    </row>
    <row r="12" ht="16.2" spans="1:7">
      <c r="A12" s="18"/>
      <c r="B12" s="19" t="s">
        <v>348</v>
      </c>
      <c r="C12" s="4" t="str">
        <f>VLOOKUP(C11,'【3-2】大区&amp;运营中心填-房间模型价'!$H:$AM,2,0)</f>
        <v>1-51D</v>
      </c>
      <c r="D12" s="4" t="str">
        <f>VLOOKUP(D11,'【3-2】大区&amp;运营中心填-房间模型价'!$H:$AM,2,0)</f>
        <v>1-51E</v>
      </c>
      <c r="E12" s="4" t="str">
        <f>VLOOKUP(E11,'【3-2】大区&amp;运营中心填-房间模型价'!$H:$AM,2,0)</f>
        <v>1-51F</v>
      </c>
      <c r="F12" s="4" t="str">
        <f>VLOOKUP(F11,'【3-2】大区&amp;运营中心填-房间模型价'!$H:$AM,2,0)</f>
        <v>1-51G</v>
      </c>
      <c r="G12" s="4" t="str">
        <f>VLOOKUP(G11,'【3-2】大区&amp;运营中心填-房间模型价'!$H:$AM,2,0)</f>
        <v>1-51D</v>
      </c>
    </row>
    <row r="13" ht="16.2" spans="1:7">
      <c r="A13" s="21"/>
      <c r="B13" s="22" t="s">
        <v>739</v>
      </c>
      <c r="C13" s="23">
        <f>VLOOKUP(C11,'【3-2】大区&amp;运营中心填-房间模型价'!$H:$AM,32,0)</f>
        <v>1288</v>
      </c>
      <c r="D13" s="23">
        <f>VLOOKUP(D11,'【3-2】大区&amp;运营中心填-房间模型价'!$H:$AM,32,0)</f>
        <v>1518</v>
      </c>
      <c r="E13" s="23">
        <f>VLOOKUP(E11,'【3-2】大区&amp;运营中心填-房间模型价'!$H:$AM,32,0)</f>
        <v>1518</v>
      </c>
      <c r="F13" s="23">
        <f>VLOOKUP(F11,'【3-2】大区&amp;运营中心填-房间模型价'!$H:$AM,32,0)</f>
        <v>1418</v>
      </c>
      <c r="G13" s="23">
        <f>VLOOKUP(G11,'【3-2】大区&amp;运营中心填-房间模型价'!$H:$AM,32,0)</f>
        <v>1100</v>
      </c>
    </row>
    <row r="14" ht="17.4" spans="1:7">
      <c r="A14" s="24"/>
      <c r="B14" s="25"/>
      <c r="C14" s="26"/>
      <c r="D14" s="26"/>
      <c r="E14" s="26"/>
      <c r="F14" s="26"/>
      <c r="G14" s="26"/>
    </row>
    <row r="15" ht="16.2" spans="1:7">
      <c r="A15" s="18" t="s">
        <v>742</v>
      </c>
      <c r="B15" s="19" t="s">
        <v>738</v>
      </c>
      <c r="C15" s="27">
        <v>401</v>
      </c>
      <c r="D15" s="27">
        <v>402</v>
      </c>
      <c r="E15" s="27">
        <v>403</v>
      </c>
      <c r="F15" s="27">
        <v>404</v>
      </c>
      <c r="G15" s="27">
        <v>405</v>
      </c>
    </row>
    <row r="16" ht="16.2" spans="1:7">
      <c r="A16" s="18"/>
      <c r="B16" s="19" t="s">
        <v>348</v>
      </c>
      <c r="C16" s="4" t="str">
        <f>VLOOKUP(C15,'【3-2】大区&amp;运营中心填-房间模型价'!$H:$AM,2,0)</f>
        <v>1-51D</v>
      </c>
      <c r="D16" s="4" t="str">
        <f>VLOOKUP(D15,'【3-2】大区&amp;运营中心填-房间模型价'!$H:$AM,2,0)</f>
        <v>1-51E</v>
      </c>
      <c r="E16" s="4" t="str">
        <f>VLOOKUP(E15,'【3-2】大区&amp;运营中心填-房间模型价'!$H:$AM,2,0)</f>
        <v>1-51F</v>
      </c>
      <c r="F16" s="4" t="str">
        <f>VLOOKUP(F15,'【3-2】大区&amp;运营中心填-房间模型价'!$H:$AM,2,0)</f>
        <v>1-51G</v>
      </c>
      <c r="G16" s="4" t="str">
        <f>VLOOKUP(G15,'【3-2】大区&amp;运营中心填-房间模型价'!$H:$AM,2,0)</f>
        <v>1-51D</v>
      </c>
    </row>
    <row r="17" ht="16.2" spans="1:7">
      <c r="A17" s="21"/>
      <c r="B17" s="22" t="s">
        <v>739</v>
      </c>
      <c r="C17" s="23">
        <f>VLOOKUP(C15,'【3-2】大区&amp;运营中心填-房间模型价'!$H:$AM,32,0)</f>
        <v>1300</v>
      </c>
      <c r="D17" s="23">
        <f>VLOOKUP(D15,'【3-2】大区&amp;运营中心填-房间模型价'!$H:$AM,32,0)</f>
        <v>1350</v>
      </c>
      <c r="E17" s="23">
        <f>VLOOKUP(E15,'【3-2】大区&amp;运营中心填-房间模型价'!$H:$AM,32,0)</f>
        <v>1518</v>
      </c>
      <c r="F17" s="23">
        <f>VLOOKUP(F15,'【3-2】大区&amp;运营中心填-房间模型价'!$H:$AM,32,0)</f>
        <v>1250</v>
      </c>
      <c r="G17" s="23">
        <f>VLOOKUP(G15,'【3-2】大区&amp;运营中心填-房间模型价'!$H:$AM,32,0)</f>
        <v>1150</v>
      </c>
    </row>
    <row r="18" ht="17.4" spans="1:7">
      <c r="A18" s="24"/>
      <c r="B18" s="25"/>
      <c r="C18" s="26"/>
      <c r="D18" s="26"/>
      <c r="E18" s="26"/>
      <c r="F18" s="26"/>
      <c r="G18" s="26"/>
    </row>
    <row r="19" ht="16.2" spans="1:7">
      <c r="A19" s="18" t="s">
        <v>743</v>
      </c>
      <c r="B19" s="19" t="s">
        <v>738</v>
      </c>
      <c r="C19" s="27">
        <v>501</v>
      </c>
      <c r="D19" s="27">
        <v>502</v>
      </c>
      <c r="E19" s="27">
        <v>503</v>
      </c>
      <c r="F19" s="27">
        <v>504</v>
      </c>
      <c r="G19" s="27">
        <v>505</v>
      </c>
    </row>
    <row r="20" ht="16.2" spans="1:7">
      <c r="A20" s="18"/>
      <c r="B20" s="19" t="s">
        <v>348</v>
      </c>
      <c r="C20" s="4" t="str">
        <f>VLOOKUP(C19,'【3-2】大区&amp;运营中心填-房间模型价'!$H:$AM,2,0)</f>
        <v>1-51D</v>
      </c>
      <c r="D20" s="4" t="str">
        <f>VLOOKUP(D19,'【3-2】大区&amp;运营中心填-房间模型价'!$H:$AM,2,0)</f>
        <v>1-51E</v>
      </c>
      <c r="E20" s="4" t="str">
        <f>VLOOKUP(E19,'【3-2】大区&amp;运营中心填-房间模型价'!$H:$AM,2,0)</f>
        <v>1-51F</v>
      </c>
      <c r="F20" s="4" t="str">
        <f>VLOOKUP(F19,'【3-2】大区&amp;运营中心填-房间模型价'!$H:$AM,2,0)</f>
        <v>1-51G</v>
      </c>
      <c r="G20" s="4" t="str">
        <f>VLOOKUP(G19,'【3-2】大区&amp;运营中心填-房间模型价'!$H:$AM,2,0)</f>
        <v>1-51D</v>
      </c>
    </row>
    <row r="21" ht="16.2" spans="1:7">
      <c r="A21" s="21"/>
      <c r="B21" s="22" t="s">
        <v>739</v>
      </c>
      <c r="C21" s="23">
        <f>VLOOKUP(C19,'【3-2】大区&amp;运营中心填-房间模型价'!$H:$AM,32,0)</f>
        <v>1100</v>
      </c>
      <c r="D21" s="23">
        <f>VLOOKUP(D19,'【3-2】大区&amp;运营中心填-房间模型价'!$H:$AM,32,0)</f>
        <v>1518</v>
      </c>
      <c r="E21" s="23">
        <f>VLOOKUP(E19,'【3-2】大区&amp;运营中心填-房间模型价'!$H:$AM,32,0)</f>
        <v>1350</v>
      </c>
      <c r="F21" s="23">
        <f>VLOOKUP(F19,'【3-2】大区&amp;运营中心填-房间模型价'!$H:$AM,32,0)</f>
        <v>1250</v>
      </c>
      <c r="G21" s="23">
        <f>VLOOKUP(G19,'【3-2】大区&amp;运营中心填-房间模型价'!$H:$AM,32,0)</f>
        <v>1200</v>
      </c>
    </row>
    <row r="22" ht="17.4" spans="1:7">
      <c r="A22" s="24"/>
      <c r="B22" s="25"/>
      <c r="C22" s="26"/>
      <c r="D22" s="26"/>
      <c r="E22" s="26"/>
      <c r="F22" s="26"/>
      <c r="G22" s="26"/>
    </row>
    <row r="23" ht="16.2" spans="1:7">
      <c r="A23" s="18" t="s">
        <v>744</v>
      </c>
      <c r="B23" s="19" t="s">
        <v>738</v>
      </c>
      <c r="C23" s="27">
        <v>601</v>
      </c>
      <c r="D23" s="27">
        <v>602</v>
      </c>
      <c r="E23" s="27">
        <v>603</v>
      </c>
      <c r="F23" s="27">
        <v>604</v>
      </c>
      <c r="G23" s="27">
        <v>605</v>
      </c>
    </row>
    <row r="24" ht="16.2" spans="1:7">
      <c r="A24" s="18"/>
      <c r="B24" s="19" t="s">
        <v>348</v>
      </c>
      <c r="C24" s="4" t="str">
        <f>VLOOKUP(C23,'【3-2】大区&amp;运营中心填-房间模型价'!$H:$AM,2,0)</f>
        <v>1-51D</v>
      </c>
      <c r="D24" s="4" t="str">
        <f>VLOOKUP(D23,'【3-2】大区&amp;运营中心填-房间模型价'!$H:$AM,2,0)</f>
        <v>1-51E</v>
      </c>
      <c r="E24" s="4" t="str">
        <f>VLOOKUP(E23,'【3-2】大区&amp;运营中心填-房间模型价'!$H:$AM,2,0)</f>
        <v>1-51F</v>
      </c>
      <c r="F24" s="4" t="str">
        <f>VLOOKUP(F23,'【3-2】大区&amp;运营中心填-房间模型价'!$H:$AM,2,0)</f>
        <v>1-51G</v>
      </c>
      <c r="G24" s="4" t="str">
        <f>VLOOKUP(G23,'【3-2】大区&amp;运营中心填-房间模型价'!$H:$AM,2,0)</f>
        <v>1-51D</v>
      </c>
    </row>
    <row r="25" ht="16.2" spans="1:7">
      <c r="A25" s="21"/>
      <c r="B25" s="22" t="s">
        <v>739</v>
      </c>
      <c r="C25" s="23">
        <f>VLOOKUP(C23,'【3-2】大区&amp;运营中心填-房间模型价'!$H:$AM,32,0)</f>
        <v>1428</v>
      </c>
      <c r="D25" s="23">
        <f>VLOOKUP(D23,'【3-2】大区&amp;运营中心填-房间模型价'!$H:$AM,32,0)</f>
        <v>1300</v>
      </c>
      <c r="E25" s="23">
        <f>VLOOKUP(E23,'【3-2】大区&amp;运营中心填-房间模型价'!$H:$AM,32,0)</f>
        <v>1300</v>
      </c>
      <c r="F25" s="23">
        <f>VLOOKUP(F23,'【3-2】大区&amp;运营中心填-房间模型价'!$H:$AM,32,0)</f>
        <v>1250</v>
      </c>
      <c r="G25" s="23">
        <f>VLOOKUP(G23,'【3-2】大区&amp;运营中心填-房间模型价'!$H:$AM,32,0)</f>
        <v>1150</v>
      </c>
    </row>
    <row r="26" ht="17.4" spans="1:7">
      <c r="A26" s="24"/>
      <c r="B26" s="25"/>
      <c r="C26" s="26"/>
      <c r="D26" s="26"/>
      <c r="E26" s="26"/>
      <c r="F26" s="26"/>
      <c r="G26" s="26"/>
    </row>
    <row r="27" ht="16.2" spans="1:7">
      <c r="A27" s="18" t="s">
        <v>745</v>
      </c>
      <c r="B27" s="19" t="s">
        <v>738</v>
      </c>
      <c r="C27" s="27">
        <v>701</v>
      </c>
      <c r="D27" s="27">
        <v>702</v>
      </c>
      <c r="E27" s="27"/>
      <c r="F27" s="27"/>
      <c r="G27" s="27"/>
    </row>
    <row r="28" ht="16.2" spans="1:7">
      <c r="A28" s="18"/>
      <c r="B28" s="19" t="s">
        <v>348</v>
      </c>
      <c r="C28" s="4" t="str">
        <f>VLOOKUP(C27,'【3-2】大区&amp;运营中心填-房间模型价'!$H:$AM,2,0)</f>
        <v>1-51D</v>
      </c>
      <c r="D28" s="4" t="str">
        <f>VLOOKUP(D27,'【3-2】大区&amp;运营中心填-房间模型价'!$H:$AM,2,0)</f>
        <v>1-51D</v>
      </c>
      <c r="E28" s="4"/>
      <c r="F28" s="4"/>
      <c r="G28" s="4"/>
    </row>
    <row r="29" ht="16.2" spans="1:7">
      <c r="A29" s="21"/>
      <c r="B29" s="22" t="s">
        <v>739</v>
      </c>
      <c r="C29" s="23">
        <f>VLOOKUP(C27,'【3-2】大区&amp;运营中心填-房间模型价'!$H:$AM,32,0)</f>
        <v>1150</v>
      </c>
      <c r="D29" s="23">
        <f>VLOOKUP(D27,'【3-2】大区&amp;运营中心填-房间模型价'!$H:$AM,32,0)</f>
        <v>1398</v>
      </c>
      <c r="E29" s="23"/>
      <c r="F29" s="23"/>
      <c r="G29" s="23"/>
    </row>
    <row r="30" ht="17.4" spans="1:7">
      <c r="A30" s="24"/>
      <c r="B30" s="25"/>
      <c r="C30" s="26"/>
      <c r="D30" s="26"/>
      <c r="E30" s="26"/>
      <c r="F30" s="26"/>
      <c r="G30" s="26"/>
    </row>
  </sheetData>
  <mergeCells count="8">
    <mergeCell ref="A3:A5"/>
    <mergeCell ref="A7:A9"/>
    <mergeCell ref="A11:A13"/>
    <mergeCell ref="A15:A17"/>
    <mergeCell ref="A19:A21"/>
    <mergeCell ref="A23:A25"/>
    <mergeCell ref="A27:A29"/>
    <mergeCell ref="A1:G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40" sqref="K40"/>
    </sheetView>
  </sheetViews>
  <sheetFormatPr defaultColWidth="9" defaultRowHeight="13.8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15"/>
  <sheetViews>
    <sheetView workbookViewId="0">
      <selection activeCell="R29" sqref="R29"/>
    </sheetView>
  </sheetViews>
  <sheetFormatPr defaultColWidth="9" defaultRowHeight="13.8"/>
  <cols>
    <col min="2" max="2" width="15.4444444444444" customWidth="1"/>
    <col min="11" max="11" width="9.66666666666667" customWidth="1"/>
  </cols>
  <sheetData>
    <row r="1" ht="17.4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2" spans="2:28">
      <c r="B3" s="4" t="s">
        <v>746</v>
      </c>
      <c r="C3" s="5" t="s">
        <v>747</v>
      </c>
      <c r="D3" s="6" t="s">
        <v>748</v>
      </c>
      <c r="E3" s="7" t="s">
        <v>749</v>
      </c>
      <c r="F3" s="8" t="s">
        <v>134</v>
      </c>
      <c r="G3" s="9" t="s">
        <v>750</v>
      </c>
      <c r="H3" s="10" t="s">
        <v>751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6" spans="2:28">
      <c r="B4" s="11" t="s">
        <v>752</v>
      </c>
      <c r="C4" s="4" t="s">
        <v>753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6" spans="2:28">
      <c r="B5" s="11"/>
      <c r="C5" s="4" t="s">
        <v>754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6.95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6" spans="2:28">
      <c r="B7" s="4" t="s">
        <v>755</v>
      </c>
      <c r="C7" s="4"/>
      <c r="D7" s="4"/>
      <c r="E7" s="4"/>
      <c r="F7" s="4"/>
      <c r="G7" s="4"/>
      <c r="H7" s="3"/>
      <c r="I7" s="4" t="s">
        <v>755</v>
      </c>
      <c r="J7" s="4"/>
      <c r="K7" s="4"/>
      <c r="L7" s="4"/>
      <c r="M7" s="4"/>
      <c r="N7" s="4" t="s">
        <v>160</v>
      </c>
      <c r="O7" s="3"/>
      <c r="P7" s="4" t="s">
        <v>755</v>
      </c>
      <c r="Q7" s="4"/>
      <c r="R7" s="4"/>
      <c r="S7" s="4"/>
      <c r="T7" s="4"/>
      <c r="U7" s="4" t="s">
        <v>160</v>
      </c>
      <c r="V7" s="3"/>
      <c r="W7" s="4" t="s">
        <v>755</v>
      </c>
      <c r="X7" s="4"/>
      <c r="Y7" s="4"/>
      <c r="Z7" s="4"/>
      <c r="AA7" s="4"/>
      <c r="AB7" s="4" t="s">
        <v>160</v>
      </c>
    </row>
    <row r="8" ht="15.6" spans="2:28">
      <c r="B8" s="4" t="s">
        <v>756</v>
      </c>
      <c r="C8" s="4"/>
      <c r="D8" s="4"/>
      <c r="E8" s="4"/>
      <c r="F8" s="4" t="s">
        <v>160</v>
      </c>
      <c r="G8" s="4"/>
      <c r="H8" s="3"/>
      <c r="I8" s="4" t="s">
        <v>756</v>
      </c>
      <c r="J8" s="4"/>
      <c r="K8" s="4"/>
      <c r="L8" s="4"/>
      <c r="M8" s="4" t="s">
        <v>160</v>
      </c>
      <c r="N8" s="4" t="s">
        <v>160</v>
      </c>
      <c r="O8" s="3"/>
      <c r="P8" s="4" t="s">
        <v>756</v>
      </c>
      <c r="Q8" s="4"/>
      <c r="R8" s="4"/>
      <c r="S8" s="4"/>
      <c r="T8" s="4" t="s">
        <v>160</v>
      </c>
      <c r="U8" s="4" t="s">
        <v>160</v>
      </c>
      <c r="V8" s="3"/>
      <c r="W8" s="4" t="s">
        <v>756</v>
      </c>
      <c r="X8" s="4"/>
      <c r="Y8" s="4"/>
      <c r="Z8" s="4"/>
      <c r="AA8" s="4" t="s">
        <v>160</v>
      </c>
      <c r="AB8" s="4" t="s">
        <v>160</v>
      </c>
    </row>
    <row r="9" ht="15.6" spans="2:28">
      <c r="B9" s="4" t="s">
        <v>757</v>
      </c>
      <c r="C9" s="4"/>
      <c r="D9" s="4"/>
      <c r="E9" s="4" t="s">
        <v>160</v>
      </c>
      <c r="F9" s="4" t="s">
        <v>375</v>
      </c>
      <c r="G9" s="4"/>
      <c r="H9" s="3"/>
      <c r="I9" s="4" t="s">
        <v>757</v>
      </c>
      <c r="J9" s="4"/>
      <c r="K9" s="4"/>
      <c r="L9" s="4" t="s">
        <v>160</v>
      </c>
      <c r="M9" s="4" t="s">
        <v>160</v>
      </c>
      <c r="N9" s="4" t="s">
        <v>375</v>
      </c>
      <c r="O9" s="3"/>
      <c r="P9" s="4" t="s">
        <v>757</v>
      </c>
      <c r="Q9" s="4"/>
      <c r="R9" s="4"/>
      <c r="S9" s="4" t="s">
        <v>160</v>
      </c>
      <c r="T9" s="4" t="s">
        <v>160</v>
      </c>
      <c r="U9" s="4" t="s">
        <v>375</v>
      </c>
      <c r="V9" s="3"/>
      <c r="W9" s="4" t="s">
        <v>757</v>
      </c>
      <c r="X9" s="4"/>
      <c r="Y9" s="4"/>
      <c r="Z9" s="4" t="s">
        <v>160</v>
      </c>
      <c r="AA9" s="4" t="s">
        <v>160</v>
      </c>
      <c r="AB9" s="4" t="s">
        <v>375</v>
      </c>
    </row>
    <row r="10" ht="15.6" spans="2:28">
      <c r="B10" s="4" t="s">
        <v>758</v>
      </c>
      <c r="C10" s="4"/>
      <c r="D10" s="4" t="s">
        <v>160</v>
      </c>
      <c r="E10" s="4" t="s">
        <v>375</v>
      </c>
      <c r="F10" s="4" t="s">
        <v>63</v>
      </c>
      <c r="G10" s="4"/>
      <c r="H10" s="3"/>
      <c r="I10" s="4" t="s">
        <v>758</v>
      </c>
      <c r="J10" s="4"/>
      <c r="K10" s="4" t="s">
        <v>160</v>
      </c>
      <c r="L10" s="4" t="s">
        <v>160</v>
      </c>
      <c r="M10" s="4" t="s">
        <v>375</v>
      </c>
      <c r="N10" s="4" t="s">
        <v>63</v>
      </c>
      <c r="O10" s="3"/>
      <c r="P10" s="4" t="s">
        <v>758</v>
      </c>
      <c r="Q10" s="4"/>
      <c r="R10" s="4" t="s">
        <v>160</v>
      </c>
      <c r="S10" s="4" t="s">
        <v>160</v>
      </c>
      <c r="T10" s="4" t="s">
        <v>375</v>
      </c>
      <c r="U10" s="4" t="s">
        <v>63</v>
      </c>
      <c r="V10" s="3"/>
      <c r="W10" s="4" t="s">
        <v>758</v>
      </c>
      <c r="X10" s="4"/>
      <c r="Y10" s="4" t="s">
        <v>160</v>
      </c>
      <c r="Z10" s="4" t="s">
        <v>160</v>
      </c>
      <c r="AA10" s="4" t="s">
        <v>375</v>
      </c>
      <c r="AB10" s="4" t="s">
        <v>63</v>
      </c>
    </row>
    <row r="11" ht="15.6" spans="2:28">
      <c r="B11" s="4" t="s">
        <v>759</v>
      </c>
      <c r="C11" s="4" t="s">
        <v>160</v>
      </c>
      <c r="D11" s="4" t="s">
        <v>375</v>
      </c>
      <c r="E11" s="4" t="s">
        <v>63</v>
      </c>
      <c r="F11" s="4" t="s">
        <v>760</v>
      </c>
      <c r="G11" s="4"/>
      <c r="H11" s="3"/>
      <c r="I11" s="4" t="s">
        <v>759</v>
      </c>
      <c r="J11" s="4" t="s">
        <v>160</v>
      </c>
      <c r="K11" s="4" t="s">
        <v>160</v>
      </c>
      <c r="L11" s="4" t="s">
        <v>375</v>
      </c>
      <c r="M11" s="4" t="s">
        <v>63</v>
      </c>
      <c r="N11" s="4" t="s">
        <v>760</v>
      </c>
      <c r="O11" s="3"/>
      <c r="P11" s="4" t="s">
        <v>759</v>
      </c>
      <c r="Q11" s="4" t="s">
        <v>160</v>
      </c>
      <c r="R11" s="4" t="s">
        <v>160</v>
      </c>
      <c r="S11" s="4" t="s">
        <v>375</v>
      </c>
      <c r="T11" s="4" t="s">
        <v>63</v>
      </c>
      <c r="U11" s="4" t="s">
        <v>760</v>
      </c>
      <c r="V11" s="3"/>
      <c r="W11" s="4" t="s">
        <v>759</v>
      </c>
      <c r="X11" s="4" t="s">
        <v>160</v>
      </c>
      <c r="Y11" s="4" t="s">
        <v>160</v>
      </c>
      <c r="Z11" s="4" t="s">
        <v>375</v>
      </c>
      <c r="AA11" s="4" t="s">
        <v>63</v>
      </c>
      <c r="AB11" s="4" t="s">
        <v>760</v>
      </c>
    </row>
    <row r="12" ht="15.6" spans="2:28">
      <c r="B12" s="4" t="s">
        <v>761</v>
      </c>
      <c r="C12" s="4" t="s">
        <v>375</v>
      </c>
      <c r="D12" s="4" t="s">
        <v>63</v>
      </c>
      <c r="E12" s="4" t="s">
        <v>760</v>
      </c>
      <c r="F12" s="9" t="s">
        <v>366</v>
      </c>
      <c r="G12" s="4"/>
      <c r="H12" s="3"/>
      <c r="I12" s="4" t="s">
        <v>761</v>
      </c>
      <c r="J12" s="4" t="s">
        <v>160</v>
      </c>
      <c r="K12" s="4" t="s">
        <v>375</v>
      </c>
      <c r="L12" s="4" t="s">
        <v>63</v>
      </c>
      <c r="M12" s="9" t="s">
        <v>760</v>
      </c>
      <c r="N12" s="4" t="s">
        <v>366</v>
      </c>
      <c r="O12" s="3"/>
      <c r="P12" s="4" t="s">
        <v>761</v>
      </c>
      <c r="Q12" s="4" t="s">
        <v>160</v>
      </c>
      <c r="R12" s="4" t="s">
        <v>375</v>
      </c>
      <c r="S12" s="4" t="s">
        <v>63</v>
      </c>
      <c r="T12" s="9" t="s">
        <v>760</v>
      </c>
      <c r="U12" s="4" t="s">
        <v>366</v>
      </c>
      <c r="V12" s="3"/>
      <c r="W12" s="4" t="s">
        <v>761</v>
      </c>
      <c r="X12" s="4" t="s">
        <v>160</v>
      </c>
      <c r="Y12" s="4" t="s">
        <v>375</v>
      </c>
      <c r="Z12" s="4" t="s">
        <v>63</v>
      </c>
      <c r="AA12" s="9" t="s">
        <v>760</v>
      </c>
      <c r="AB12" s="4" t="s">
        <v>366</v>
      </c>
    </row>
    <row r="13" ht="15.6" spans="2:28">
      <c r="B13" s="4"/>
      <c r="C13" s="4" t="s">
        <v>762</v>
      </c>
      <c r="D13" s="4" t="s">
        <v>763</v>
      </c>
      <c r="E13" s="4" t="s">
        <v>764</v>
      </c>
      <c r="F13" s="4" t="s">
        <v>765</v>
      </c>
      <c r="G13" s="4" t="s">
        <v>766</v>
      </c>
      <c r="H13" s="2"/>
      <c r="I13" s="4"/>
      <c r="J13" s="4" t="s">
        <v>762</v>
      </c>
      <c r="K13" s="4" t="s">
        <v>763</v>
      </c>
      <c r="L13" s="4" t="s">
        <v>764</v>
      </c>
      <c r="M13" s="4" t="s">
        <v>765</v>
      </c>
      <c r="N13" s="4" t="s">
        <v>766</v>
      </c>
      <c r="O13" s="3"/>
      <c r="P13" s="4"/>
      <c r="Q13" s="4" t="s">
        <v>762</v>
      </c>
      <c r="R13" s="4" t="s">
        <v>763</v>
      </c>
      <c r="S13" s="4" t="s">
        <v>764</v>
      </c>
      <c r="T13" s="4" t="s">
        <v>765</v>
      </c>
      <c r="U13" s="4" t="s">
        <v>766</v>
      </c>
      <c r="V13" s="3"/>
      <c r="W13" s="4"/>
      <c r="X13" s="4" t="s">
        <v>762</v>
      </c>
      <c r="Y13" s="4" t="s">
        <v>763</v>
      </c>
      <c r="Z13" s="4" t="s">
        <v>764</v>
      </c>
      <c r="AA13" s="4" t="s">
        <v>765</v>
      </c>
      <c r="AB13" s="4" t="s">
        <v>766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2" spans="2:28">
      <c r="B15" s="14" t="s">
        <v>767</v>
      </c>
      <c r="C15" s="14"/>
      <c r="D15" s="14"/>
      <c r="E15" s="14"/>
      <c r="F15" s="14"/>
      <c r="G15" s="14"/>
      <c r="H15" s="3"/>
      <c r="I15" s="15" t="s">
        <v>768</v>
      </c>
      <c r="J15" s="15"/>
      <c r="K15" s="15"/>
      <c r="L15" s="15"/>
      <c r="M15" s="15"/>
      <c r="N15" s="15"/>
      <c r="O15" s="3"/>
      <c r="P15" s="3"/>
      <c r="Q15" s="3"/>
      <c r="R15" s="15" t="s">
        <v>769</v>
      </c>
      <c r="S15" s="15"/>
      <c r="T15" s="3"/>
      <c r="U15" s="3"/>
      <c r="V15" s="3"/>
      <c r="W15" s="3"/>
      <c r="X15" s="3"/>
      <c r="Y15" s="15" t="s">
        <v>770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赖颢天</dc:creator>
  <cp:lastModifiedBy>许宏兴</cp:lastModifiedBy>
  <dcterms:created xsi:type="dcterms:W3CDTF">2015-06-14T10:17:00Z</dcterms:created>
  <dcterms:modified xsi:type="dcterms:W3CDTF">2026-02-11T10:35:19Z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62F1D970D5AD40D9A7B7FD751FFF3159_13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CalculationRule">
    <vt:i4>0</vt:i4>
  </property>
</Properties>
</file>